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Indicators" sheetId="1" r:id="rId3"/>
    <sheet state="visible" name="Indicator Organizations" sheetId="2" r:id="rId4"/>
    <sheet state="visible" name="All Indicators Sorted by Employ" sheetId="3" r:id="rId5"/>
    <sheet state="visible" name="Final Topic Idea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77">
      <text>
        <t xml:space="preserve">Can these be written as numbers or statistics? What is the measurement these are getting at?
	-Daniel Reeves</t>
      </text>
    </comment>
  </commentList>
</comments>
</file>

<file path=xl/sharedStrings.xml><?xml version="1.0" encoding="utf-8"?>
<sst xmlns="http://schemas.openxmlformats.org/spreadsheetml/2006/main" count="4311" uniqueCount="711">
  <si>
    <t>Indicator</t>
  </si>
  <si>
    <t>WHO (international - all)</t>
  </si>
  <si>
    <t>US Stat</t>
  </si>
  <si>
    <t>US Stat Source</t>
  </si>
  <si>
    <t>US Percentile</t>
  </si>
  <si>
    <t>US Percentile Source</t>
  </si>
  <si>
    <t>Stat Year</t>
  </si>
  <si>
    <t>Tags</t>
  </si>
  <si>
    <t>Notes</t>
  </si>
  <si>
    <t>WHO</t>
  </si>
  <si>
    <t>Commonwealth Fund</t>
  </si>
  <si>
    <t>OECD</t>
  </si>
  <si>
    <t>USAFacts</t>
  </si>
  <si>
    <t>Gapminder</t>
  </si>
  <si>
    <t>United Health Foundation</t>
  </si>
  <si>
    <t>World Bank</t>
  </si>
  <si>
    <t>CMS</t>
  </si>
  <si>
    <t>CDC</t>
  </si>
  <si>
    <t>NIH</t>
  </si>
  <si>
    <t>MITRE BWHP</t>
  </si>
  <si>
    <t>Employment among sources, total</t>
  </si>
  <si>
    <t>Demographic - Socioeconomic</t>
  </si>
  <si>
    <t>Population</t>
  </si>
  <si>
    <t>Demographics</t>
  </si>
  <si>
    <t>Education</t>
  </si>
  <si>
    <t>Economic</t>
  </si>
  <si>
    <t>Housing/Community</t>
  </si>
  <si>
    <t>Migration</t>
  </si>
  <si>
    <t>Health status</t>
  </si>
  <si>
    <t>Mortality by age and sex</t>
  </si>
  <si>
    <t>Mortality by cause</t>
  </si>
  <si>
    <t>Fertility</t>
  </si>
  <si>
    <t>Morbidity</t>
  </si>
  <si>
    <t>Risk factors</t>
  </si>
  <si>
    <t>Nutrition</t>
  </si>
  <si>
    <t>Infections</t>
  </si>
  <si>
    <t>Environmental risk factors</t>
  </si>
  <si>
    <t>Noncommunicable diseases</t>
  </si>
  <si>
    <t>Injuries/harmful traditional practices</t>
  </si>
  <si>
    <t>Service coverage</t>
  </si>
  <si>
    <t>Reproductive, maternal, newborn, child and adolescent</t>
  </si>
  <si>
    <t>Immunization</t>
  </si>
  <si>
    <t>HIV</t>
  </si>
  <si>
    <t>HIV/TB</t>
  </si>
  <si>
    <t>Tuberculosis</t>
  </si>
  <si>
    <t>Malaria</t>
  </si>
  <si>
    <t>Neglected topical diseases</t>
  </si>
  <si>
    <t>Screening and preventitive care</t>
  </si>
  <si>
    <t>Mental health</t>
  </si>
  <si>
    <t>Substance abuse</t>
  </si>
  <si>
    <t>Essential health services</t>
  </si>
  <si>
    <t>Health systems</t>
  </si>
  <si>
    <t>Quality and safety of care</t>
  </si>
  <si>
    <t>Utilization and access</t>
  </si>
  <si>
    <t>Health workforce</t>
  </si>
  <si>
    <t>Health information</t>
  </si>
  <si>
    <t>Health financing</t>
  </si>
  <si>
    <t>Health security</t>
  </si>
  <si>
    <t>Governance</t>
  </si>
  <si>
    <t>Note: "Demographic - Socioeconomic" is not listed in the "100 Core Health Indicators" but is measured in "Core Indicators" for PAHO. The subcategories for this category are my own.</t>
  </si>
  <si>
    <t>Source: https://www.who.int/healthinfo/indicators/100CoreHealthIndicators_2018_infographic.pdf?ua=1 AND http://iris.paho.org/xmlui/bitstream/handle/123456789/49511/CoreIndicators2018_eng.pdf?sequence=1&amp;isAllowed=y</t>
  </si>
  <si>
    <t>Gapminder (international - all)</t>
  </si>
  <si>
    <t>Causes of newborn deaths</t>
  </si>
  <si>
    <t>Causes of child deaths</t>
  </si>
  <si>
    <t>Cancer</t>
  </si>
  <si>
    <t>Health economics</t>
  </si>
  <si>
    <t>http://www.paho.org/data/index.php/en/indicators/visualization.html</t>
  </si>
  <si>
    <t>Maternal health</t>
  </si>
  <si>
    <t>TB</t>
  </si>
  <si>
    <t>Teeth</t>
  </si>
  <si>
    <t>Vaccine</t>
  </si>
  <si>
    <t>Injuries and accidents</t>
  </si>
  <si>
    <t>Source: https://www.gapminder.org/data/</t>
  </si>
  <si>
    <t>Commonwealth Fund (international - developed)</t>
  </si>
  <si>
    <t>demographics</t>
  </si>
  <si>
    <t>Health care spending</t>
  </si>
  <si>
    <t>Physician capacity and utilization</t>
  </si>
  <si>
    <t>https://international.commonwealthfund.org/stats/</t>
  </si>
  <si>
    <t>Hospital spending, utilization, and capacity</t>
  </si>
  <si>
    <t>Medical technology</t>
  </si>
  <si>
    <t>Health risk factors</t>
  </si>
  <si>
    <t>Access to care</t>
  </si>
  <si>
    <t>Safety problems among older adults</t>
  </si>
  <si>
    <t>Care coordination and transitions</t>
  </si>
  <si>
    <t>Chronic care management</t>
  </si>
  <si>
    <t>Performance feedback</t>
  </si>
  <si>
    <t>https://stats.oecd.org/index.aspx?DataSetCode=HEALTH_STAT#</t>
  </si>
  <si>
    <t>Health care quality indicators</t>
  </si>
  <si>
    <t>Avoidable deaths</t>
  </si>
  <si>
    <t>Preventive health care</t>
  </si>
  <si>
    <t>Overall views of health care system</t>
  </si>
  <si>
    <t>Source: https://international.commonwealthfund.org/stats/</t>
  </si>
  <si>
    <t>OECD - Health at a Glance (international - developed)</t>
  </si>
  <si>
    <t>Risk factors for health</t>
  </si>
  <si>
    <t>Quality and outcomes of care</t>
  </si>
  <si>
    <t>Health expenditure</t>
  </si>
  <si>
    <t>https://data.worldbank.org/indicator/#health</t>
  </si>
  <si>
    <t>Health care activites</t>
  </si>
  <si>
    <t>Pharmaceutical sector</t>
  </si>
  <si>
    <t>Ageing and long-term care</t>
  </si>
  <si>
    <t>Source: https://www.oecd-ilibrary.org/docserver/health_glance-2017-en.pdf?expires=1563997937&amp;id=id&amp;accname=guest&amp;checksum=92170C1DFABB2C411215D75C067A738A</t>
  </si>
  <si>
    <t>OECD - Health Statistics (international - developed)</t>
  </si>
  <si>
    <t>CHSI</t>
  </si>
  <si>
    <t>Health expenditure and financing</t>
  </si>
  <si>
    <t>Non-medical determinants of health</t>
  </si>
  <si>
    <t>Health care resources</t>
  </si>
  <si>
    <t>Health workforce migration</t>
  </si>
  <si>
    <t>Health care utilization</t>
  </si>
  <si>
    <t>Population aged &lt;15 (%)</t>
  </si>
  <si>
    <t>Pharmaceutical market</t>
  </si>
  <si>
    <t>Long-term care resources and utilization</t>
  </si>
  <si>
    <t>Social protection</t>
  </si>
  <si>
    <t>Demographic references</t>
  </si>
  <si>
    <t>Economic references</t>
  </si>
  <si>
    <t>Source: https://stats.oecd.org/index.aspx?DataSetCode=HEALTH_STAT</t>
  </si>
  <si>
    <t>CDC Healthy People 2020 - Leading Health Indicators (USA)</t>
  </si>
  <si>
    <t>Access to health services</t>
  </si>
  <si>
    <t>Clinical preventive services</t>
  </si>
  <si>
    <t>Environmental quality</t>
  </si>
  <si>
    <t>Injury and violence</t>
  </si>
  <si>
    <t>Maternal, infant, and child health</t>
  </si>
  <si>
    <t>Nutrition, physical activity, and obesity</t>
  </si>
  <si>
    <t>https://stats.oecd.org/index.aspx?DataSetCode=HEALTH_STAT</t>
  </si>
  <si>
    <t>Oral health</t>
  </si>
  <si>
    <t>Reproductive and sexual health</t>
  </si>
  <si>
    <t>Social determinants</t>
  </si>
  <si>
    <t>Tobacco</t>
  </si>
  <si>
    <t>Source: https://www.cdc.gov/nchs/healthy_people/hp2020/hp2020_indicators.htm</t>
  </si>
  <si>
    <t>CDC Prevention Status Reports (USA)</t>
  </si>
  <si>
    <t>Population aged ≥65 (%)</t>
  </si>
  <si>
    <t>Alcohol-related harms</t>
  </si>
  <si>
    <t>Food safety</t>
  </si>
  <si>
    <t>Healthcare-associated infections</t>
  </si>
  <si>
    <t>Heart disease and stroke</t>
  </si>
  <si>
    <t>Motor vehicle injuries</t>
  </si>
  <si>
    <t>Population female</t>
  </si>
  <si>
    <t>Prescription drug overdose</t>
  </si>
  <si>
    <t>Teen pregnancy</t>
  </si>
  <si>
    <t>Tobacco use</t>
  </si>
  <si>
    <t>Source: https://wwwn.cdc.gov/psr/NationalSummary/NationalSummary.aspx</t>
  </si>
  <si>
    <t>Population growth rate (%)</t>
  </si>
  <si>
    <t>CMS Initiatives (USA)</t>
  </si>
  <si>
    <t>Empowering patients</t>
  </si>
  <si>
    <t>Unleashing innovation</t>
  </si>
  <si>
    <t>Focusing on results</t>
  </si>
  <si>
    <t>Source: https://www.cms.gov/about-cms/story-page/our-16-strategic-initiatives.html</t>
  </si>
  <si>
    <t>United Health Foundation - America's Health Rankings Annual Report (USA)</t>
  </si>
  <si>
    <t>Urban population (%)</t>
  </si>
  <si>
    <t>Behaviors</t>
  </si>
  <si>
    <t>Community &amp; environment</t>
  </si>
  <si>
    <t>Outcomes</t>
  </si>
  <si>
    <t>Policy</t>
  </si>
  <si>
    <t>Clinical care</t>
  </si>
  <si>
    <t>Chronic disease</t>
  </si>
  <si>
    <t>Note: They chose to break their data down at the top level by Seniors, Those who have served, Annual (all), Women and children, Women who have served. They also have "Core measures" and "Supplemental measures"</t>
  </si>
  <si>
    <t>Source: https://www.americashealthrankings.org/explore/annual</t>
  </si>
  <si>
    <t>Mean years of schooling</t>
  </si>
  <si>
    <t>USAFacts - US Public Health Statistics (USA)</t>
  </si>
  <si>
    <t>Illicit drug use</t>
  </si>
  <si>
    <t>Maternal, early childhood health</t>
  </si>
  <si>
    <t>Longevity</t>
  </si>
  <si>
    <t>No high school diploma or equivalent</t>
  </si>
  <si>
    <t>Health regulation</t>
  </si>
  <si>
    <t>UnitedHealth measures high school graduation</t>
  </si>
  <si>
    <t>https://www.americashealthrankings.org/explore/annual</t>
  </si>
  <si>
    <t>Health insurance coverage</t>
  </si>
  <si>
    <t>Healthcare expenditures</t>
  </si>
  <si>
    <t>Hospitals and visits</t>
  </si>
  <si>
    <t>Source: https://usafacts.org/missions/promote-welfare/12</t>
  </si>
  <si>
    <t>Missed school days</t>
  </si>
  <si>
    <t>Commonwealth Fund (USA - state)</t>
  </si>
  <si>
    <t>Access and affordability</t>
  </si>
  <si>
    <t>Prevention and treatment</t>
  </si>
  <si>
    <t>Gross national income per capita</t>
  </si>
  <si>
    <t>Avoidable hospital use and cost</t>
  </si>
  <si>
    <t>Health lives</t>
  </si>
  <si>
    <t>Also median household income</t>
  </si>
  <si>
    <t>Source: https://scorecard.commonwealthfund.org/files/Radley_State_Scorecard_2019.pdf</t>
  </si>
  <si>
    <t>NIH/CDC Community Health Status Indicators (USA - county)</t>
  </si>
  <si>
    <t>Summary measures of health</t>
  </si>
  <si>
    <t>Annual GDP Growth (%)</t>
  </si>
  <si>
    <t>National leading causes of death</t>
  </si>
  <si>
    <t>Measures of birth and death</t>
  </si>
  <si>
    <t>Relative health importance</t>
  </si>
  <si>
    <t>Vulnerable populations</t>
  </si>
  <si>
    <t>Environmental health</t>
  </si>
  <si>
    <t>GINI Index</t>
  </si>
  <si>
    <t>Preventive services use</t>
  </si>
  <si>
    <t>Risk factors for premature death</t>
  </si>
  <si>
    <t>Source: https://www.nlm.nih.gov/nichsr/healthindicators/index.html AND https://healthdata.gov/dataset/community-health-status-indicators-chsi-combat-obesity-heart-disease-and-cancer</t>
  </si>
  <si>
    <t>Age dependency ratio</t>
  </si>
  <si>
    <t>Poverty level</t>
  </si>
  <si>
    <t>UnitedHealth measures children in poverty specifically</t>
  </si>
  <si>
    <t>https://usafacts.org/missions/promote-welfare/12</t>
  </si>
  <si>
    <t>Unemployed</t>
  </si>
  <si>
    <t>Also underemployment</t>
  </si>
  <si>
    <t>Severe work disability</t>
  </si>
  <si>
    <t>OECD: Absence from work due to illness</t>
  </si>
  <si>
    <t>Concentrated disadvantage</t>
  </si>
  <si>
    <t>Severe housing problems</t>
  </si>
  <si>
    <t>Neighborhood amenities</t>
  </si>
  <si>
    <t>Homeless family households</t>
  </si>
  <si>
    <t>Net migration</t>
  </si>
  <si>
    <t>Refugee population by country or territory of origin</t>
  </si>
  <si>
    <t>Also "International migrant stock" which extends beyond refugees</t>
  </si>
  <si>
    <t>Health Status</t>
  </si>
  <si>
    <t>Mortality by age</t>
  </si>
  <si>
    <t>Life expectancy at birth</t>
  </si>
  <si>
    <t>health status, life expectancy</t>
  </si>
  <si>
    <t>https://apps.who.int/iris/bitstream/handle/10665/259951/WHO-HIS-IER-GPM-2018.1-eng.pdf;jsessionid=47FB126CD095961CAC9D15E3FBF39514?sequence=1</t>
  </si>
  <si>
    <t>Maternal mortality (per 100,000 lb)</t>
  </si>
  <si>
    <t>https://www.americashealthrankings.org/explore/health-of-women-and-children/measure/maternal_mortality/state/ALL</t>
  </si>
  <si>
    <t>health status, mortality</t>
  </si>
  <si>
    <t>Total: Over 4,000 from 2011-2015, SDG 3.1.1</t>
  </si>
  <si>
    <t>https://www.gapminder.org/data/</t>
  </si>
  <si>
    <t>Seema says this is an emerging issue: https://www.youtube.com/watch?v=PukAXwTok8A</t>
  </si>
  <si>
    <t>BWHP-16</t>
  </si>
  <si>
    <t>Infant mortality (per 1,000 lb)</t>
  </si>
  <si>
    <t>https://www.americashealthrankings.org/explore/health-of-women-and-children/measure/IMR_MCH/state/ALL</t>
  </si>
  <si>
    <t>Total: 23,161; Gapminder breaks it down by cause (Diarrhoeal, HIV, injury etc)</t>
  </si>
  <si>
    <t xml:space="preserve">https://interactives.commonwealthfund.org/2018/state-scorecard/files/Radley_State_Scorecard_2018.pdf </t>
  </si>
  <si>
    <t>https://www.cdc.gov/nchs/healthy_people/hp2020/hp2020_indicators.htm</t>
  </si>
  <si>
    <t>Neonatal mortality (per 1,000 lb)</t>
  </si>
  <si>
    <t>Total: 15,652, SDG 3.2.2; Gapminder breaks it down by cause (asphyxia, congenital, pneumonia etc)</t>
  </si>
  <si>
    <t>https://www.americashealthrankings.org/explore/health-of-women-and-children/measure/neonatal_mortality/state/ALL</t>
  </si>
  <si>
    <t>Stillbirth rate</t>
  </si>
  <si>
    <t>https://www.cdc.gov/ncbddd/stillbirth/data.html</t>
  </si>
  <si>
    <t>Total: 24,000</t>
  </si>
  <si>
    <t>Under five mortality (per 1,000 lb)</t>
  </si>
  <si>
    <t>Total: ?, SDG 3.2.1</t>
  </si>
  <si>
    <t>Child mortality (age 1-18, per 100,000 lb)</t>
  </si>
  <si>
    <t>https://www.americashealthrankings.org/explore/health-of-women-and-children/measure/child_mortality/state/ALL</t>
  </si>
  <si>
    <t>Total: 19,562</t>
  </si>
  <si>
    <t>Adult mortality (age 15-65, per 100,000)</t>
  </si>
  <si>
    <t>https://www.cdc.gov/nchs/fastats/deaths.htm</t>
  </si>
  <si>
    <t>Total: 2,813,503; UnitedHealth considers "Premature deaths"</t>
  </si>
  <si>
    <t>Average age of death</t>
  </si>
  <si>
    <t>Tuberculosis rate (per 100,000)</t>
  </si>
  <si>
    <t>https://www.cdc.gov/tb/statistics/default.htm</t>
  </si>
  <si>
    <t>health status, mortality, disease</t>
  </si>
  <si>
    <t>Total: 9,105</t>
  </si>
  <si>
    <t>AIDS-related mortality rate</t>
  </si>
  <si>
    <t>https://wwwn.cdc.gov/psr/NationalSummary/NationalSummary.aspx</t>
  </si>
  <si>
    <t>Malaria mortality</t>
  </si>
  <si>
    <t>Premature noncommunicable disease mortality</t>
  </si>
  <si>
    <t>SDG 3.4.1</t>
  </si>
  <si>
    <t>Mortality from household and ambient air pollution</t>
  </si>
  <si>
    <t>SDG 3.9.1</t>
  </si>
  <si>
    <t>BWHP-33</t>
  </si>
  <si>
    <t>Mortality from unsafe water, unsafe sanitation and lack of hygiene</t>
  </si>
  <si>
    <t>SDG 3.9.2</t>
  </si>
  <si>
    <t>Mortality from unintentional poisoning</t>
  </si>
  <si>
    <t>SDG 3.9.3</t>
  </si>
  <si>
    <t>Suicide rate</t>
  </si>
  <si>
    <t>VA</t>
  </si>
  <si>
    <t>SDG 3.4.2; Commonwealth Fund groups suicide, alcohol, and drug deaths</t>
  </si>
  <si>
    <t>https://interactives.commonwealthfund.org/2018/state-scorecard/files/Radley_State_Scorecard_2018.pdf</t>
  </si>
  <si>
    <t>BWHP-10</t>
  </si>
  <si>
    <t>BWHP-10, BWHP-39</t>
  </si>
  <si>
    <t>Death rate due to road traffic injuries</t>
  </si>
  <si>
    <t>SDG 3.6.1</t>
  </si>
  <si>
    <t>https://wwwn.cdc.gov/psr/NationalSummary/NationalSummary.aspx, https://www.cdc.gov/nchs/healthy_people/hp2020/hp2020_indicators.htm</t>
  </si>
  <si>
    <t>BWHP-29</t>
  </si>
  <si>
    <t>Number of deaths, missing persons, and persons affected by disaster per 100,000 people</t>
  </si>
  <si>
    <t>SDG 1.5.1, 11.5.1, 13.1.1</t>
  </si>
  <si>
    <t>Mortality rate due to homicide</t>
  </si>
  <si>
    <t>SDG 16.1.1; UnitedHealth measures violent crime (listed here separately)</t>
  </si>
  <si>
    <t>Mortality from heart diseases</t>
  </si>
  <si>
    <t>https://www.cms.gov/Medicare/Quality-Initiatives-Patient-Assessment-Instruments/QualityInitiativesGenInfo/MMF/General-info-Sub-Page.html</t>
  </si>
  <si>
    <t>Mortality from cancer</t>
  </si>
  <si>
    <t>Also broken out by type of cancer</t>
  </si>
  <si>
    <t>Mortality from health care/medical error</t>
  </si>
  <si>
    <t>CMS + CDC + NIH seem to focus on overall infections, not just deaths. CMS also specifies "preventable healthcare harm"</t>
  </si>
  <si>
    <t>https://interactives.commonwealthfund.org/2018/state-scorecard/files/Radley_State_Scorecard_2018.pdf, https://international.commonwealthfund.org/stats/</t>
  </si>
  <si>
    <t>Mortality from chronic lower respiratory disease</t>
  </si>
  <si>
    <t>Mortality from stroke</t>
  </si>
  <si>
    <t>Mortality from Alzheimer's disease</t>
  </si>
  <si>
    <t>Mortality from diabetes</t>
  </si>
  <si>
    <t>Mortality from influenza, pneumonia</t>
  </si>
  <si>
    <t>BWHP-36</t>
  </si>
  <si>
    <t>Mortality from kidney disease</t>
  </si>
  <si>
    <t>Mortality from drug use</t>
  </si>
  <si>
    <t>Commonwealth Fund groups suicide, alcohol, and drug deaths</t>
  </si>
  <si>
    <t>https://www.cms.gov/Medicare/Quality-Initiatives-Patient-Assessment-Instruments/QualityInitiativesGenInfo/MMF/General-info-Sub-Page.html, BWHP-11</t>
  </si>
  <si>
    <t>BWHP-11, BWHP-38</t>
  </si>
  <si>
    <t>Mortality from alcohol use</t>
  </si>
  <si>
    <t>Mortality from firearm related incidents</t>
  </si>
  <si>
    <t>Mortality from drunk driving</t>
  </si>
  <si>
    <t>BWHP-11</t>
  </si>
  <si>
    <t>Mortality related to criminal justice system involvement</t>
  </si>
  <si>
    <t>Mortality from domestic terrorism</t>
  </si>
  <si>
    <t>Mortality from military service</t>
  </si>
  <si>
    <t>Mortality by communicable diseases</t>
  </si>
  <si>
    <t>Maternal and Infant Mortality/Fertility/Women's Health</t>
  </si>
  <si>
    <t>BWHP-35</t>
  </si>
  <si>
    <t>Mortality by nutrition conditions</t>
  </si>
  <si>
    <t>BWHP-31</t>
  </si>
  <si>
    <t>Mortality by food safety issues</t>
  </si>
  <si>
    <t>Mortality by injury</t>
  </si>
  <si>
    <t>UnitedHealth measures occupational fatalities</t>
  </si>
  <si>
    <t>Breast cancer deaths per 100,000 female population</t>
  </si>
  <si>
    <t>Colorectal cancer deaths per 100,000 population</t>
  </si>
  <si>
    <t>Adolescent birth rate</t>
  </si>
  <si>
    <t>SDG 3.7.2, World bank also covers "Teenage mothers", CDC: Teen pregnancy</t>
  </si>
  <si>
    <t>Total fertility rate</t>
  </si>
  <si>
    <t>Also birth rate/live birth rate</t>
  </si>
  <si>
    <t>Reported abortions</t>
  </si>
  <si>
    <t>New cases of vaccine-preventable diseases</t>
  </si>
  <si>
    <t>New cases of IHR-notifiable diseases and other notifiable diseases</t>
  </si>
  <si>
    <t>HIV prevalence rate</t>
  </si>
  <si>
    <t>HIV incidence rate</t>
  </si>
  <si>
    <t>SDG 3.3.1</t>
  </si>
  <si>
    <t>Incidence of low birth weight among newborns</t>
  </si>
  <si>
    <t>Heptitis B surface antigen prevalence</t>
  </si>
  <si>
    <t>Hepatitis B incidence</t>
  </si>
  <si>
    <t>SDG 3.3.4</t>
  </si>
  <si>
    <t>Sexually transmitted infections (STIs) incidence rate</t>
  </si>
  <si>
    <t>Congenital syphilis rate</t>
  </si>
  <si>
    <t>TB incidence rate</t>
  </si>
  <si>
    <t>SDG 3.3.2</t>
  </si>
  <si>
    <t>TB notification rate</t>
  </si>
  <si>
    <t>Total preterm live births</t>
  </si>
  <si>
    <t>Malaria parasite prevalence among children aged 6-59 months</t>
  </si>
  <si>
    <t>Contraceptive prevalence rate</t>
  </si>
  <si>
    <t>Malaria incidence rate</t>
  </si>
  <si>
    <t>SDG 3.3.3</t>
  </si>
  <si>
    <t>Demand for family planning satisfied with modern methods</t>
  </si>
  <si>
    <t>SDG 3.7.1; World bank is "unmet need for contraception"</t>
  </si>
  <si>
    <t>Cancer incidence</t>
  </si>
  <si>
    <t>Should be broken down by type of cancer</t>
  </si>
  <si>
    <t>Births attended by skilled personnel</t>
  </si>
  <si>
    <t>SDG 3.1.2</t>
  </si>
  <si>
    <t>Infectious disease</t>
  </si>
  <si>
    <t>Chlamydia, pertussis, salmonella</t>
  </si>
  <si>
    <t>Dementia prevalence</t>
  </si>
  <si>
    <t>https://www.oecd-ilibrary.org/docserver/health_glance-2017-en.pdf?expires=1564008067&amp;id=id&amp;accname=guest&amp;checksum=D0ABDB5402647B576A76E200E17FD74F</t>
  </si>
  <si>
    <t>Antenatal (prenatal) care coverage</t>
  </si>
  <si>
    <t>Misc</t>
  </si>
  <si>
    <t>Failing to address social determinants of health harms and kills many patients</t>
  </si>
  <si>
    <t>Postpartum care coverage - mother</t>
  </si>
  <si>
    <t>SDOH</t>
  </si>
  <si>
    <t>BWHP-14</t>
  </si>
  <si>
    <t>Health inequity harms and kills many patients</t>
  </si>
  <si>
    <t>Inequity</t>
  </si>
  <si>
    <t>BWHP-15</t>
  </si>
  <si>
    <t>Antibiotic resistance harms and kills many patients</t>
  </si>
  <si>
    <t>BWHP-24</t>
  </si>
  <si>
    <t>Prevention of mother-to-child transmission</t>
  </si>
  <si>
    <t>Birth registration</t>
  </si>
  <si>
    <t>SDG 16.9.1</t>
  </si>
  <si>
    <t>Self-rated health status</t>
  </si>
  <si>
    <t>Commonwealth Fund tracks adults ages 18–64 who report fair/poor health; OECD breaks down in age groups, gender, socioecomic, etc;</t>
  </si>
  <si>
    <t>Average unhealthy days</t>
  </si>
  <si>
    <t>Birth defects</t>
  </si>
  <si>
    <t>Exclusive breastfeeding rate 0-5 months of age</t>
  </si>
  <si>
    <t>Early initiation of breastfeeding</t>
  </si>
  <si>
    <t>Medicare beneficiaries received high-risk drug</t>
  </si>
  <si>
    <t>Anemia prevalence of women of reproductive age</t>
  </si>
  <si>
    <t>Prevalence of female genital mutilation/cutting</t>
  </si>
  <si>
    <t>SDG 5.3.2</t>
  </si>
  <si>
    <t>Nursing home residents with an antipsychotic medication</t>
  </si>
  <si>
    <t>Postnatal care coverage - newborn</t>
  </si>
  <si>
    <t>Frequent physical distress</t>
  </si>
  <si>
    <t>Intermittent preventive therapy for malaria during pregnancy (IPTp)</t>
  </si>
  <si>
    <t>Obstetric and gynaecological admissions owing to abortion</t>
  </si>
  <si>
    <t>Protective family routines</t>
  </si>
  <si>
    <t>Institutional maternal mortality ratio</t>
  </si>
  <si>
    <t>Potential years of life lost</t>
  </si>
  <si>
    <t>Maternal death reviews</t>
  </si>
  <si>
    <t>Mental Health</t>
  </si>
  <si>
    <t>Risk Factors</t>
  </si>
  <si>
    <t>Mental health disorders per capita</t>
  </si>
  <si>
    <t>https://www.cms.gov/Medicare/Quality-Initiatives-Patient-Assessment-Instruments/QualityInitiativesGenInfo/MMF/General-info-Sub-Page.html, BWHP-10</t>
  </si>
  <si>
    <t>Children under 5 years who are stunted</t>
  </si>
  <si>
    <t>Many patients with mental health problems experience poor health, poor well-being, and die prematurely</t>
  </si>
  <si>
    <t>SDG 2.2.1</t>
  </si>
  <si>
    <t>Mental health, SUD-related</t>
  </si>
  <si>
    <t>Commonwealth Fund focuses on those with unmet needs/treatments, broken down by child/adult. "Poor mental health days"</t>
  </si>
  <si>
    <t>Children under 5 years who are wasted</t>
  </si>
  <si>
    <t>SDG 2.2.2</t>
  </si>
  <si>
    <t>Children aged under 5 years who are overweight</t>
  </si>
  <si>
    <t>Coverage of services for severe mental health disorders</t>
  </si>
  <si>
    <t>Also admission rates</t>
  </si>
  <si>
    <t>Anemia prevalence in children</t>
  </si>
  <si>
    <t>Prevalence of loneliness per capita</t>
  </si>
  <si>
    <t>Also "Risk of isolation"</t>
  </si>
  <si>
    <t>Prevalence of undernourishment</t>
  </si>
  <si>
    <t>Food insecurity, food supply and consumption; Or also program spending (like SNAP);</t>
  </si>
  <si>
    <t>Mental health providers per capita</t>
  </si>
  <si>
    <t>Mean daily intake of total vegetables</t>
  </si>
  <si>
    <t>OECD breaks out fat, calorie, protein, sugar, fruits, vegetable supply along with consumption; Gapminder = sugar per person;</t>
  </si>
  <si>
    <t>PTSD or other disability due to military service</t>
  </si>
  <si>
    <t>BWHP-43</t>
  </si>
  <si>
    <t>Insufficient sleep</t>
  </si>
  <si>
    <t>Poor nutrition</t>
  </si>
  <si>
    <t>Prevention of HIV in key populations</t>
  </si>
  <si>
    <t>Nutrition, Physical Activity, Obesity, and Diabetes</t>
  </si>
  <si>
    <t>Overweight and obesity in adults</t>
  </si>
  <si>
    <t>Population using safely managed drinking-water services</t>
  </si>
  <si>
    <t>SDG 6.1.1</t>
  </si>
  <si>
    <t>Overweight and obesity in children/adolescents</t>
  </si>
  <si>
    <t>Population using safely managed sanitation services</t>
  </si>
  <si>
    <t>SDG 6.2.1a/6.2.1b</t>
  </si>
  <si>
    <t>Population with primary reliance on clean fuels and technologies</t>
  </si>
  <si>
    <t>SDG 7.1.2</t>
  </si>
  <si>
    <t>Raised blood glucose/diabetes among adults</t>
  </si>
  <si>
    <t>Air pollution level in cities</t>
  </si>
  <si>
    <t>SDG 11.6.2</t>
  </si>
  <si>
    <t>https://www.oecd-ilibrary.org/social-issues-migration-health/health-at-a-glance-2017_health_glance-2017-en</t>
  </si>
  <si>
    <t>Raised blood glucose/diabetes among children/adolescents</t>
  </si>
  <si>
    <t>Population living in safely managed land (not polluted)</t>
  </si>
  <si>
    <t>Total alcohol per capita (age 15+ years) consumption</t>
  </si>
  <si>
    <t>SDG 3.5.2; CDC also concerned with adolescent use and Binge drinking; Commonwealth Fund tracks alcohol deaths; USAFacts = binge drinking;</t>
  </si>
  <si>
    <t>Insufficient physical activity in adults</t>
  </si>
  <si>
    <t>BWHP-32</t>
  </si>
  <si>
    <t>Tobacco use among persons aged 15+ years</t>
  </si>
  <si>
    <t>SDG 3.a.1, Also: adolescents, CDC also concerned with adolescents</t>
  </si>
  <si>
    <t>Insufficient physical activity in children/adolescents</t>
  </si>
  <si>
    <t>BWHP-30</t>
  </si>
  <si>
    <t>Raised blood pressure among adults</t>
  </si>
  <si>
    <t>https://www.cdc.gov/nchs/healthy_people/hp2020/hp2020_indicators.htm, https://www.cdc.gov/nchs/healthy_people/hp2020/hp2020_indicators.htm</t>
  </si>
  <si>
    <t>Salt intake</t>
  </si>
  <si>
    <t>Persons with diagnosed diabetes whose A1c value is greater than 9% (D-5.1)</t>
  </si>
  <si>
    <t>Commonwealth Fund considers all adults who have *not* had a test</t>
  </si>
  <si>
    <t>Poor prevention and management of chronic conditions harms and kills many patients</t>
  </si>
  <si>
    <t>Sources generally broadly track immunizations, screenings, etc</t>
  </si>
  <si>
    <t>BWHP-21</t>
  </si>
  <si>
    <t>High Cholesterol</t>
  </si>
  <si>
    <t>Opioid abuse/addiction per capita</t>
  </si>
  <si>
    <t>CDC concerned with adolescents</t>
  </si>
  <si>
    <t>https://www.cms.gov/about-cms/story-page/our-16-strategic-initiatives.html, https://www.cms.gov/Medicare/Quality-Initiatives-Patient-Assessment-Instruments/QualityInitiativesGenInfo/MMF/General-info-Sub-Page.html, BWHP-11</t>
  </si>
  <si>
    <t>Other drug abuse/addiction per capita</t>
  </si>
  <si>
    <t>CDC + USAFacts concerned with adolescents</t>
  </si>
  <si>
    <t>Adults with hypertension whose blood pressure is under control (HDS-12)</t>
  </si>
  <si>
    <t>Children exposed to secondhand smoke (tobacco)</t>
  </si>
  <si>
    <t>Hospital admissions for pediatric asthma, per 100,000 children</t>
  </si>
  <si>
    <t>USAFacts just tracks asthma in population</t>
  </si>
  <si>
    <t>Vitamin A supplementation coverage</t>
  </si>
  <si>
    <t>Diabetes related lower extemity amputation rates per 100,000 population</t>
  </si>
  <si>
    <t>% population with multiple chronic conditions</t>
  </si>
  <si>
    <t>Vision limitation (18 years and over)</t>
  </si>
  <si>
    <t>Substance Abuse</t>
  </si>
  <si>
    <t>Injuries/harmful traditional (cultural) practices</t>
  </si>
  <si>
    <t>Intimate partner violence prevalence</t>
  </si>
  <si>
    <t>SDG 5.2.1</t>
  </si>
  <si>
    <t>Non-partner sexual violence prevalence</t>
  </si>
  <si>
    <t>SDG 5.2.2</t>
  </si>
  <si>
    <t>Sexual violence against children</t>
  </si>
  <si>
    <t>SDG 16.2.3</t>
  </si>
  <si>
    <t>Early marriage</t>
  </si>
  <si>
    <t>SDG 5.3.1</t>
  </si>
  <si>
    <t>Frequency rates of occupational injuries</t>
  </si>
  <si>
    <t>SDG 8.8.1</t>
  </si>
  <si>
    <t>Treatment coverage for alcohol and drug dependence</t>
  </si>
  <si>
    <t>Commonwealth Fund tracks alcohol deaths; Also admission rates</t>
  </si>
  <si>
    <t>Abuse of vulnerable patients harms and kills many patients</t>
  </si>
  <si>
    <t>Abuse, inequity</t>
  </si>
  <si>
    <t>BWHP-19</t>
  </si>
  <si>
    <t>Prevalence of children living in homes with domestic abuse</t>
  </si>
  <si>
    <t>Also "adverse childhood experiences", "disconnected youth"</t>
  </si>
  <si>
    <t>Children without all components of a medical home</t>
  </si>
  <si>
    <t>Incarceration rate</t>
  </si>
  <si>
    <t>Vaccine hesitancy</t>
  </si>
  <si>
    <t>Many patients have substance use disorders (including opioids), experience poor health, poor well-being, and die prematurely</t>
  </si>
  <si>
    <t>VA, Mental health, SUD-related</t>
  </si>
  <si>
    <t>Family separation</t>
  </si>
  <si>
    <t>Homelessness</t>
  </si>
  <si>
    <t>BWHP-40</t>
  </si>
  <si>
    <t>Human trafficking</t>
  </si>
  <si>
    <t>Students graduating from high school 4 years after starting 9th grade</t>
  </si>
  <si>
    <t>TBI harms and kills many Veterans</t>
  </si>
  <si>
    <t>BWHP-44</t>
  </si>
  <si>
    <t>Adults who have lost six or more teeth</t>
  </si>
  <si>
    <t>Violent crime</t>
  </si>
  <si>
    <t>Also linked this to homicide deaths (a more popular metric but similar idea)</t>
  </si>
  <si>
    <t>Opioid prescription rate</t>
  </si>
  <si>
    <t>Pharma consumption, sales, and generic market</t>
  </si>
  <si>
    <t>Spending on pharmaceuticals per capita</t>
  </si>
  <si>
    <t>Reproductive, maternal, newborn, child, and adolescent</t>
  </si>
  <si>
    <t>Screening and Prevention</t>
  </si>
  <si>
    <t>Children receiving recommended doses of DTaP, polio, MMR, Hib, HepB, varivella and PCV vaccines by age 19-35 months (IID-8)</t>
  </si>
  <si>
    <t>Many sources also consider all age appropriate vaccines</t>
  </si>
  <si>
    <t>https://data.worldbank.org/indicator/</t>
  </si>
  <si>
    <t>Immunization coverage rate by vaccine for each vaccine in the national schedule</t>
  </si>
  <si>
    <t>SDG 3.b.1</t>
  </si>
  <si>
    <t>Postpartum care coverage - women</t>
  </si>
  <si>
    <t>Adults receiving colorectal cancer screening based on the most recent guidelines (C-16)</t>
  </si>
  <si>
    <t>Commonwealth Fund considers all age appropriate cancer screenings, also tracks deaths from colorectal cancer</t>
  </si>
  <si>
    <t>Care-seeking for symptoms of pneumonia</t>
  </si>
  <si>
    <t>Coverage of diarrhoea treatment</t>
  </si>
  <si>
    <t>Percentage children with Measles immunization</t>
  </si>
  <si>
    <t>Percentage of population age 65 and older with influenza immunization</t>
  </si>
  <si>
    <t>Cervical cancer screening</t>
  </si>
  <si>
    <t>Commonwealth Fund considers all age appropriate cancer screenings</t>
  </si>
  <si>
    <t>Children, adolescents, and adults who visited the dentist in the past year</t>
  </si>
  <si>
    <t>Commonwealth Fund tracks those who have *not* visited</t>
  </si>
  <si>
    <t>People living with HIV who know their status</t>
  </si>
  <si>
    <t>Mammograms</t>
  </si>
  <si>
    <t>Antiretroviral therapy (ART) coverage</t>
  </si>
  <si>
    <t>Too many Americans do not have a primary care clinician and experience poor health and well-being</t>
  </si>
  <si>
    <t>HIV viral load suppression</t>
  </si>
  <si>
    <t>BWHP-26</t>
  </si>
  <si>
    <t>Coverage of treatment for latent TB infection (LTBI)</t>
  </si>
  <si>
    <t>HIV test results for TB patients</t>
  </si>
  <si>
    <t>HIV-positive new and relapse TB patient on ART during TB treatment</t>
  </si>
  <si>
    <t>Drug susceptibility testing coverage for TB patients</t>
  </si>
  <si>
    <t>TB treatment coverage</t>
  </si>
  <si>
    <t>Treatement coverage for drug-resistant TB</t>
  </si>
  <si>
    <t>Use of insecticide treated nets (ITNs)</t>
  </si>
  <si>
    <t>Treatement of confirmed malaria cases</t>
  </si>
  <si>
    <t>Indoor residual spraying (IRS) coverage</t>
  </si>
  <si>
    <t>Number of people requiring interventions against neglected tropical diseases</t>
  </si>
  <si>
    <t>SDG 3.3.5</t>
  </si>
  <si>
    <t>Coverage of preventive chemotherapy for selected neglected tropical diseases</t>
  </si>
  <si>
    <t>Screening and preventive care</t>
  </si>
  <si>
    <t>Access to a core set of relevant essential medicines</t>
  </si>
  <si>
    <t>BWHP-4</t>
  </si>
  <si>
    <t>BWHP-4, BWHP-34</t>
  </si>
  <si>
    <t>Average Annual Number of Physician Visits per Capita</t>
  </si>
  <si>
    <t>Children without both a medical and dental preventive care visit in past year</t>
  </si>
  <si>
    <t>Potentially avoidable emergency department visits</t>
  </si>
  <si>
    <t>Ages 18–64, per 1,000 employer-insured enrollees; Age 65 and older, per 1,000 Medicare beneficiaries</t>
  </si>
  <si>
    <t>Home health patients also enrolled in Medicare with a hospital admission</t>
  </si>
  <si>
    <t>Coverage of essential health services</t>
  </si>
  <si>
    <t>BWHP-25</t>
  </si>
  <si>
    <t>Perioperative mortality rate</t>
  </si>
  <si>
    <t>ART retention rate</t>
  </si>
  <si>
    <t>TB treatment success rate</t>
  </si>
  <si>
    <t>Hospital 30 day mortality</t>
  </si>
  <si>
    <t>Central-line associated bloodstream infection</t>
  </si>
  <si>
    <t>Health Professional Did Not Review Their Prescriptions in Past Year</t>
  </si>
  <si>
    <t>Breast cancer five-year survival rate</t>
  </si>
  <si>
    <t>Mortality after hospital admission for acute myocardial infarction per 100 admissions, patients age 45 and older</t>
  </si>
  <si>
    <t>Adults ages 18–50 with low back pain who had an imaging study at diagnosis</t>
  </si>
  <si>
    <t>This is wasteful I guess, which is why it's under financing</t>
  </si>
  <si>
    <t>Coverage, Utilization, and Cost (Patient Perspective)</t>
  </si>
  <si>
    <t>Lack of health insurance and access to care harms and kills many patients</t>
  </si>
  <si>
    <t>CHSI + UnitedHealth: number of uninsured</t>
  </si>
  <si>
    <t>https://www.cms.gov/about-cms/story-page/our-16-strategic-initiatives.html</t>
  </si>
  <si>
    <t>Service-specific availability and readiness</t>
  </si>
  <si>
    <t>Ensuring safety and quality</t>
  </si>
  <si>
    <t>Commonwealth Fund section "Performance feedback"</t>
  </si>
  <si>
    <t>Care is personalized and aligned with patient's goals</t>
  </si>
  <si>
    <t>Commonwealth Fund focuses on hospital care being patient-centered as well as patient goals for chronic conditions</t>
  </si>
  <si>
    <t>End of life care according to preferences</t>
  </si>
  <si>
    <t>Commonwealth Fund for "chronic conditions"</t>
  </si>
  <si>
    <t>Patient's experience of care</t>
  </si>
  <si>
    <t>Patient reported functional outcomes</t>
  </si>
  <si>
    <t>Proportion of the population with impoverishing health expenditure</t>
  </si>
  <si>
    <t>Medication management</t>
  </si>
  <si>
    <t>World bank includes those at risk</t>
  </si>
  <si>
    <t>Admissions and readmissions to hospitals</t>
  </si>
  <si>
    <t>Commonwealth Fund focuses on avoidable hospital use and cost (30 day readmission)</t>
  </si>
  <si>
    <t>BWHP-5, BWHP-18</t>
  </si>
  <si>
    <t>Proportion of the population with large household expenditure on health as a share of total household consumption or income</t>
  </si>
  <si>
    <t>SDG 3.8.2</t>
  </si>
  <si>
    <t>Patient focused episode of care</t>
  </si>
  <si>
    <t>Health care spending per capita</t>
  </si>
  <si>
    <t>Drug costs too high/Prevalence of patients missing/rationing prescription drug regimen due to cost</t>
  </si>
  <si>
    <t>Rising drug costs, Cost</t>
  </si>
  <si>
    <t>https://www.cms.gov/about-cms/story-page/our-16-strategic-initiatives.html, BWHP-3</t>
  </si>
  <si>
    <t>BWHP-3, BWHP-18</t>
  </si>
  <si>
    <t>Hospital patients discharged without instructions for home recovery</t>
  </si>
  <si>
    <t>Also calling it gaps in hospital discharge planning</t>
  </si>
  <si>
    <t>Hospital patients who did not receive patient-centered care</t>
  </si>
  <si>
    <t>Home health patients who did not get better at walking or moving around</t>
  </si>
  <si>
    <t>Short-stay nursing home residents with a 30-day readmission to the hospital</t>
  </si>
  <si>
    <t>Out-of-pocket health care spending per capita</t>
  </si>
  <si>
    <t>Patient out of pocket costs are too high</t>
  </si>
  <si>
    <t>Cost</t>
  </si>
  <si>
    <t>Long-stay nursing home residents with a hospital admission</t>
  </si>
  <si>
    <t>Prevalence of patients missing routine care due to cost</t>
  </si>
  <si>
    <t>Prevalence of patients missing urgent/emergent care due to cost</t>
  </si>
  <si>
    <t>Average Length of Stay for Curative (Acute) Care in Days</t>
  </si>
  <si>
    <t>Experienced a Coordination Problem in Past Two Years</t>
  </si>
  <si>
    <t>Commonwealth grouping of 3 responses measured</t>
  </si>
  <si>
    <t>Outpatient service utilization</t>
  </si>
  <si>
    <t>Inpatient admissions and surgical volume</t>
  </si>
  <si>
    <t>Hospital discharges per 1,000 population</t>
  </si>
  <si>
    <t>Able to Get Same-Day/Next-Day Appointment When Sick</t>
  </si>
  <si>
    <t>Health facility density and distribution</t>
  </si>
  <si>
    <t>Very/Somewhat Easy to Get Care After Hours</t>
  </si>
  <si>
    <t>Access to emergency surgery</t>
  </si>
  <si>
    <t>Waited Two Months or More for Specialist Appointment</t>
  </si>
  <si>
    <t>Hospital bed density</t>
  </si>
  <si>
    <t>Commonwealth Fund: Total Curative (Acute) Care Beds, per 1,000 Population;</t>
  </si>
  <si>
    <t>Waited Four Months or More for Elective Surgery</t>
  </si>
  <si>
    <t>Dentists per capita</t>
  </si>
  <si>
    <t>PCP per capita</t>
  </si>
  <si>
    <t>ACA marketplace health insurance plan premiums are too high for the unsubsidized poor</t>
  </si>
  <si>
    <t>Inadequate access</t>
  </si>
  <si>
    <t>https://www.cms.gov/about-cms/story-page/our-16-strategic-initiatives.html, BWHP-5</t>
  </si>
  <si>
    <t>Prices for healthcare procedures, services, and goods are not transparent</t>
  </si>
  <si>
    <t>Lack of price transparency</t>
  </si>
  <si>
    <t>https://www.cms.gov/about-cms/story-page/our-16-strategic-initiatives.html, BWHP-9</t>
  </si>
  <si>
    <t>Poor access to quality healthcare in rural areas harms and kills many patients</t>
  </si>
  <si>
    <t>BWHP-9</t>
  </si>
  <si>
    <t>Inadequate access, Rural health</t>
  </si>
  <si>
    <t>https://www.cms.gov/about-cms/story-page/our-16-strategic-initiatives.html, BWHP-4</t>
  </si>
  <si>
    <t>Admissions for ambulatory care–sensitive conditions</t>
  </si>
  <si>
    <t>As it relates to preventable hospital use and cost</t>
  </si>
  <si>
    <t>Many dual eligibles (Medicare-Medicaid beneficiaries) experience poor health and die prematurely</t>
  </si>
  <si>
    <t>Poor dual eligible outcomes</t>
  </si>
  <si>
    <t>https://www.cms.gov/about-cms/story-page/our-16-strategic-initiatives.html, BWHP-7</t>
  </si>
  <si>
    <t>BWHP-7</t>
  </si>
  <si>
    <t>The Medicare program is too complex for seniors to understand</t>
  </si>
  <si>
    <t>Medicare complexity</t>
  </si>
  <si>
    <t>BWHP-12</t>
  </si>
  <si>
    <t>Lack of patient data ownership and access to their complete health record harms and kills patients</t>
  </si>
  <si>
    <t>BWHP-27</t>
  </si>
  <si>
    <t>Many veterans have to wait too long to obtain health care</t>
  </si>
  <si>
    <t>BWHP-37</t>
  </si>
  <si>
    <t>Number of Medicare enrollees</t>
  </si>
  <si>
    <t>Magnetic Resonance Imaging (MRI) Machines per Million Population</t>
  </si>
  <si>
    <t>OECD: Med tech</t>
  </si>
  <si>
    <t>Magnetic Resonance Imaging (MRI) Exams per 1,000 Population</t>
  </si>
  <si>
    <t>Hip and knee replacements</t>
  </si>
  <si>
    <t>Hospital occupancy rate</t>
  </si>
  <si>
    <t>Informal care givers</t>
  </si>
  <si>
    <t>Employee insurance costs as a share of median income</t>
  </si>
  <si>
    <t>Total reimbursements per enrollee (ages 18–64) with employer-sponsored insurance</t>
  </si>
  <si>
    <t>Total Medicare (Parts A &amp; B) reimbursements per enrollee</t>
  </si>
  <si>
    <t>Long term care recipients</t>
  </si>
  <si>
    <t>By home / institution</t>
  </si>
  <si>
    <t>Mortality (causes, life expectancy, by age, race, etc) (+ money invested? + media coverage?)</t>
  </si>
  <si>
    <t>Health worker density and distribution</t>
  </si>
  <si>
    <t>SDG 3.c.1; CHSI: # PCP and health professional shortage areas; Commonwalth Fund: number of Practicing Physicians per 1,000 Population; OECD breaks it down into many HC worker roles;</t>
  </si>
  <si>
    <t>Output training institutions</t>
  </si>
  <si>
    <t>Accessible? Affordable?</t>
  </si>
  <si>
    <t>Healthcare regulations and healthcare IT cause excessive clinician burden</t>
  </si>
  <si>
    <t>Regulatory burden, Health IT</t>
  </si>
  <si>
    <t>https://www.cms.gov/about-cms/story-page/our-16-strategic-initiatives.html, BWHP-8</t>
  </si>
  <si>
    <t>BWHP-8</t>
  </si>
  <si>
    <t>There are too many VA health professional and leadership vacancies leading to poor care and outcomes</t>
  </si>
  <si>
    <t>BWHP-41</t>
  </si>
  <si>
    <t>Modernizing CMS</t>
  </si>
  <si>
    <t>Better work efficiency for CMS employees</t>
  </si>
  <si>
    <t>Migration of doctors and nurses. Foreign trained docs, nurses, etc</t>
  </si>
  <si>
    <t>Death registration</t>
  </si>
  <si>
    <t>SDG 17.19.2</t>
  </si>
  <si>
    <t>Completeness of reporting by facilities</t>
  </si>
  <si>
    <t>CHSI: data on infectious diseases</t>
  </si>
  <si>
    <t>Completeness and timeliness for notifiable diseases</t>
  </si>
  <si>
    <t>Lack of health data interoperability harms and kills many patients</t>
  </si>
  <si>
    <t>VA, Lack of Standard Health Data, Health IT</t>
  </si>
  <si>
    <t>https://www.cms.gov/Medicare/Quality-Initiatives-Patient-Assessment-Instruments/QualityInitiativesGenInfo/MMF/General-info-Sub-Page.html, https://www.cms.gov/about-cms/story-page/our-16-strategic-initiatives.html, BWHP-13</t>
  </si>
  <si>
    <t>BWHP-13, BWHP-42</t>
  </si>
  <si>
    <t>eMedicare</t>
  </si>
  <si>
    <t>Primary Care Physicians’ Use of Electronic Medical Records</t>
  </si>
  <si>
    <t>Total current expenditure on health as % of GDP</t>
  </si>
  <si>
    <t>Total capital expenditure on health as % of current + capital expenditure on health</t>
  </si>
  <si>
    <t>Commonwealth Fund is health care spending per capita which I'm not sure is the same here?</t>
  </si>
  <si>
    <t>Public domestic sources of current spending on health as % of current health expenditure</t>
  </si>
  <si>
    <t>BWHP-1, BWHP-</t>
  </si>
  <si>
    <t>Private domestic sources of current spending on health as % of current health expenditure</t>
  </si>
  <si>
    <t>External source of current spending on health (% of current expenditure on health)</t>
  </si>
  <si>
    <t>Total net official development assitance to medical research and basic health sectors</t>
  </si>
  <si>
    <t>SDG 3.b.2</t>
  </si>
  <si>
    <t>Medicare costs are too high</t>
  </si>
  <si>
    <t>Trust fund risk</t>
  </si>
  <si>
    <t>https://www.cms.gov/about-cms/story-page/our-16-strategic-initiatives.html, BWHP-1</t>
  </si>
  <si>
    <t>BWHP-1, BWHP-22</t>
  </si>
  <si>
    <t>Medicaid costs are too high</t>
  </si>
  <si>
    <t>https://www.cms.gov/about-cms/story-page/our-16-strategic-initiatives.html, BWHP-17</t>
  </si>
  <si>
    <t>BWHP-17, BWHP-23</t>
  </si>
  <si>
    <t>Private Medicare health insurance plan administrative costs are too high</t>
  </si>
  <si>
    <t>https://www.cms.gov/about-cms/story-page/our-16-strategic-initiatives.html, BWHP-22</t>
  </si>
  <si>
    <t>Private Medicaid health insurance plan administrative costs are too high</t>
  </si>
  <si>
    <t>https://www.cms.gov/about-cms/story-page/our-16-strategic-initiatives.html, BWHP-23</t>
  </si>
  <si>
    <t>There is a lack of a cost-effectiveness body for Medicare and Medicaid</t>
  </si>
  <si>
    <t>BWHP-28</t>
  </si>
  <si>
    <t>Fee-for-service healthcare is wasteful</t>
  </si>
  <si>
    <t>FFS Inefficiency, Suboptimal care delivery</t>
  </si>
  <si>
    <t>https://www.cms.gov/about-cms/story-page/our-16-strategic-initiatives.html. BWHP-2</t>
  </si>
  <si>
    <t>BWHP-2</t>
  </si>
  <si>
    <t xml:space="preserve">"Healthcare "fraud, waste, and abuse" harms and kills many patients" </t>
  </si>
  <si>
    <t>Healthcare FWA</t>
  </si>
  <si>
    <t>https://www.cms.gov/about-cms/story-page/our-16-strategic-initiatives.html, https://www.cms.gov/Medicare/Quality-Initiatives-Patient-Assessment-Instruments/QualityInitiativesGenInfo/MMF/General-info-Sub-Page.html, BWHP-6</t>
  </si>
  <si>
    <t>BWHP-1, BWHP-6</t>
  </si>
  <si>
    <t>Strengthening Medicare</t>
  </si>
  <si>
    <t>Transforming Medicaid</t>
  </si>
  <si>
    <t>Innovating payment models</t>
  </si>
  <si>
    <t>Risk adjusted total cost of care</t>
  </si>
  <si>
    <t>SDOH/Healthy communities and homes (pollution, housing, poverty, sanitation, domestic abuse, routines, etc)</t>
  </si>
  <si>
    <t>Hospital spending per discharge</t>
  </si>
  <si>
    <t>Per stay</t>
  </si>
  <si>
    <t>Expenditure by disease</t>
  </si>
  <si>
    <t>Expenditure by age</t>
  </si>
  <si>
    <t>Expenditure by gender</t>
  </si>
  <si>
    <t>International Health Regulations (IHR) core capacity index</t>
  </si>
  <si>
    <t>SDG 3.d.1</t>
  </si>
  <si>
    <t>Health data security is inadequate and jeopardizes patient privacy and safety</t>
  </si>
  <si>
    <t>Policy, Health IT</t>
  </si>
  <si>
    <t>BWHP-20</t>
  </si>
  <si>
    <t>Existence of national health sector policy/strategy/plan</t>
  </si>
  <si>
    <t>New drugs approved</t>
  </si>
  <si>
    <t>Food safety procedures performed</t>
  </si>
  <si>
    <t>Also food safety recalls, noncompliances documented, compliance rate</t>
  </si>
  <si>
    <t>Standards for pollutants and toxic chemicals</t>
  </si>
  <si>
    <t>Fostering innovation</t>
  </si>
  <si>
    <t>Community engagement</t>
  </si>
  <si>
    <t>Voter registration</t>
  </si>
  <si>
    <t>Aging/Elderly Care</t>
  </si>
  <si>
    <t>Veterans Health</t>
  </si>
  <si>
    <t>Data security, interoperability, completeness, and infrastructure</t>
  </si>
  <si>
    <t>Patient-centered care</t>
  </si>
  <si>
    <t>System efficiency (cost)</t>
  </si>
  <si>
    <t>System efficiency (access, distribution)</t>
  </si>
  <si>
    <t>System efficiency (hospitals, hospital performance)</t>
  </si>
  <si>
    <t>System efficiency (governance)</t>
  </si>
  <si>
    <t>Other Vulnerable Populations? Inequities?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</si>
</sst>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font>
    <font>
      <b/>
      <sz val="14.0"/>
      <color rgb="FFFFFFFF"/>
    </font>
    <font>
      <b/>
      <sz val="10.0"/>
    </font>
    <font>
      <sz val="10.0"/>
    </font>
    <font/>
    <font>
      <b/>
      <sz val="10.0"/>
      <color rgb="FF000000"/>
    </font>
    <font>
      <sz val="11.0"/>
      <color rgb="FF3C4043"/>
      <name val="Roboto"/>
    </font>
    <font>
      <u/>
      <color rgb="FF0000FF"/>
    </font>
    <font>
      <u/>
      <color rgb="FF0000FF"/>
    </font>
    <font>
      <u/>
      <color rgb="FF0000FF"/>
    </font>
    <font>
      <u/>
      <color rgb="FF0000FF"/>
    </font>
    <font>
      <sz val="12.0"/>
      <color rgb="FFFFFFFF"/>
    </font>
    <font>
      <color rgb="FFFFFFFF"/>
    </font>
    <font>
      <u/>
      <color rgb="FF0000FF"/>
    </font>
    <font>
      <u/>
      <color rgb="FF0000FF"/>
    </font>
    <font>
      <name val="Arial"/>
    </font>
    <font>
      <u/>
      <color rgb="FF0000FF"/>
    </font>
  </fonts>
  <fills count="20">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1C232"/>
        <bgColor rgb="FFF1C232"/>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913783"/>
        <bgColor rgb="FF913783"/>
      </patternFill>
    </fill>
    <fill>
      <patternFill patternType="solid">
        <fgColor rgb="FFD5A6BD"/>
        <bgColor rgb="FFD5A6BD"/>
      </patternFill>
    </fill>
    <fill>
      <patternFill patternType="solid">
        <fgColor rgb="FFEAD1DC"/>
        <bgColor rgb="FFEAD1DC"/>
      </patternFill>
    </fill>
    <fill>
      <patternFill patternType="solid">
        <fgColor rgb="FF964404"/>
        <bgColor rgb="FF964404"/>
      </patternFill>
    </fill>
    <fill>
      <patternFill patternType="solid">
        <fgColor rgb="FFF7C29E"/>
        <bgColor rgb="FFF7C29E"/>
      </patternFill>
    </fill>
    <fill>
      <patternFill patternType="solid">
        <fgColor rgb="FFFEE7CF"/>
        <bgColor rgb="FFFEE7CF"/>
      </patternFill>
    </fill>
    <fill>
      <patternFill patternType="solid">
        <fgColor rgb="FF066537"/>
        <bgColor rgb="FF066537"/>
      </patternFill>
    </fill>
    <fill>
      <patternFill patternType="solid">
        <fgColor rgb="FFB6D7A8"/>
        <bgColor rgb="FFB6D7A8"/>
      </patternFill>
    </fill>
    <fill>
      <patternFill patternType="solid">
        <fgColor rgb="FFD9EAD3"/>
        <bgColor rgb="FFD9EAD3"/>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wrapText="0"/>
    </xf>
    <xf borderId="0" fillId="2" fontId="2" numFmtId="0" xfId="0" applyAlignment="1" applyFill="1" applyFont="1">
      <alignment readingOrder="0"/>
    </xf>
    <xf borderId="0" fillId="0" fontId="1" numFmtId="0" xfId="0" applyAlignment="1" applyFont="1">
      <alignment shrinkToFit="0" wrapText="0"/>
    </xf>
    <xf borderId="0" fillId="2" fontId="2" numFmtId="0" xfId="0" applyFont="1"/>
    <xf borderId="0" fillId="3" fontId="3" numFmtId="0" xfId="0" applyAlignment="1" applyFill="1" applyFont="1">
      <alignment readingOrder="0"/>
    </xf>
    <xf borderId="0" fillId="3" fontId="3" numFmtId="0" xfId="0" applyFont="1"/>
    <xf borderId="0" fillId="0" fontId="4" numFmtId="0" xfId="0" applyAlignment="1" applyFont="1">
      <alignment readingOrder="0"/>
    </xf>
    <xf borderId="0" fillId="4" fontId="2" numFmtId="0" xfId="0" applyAlignment="1" applyFill="1" applyFont="1">
      <alignment readingOrder="0" shrinkToFit="0" wrapText="0"/>
    </xf>
    <xf borderId="0" fillId="0" fontId="5" numFmtId="0" xfId="0" applyAlignment="1" applyFont="1">
      <alignment readingOrder="0"/>
    </xf>
    <xf borderId="0" fillId="5" fontId="6" numFmtId="0" xfId="0" applyAlignment="1" applyFill="1" applyFont="1">
      <alignment readingOrder="0" shrinkToFit="0" wrapText="0"/>
    </xf>
    <xf borderId="0" fillId="0" fontId="1" numFmtId="0" xfId="0" applyAlignment="1" applyFont="1">
      <alignment readingOrder="0"/>
    </xf>
    <xf borderId="0" fillId="6" fontId="1" numFmtId="0" xfId="0" applyAlignment="1" applyFill="1" applyFont="1">
      <alignment readingOrder="0" shrinkToFit="0" wrapText="0"/>
    </xf>
    <xf borderId="0" fillId="5" fontId="7" numFmtId="0" xfId="0" applyAlignment="1" applyFont="1">
      <alignment horizontal="left"/>
    </xf>
    <xf borderId="0" fillId="7" fontId="5" numFmtId="0" xfId="0" applyAlignment="1" applyFill="1" applyFont="1">
      <alignment readingOrder="0" shrinkToFit="0" wrapText="0"/>
    </xf>
    <xf borderId="0" fillId="7" fontId="8" numFmtId="0" xfId="0" applyAlignment="1" applyFont="1">
      <alignment readingOrder="0" shrinkToFit="0" wrapText="0"/>
    </xf>
    <xf borderId="0" fillId="7" fontId="5" numFmtId="0" xfId="0" applyAlignment="1" applyFont="1">
      <alignment shrinkToFit="0" wrapText="0"/>
    </xf>
    <xf borderId="0" fillId="5" fontId="5" numFmtId="0" xfId="0" applyAlignment="1" applyFont="1">
      <alignment readingOrder="0"/>
    </xf>
    <xf borderId="0" fillId="5" fontId="5" numFmtId="0" xfId="0" applyFont="1"/>
    <xf borderId="0" fillId="0" fontId="9" numFmtId="0" xfId="0" applyFont="1"/>
    <xf borderId="0" fillId="7" fontId="5" numFmtId="0" xfId="0" applyAlignment="1" applyFont="1">
      <alignment readingOrder="0" shrinkToFit="0" wrapText="0"/>
    </xf>
    <xf borderId="0" fillId="8" fontId="2" numFmtId="0" xfId="0" applyAlignment="1" applyFill="1" applyFont="1">
      <alignment readingOrder="0" shrinkToFit="0" wrapText="0"/>
    </xf>
    <xf borderId="0" fillId="9" fontId="1" numFmtId="0" xfId="0" applyAlignment="1" applyFill="1" applyFont="1">
      <alignment readingOrder="0" shrinkToFit="0" wrapText="0"/>
    </xf>
    <xf borderId="0" fillId="10" fontId="5" numFmtId="0" xfId="0" applyAlignment="1" applyFill="1" applyFont="1">
      <alignment readingOrder="0" shrinkToFit="0" wrapText="0"/>
    </xf>
    <xf borderId="0" fillId="10" fontId="10" numFmtId="0" xfId="0" applyAlignment="1" applyFont="1">
      <alignment readingOrder="0" shrinkToFit="0" wrapText="0"/>
    </xf>
    <xf borderId="0" fillId="10" fontId="5" numFmtId="0" xfId="0" applyAlignment="1" applyFont="1">
      <alignment shrinkToFit="0" wrapText="0"/>
    </xf>
    <xf borderId="0" fillId="10" fontId="11" numFmtId="0" xfId="0" applyAlignment="1" applyFont="1">
      <alignment readingOrder="0"/>
    </xf>
    <xf borderId="0" fillId="9" fontId="5" numFmtId="0" xfId="0" applyAlignment="1" applyFont="1">
      <alignment readingOrder="0" shrinkToFit="0" wrapText="0"/>
    </xf>
    <xf borderId="0" fillId="9" fontId="5" numFmtId="0" xfId="0" applyAlignment="1" applyFont="1">
      <alignment shrinkToFit="0" wrapText="0"/>
    </xf>
    <xf borderId="0" fillId="9" fontId="5" numFmtId="0" xfId="0" applyAlignment="1" applyFont="1">
      <alignment shrinkToFit="0" wrapText="0"/>
    </xf>
    <xf borderId="0" fillId="10" fontId="5" numFmtId="0" xfId="0" applyAlignment="1" applyFont="1">
      <alignment shrinkToFit="0" wrapText="0"/>
    </xf>
    <xf borderId="0" fillId="10" fontId="5" numFmtId="0" xfId="0" applyAlignment="1" applyFont="1">
      <alignment readingOrder="0" shrinkToFit="0" wrapText="0"/>
    </xf>
    <xf borderId="0" fillId="10" fontId="5" numFmtId="0" xfId="0" applyAlignment="1" applyFont="1">
      <alignment readingOrder="0"/>
    </xf>
    <xf borderId="0" fillId="2" fontId="12" numFmtId="0" xfId="0" applyAlignment="1" applyFont="1">
      <alignment readingOrder="0"/>
    </xf>
    <xf borderId="0" fillId="2" fontId="13" numFmtId="0" xfId="0" applyFont="1"/>
    <xf borderId="0" fillId="11" fontId="2" numFmtId="0" xfId="0" applyAlignment="1" applyFill="1" applyFont="1">
      <alignment readingOrder="0" shrinkToFit="0" wrapText="0"/>
    </xf>
    <xf borderId="0" fillId="12" fontId="1" numFmtId="0" xfId="0" applyAlignment="1" applyFill="1" applyFont="1">
      <alignment readingOrder="0" shrinkToFit="0" wrapText="0"/>
    </xf>
    <xf borderId="0" fillId="13" fontId="5" numFmtId="0" xfId="0" applyAlignment="1" applyFill="1" applyFont="1">
      <alignment readingOrder="0" shrinkToFit="0" wrapText="0"/>
    </xf>
    <xf borderId="0" fillId="13" fontId="5" numFmtId="0" xfId="0" applyAlignment="1" applyFont="1">
      <alignment shrinkToFit="0" wrapText="0"/>
    </xf>
    <xf borderId="0" fillId="13" fontId="5" numFmtId="0" xfId="0" applyAlignment="1" applyFont="1">
      <alignment shrinkToFit="0" wrapText="0"/>
    </xf>
    <xf borderId="0" fillId="13" fontId="14" numFmtId="0" xfId="0" applyAlignment="1" applyFont="1">
      <alignment readingOrder="0" shrinkToFit="0" wrapText="0"/>
    </xf>
    <xf borderId="0" fillId="13" fontId="5" numFmtId="0" xfId="0" applyAlignment="1" applyFont="1">
      <alignment readingOrder="0" shrinkToFit="0" wrapText="0"/>
    </xf>
    <xf borderId="0" fillId="12" fontId="5" numFmtId="0" xfId="0" applyAlignment="1" applyFont="1">
      <alignment readingOrder="0" shrinkToFit="0" wrapText="0"/>
    </xf>
    <xf borderId="0" fillId="12" fontId="5" numFmtId="0" xfId="0" applyAlignment="1" applyFont="1">
      <alignment shrinkToFit="0" wrapText="0"/>
    </xf>
    <xf borderId="0" fillId="12" fontId="5" numFmtId="0" xfId="0" applyAlignment="1" applyFont="1">
      <alignment shrinkToFit="0" wrapText="0"/>
    </xf>
    <xf borderId="0" fillId="14" fontId="2" numFmtId="0" xfId="0" applyAlignment="1" applyFill="1" applyFont="1">
      <alignment readingOrder="0" shrinkToFit="0" wrapText="0"/>
    </xf>
    <xf borderId="0" fillId="15" fontId="1" numFmtId="0" xfId="0" applyAlignment="1" applyFill="1" applyFont="1">
      <alignment readingOrder="0" shrinkToFit="0" wrapText="0"/>
    </xf>
    <xf borderId="0" fillId="16" fontId="5" numFmtId="0" xfId="0" applyAlignment="1" applyFill="1" applyFont="1">
      <alignment readingOrder="0" shrinkToFit="0" wrapText="0"/>
    </xf>
    <xf borderId="0" fillId="16" fontId="5" numFmtId="0" xfId="0" applyAlignment="1" applyFont="1">
      <alignment shrinkToFit="0" wrapText="0"/>
    </xf>
    <xf borderId="0" fillId="16" fontId="5" numFmtId="0" xfId="0" applyAlignment="1" applyFont="1">
      <alignment shrinkToFit="0" wrapText="0"/>
    </xf>
    <xf borderId="0" fillId="16" fontId="15" numFmtId="0" xfId="0" applyAlignment="1" applyFont="1">
      <alignment readingOrder="0" shrinkToFit="0" wrapText="0"/>
    </xf>
    <xf borderId="0" fillId="16" fontId="5" numFmtId="0" xfId="0" applyAlignment="1" applyFont="1">
      <alignment readingOrder="0" shrinkToFit="0" wrapText="0"/>
    </xf>
    <xf borderId="0" fillId="15" fontId="16" numFmtId="0" xfId="0" applyAlignment="1" applyFont="1">
      <alignment vertical="bottom"/>
    </xf>
    <xf borderId="0" fillId="15" fontId="16" numFmtId="0" xfId="0" applyAlignment="1" applyFont="1">
      <alignment vertical="bottom"/>
    </xf>
    <xf borderId="0" fillId="17" fontId="2" numFmtId="0" xfId="0" applyAlignment="1" applyFill="1" applyFont="1">
      <alignment readingOrder="0" shrinkToFit="0" wrapText="0"/>
    </xf>
    <xf borderId="0" fillId="18" fontId="1" numFmtId="0" xfId="0" applyAlignment="1" applyFill="1" applyFont="1">
      <alignment readingOrder="0" shrinkToFit="0" wrapText="0"/>
    </xf>
    <xf borderId="0" fillId="19" fontId="5" numFmtId="0" xfId="0" applyAlignment="1" applyFill="1" applyFont="1">
      <alignment readingOrder="0" shrinkToFit="0" wrapText="0"/>
    </xf>
    <xf borderId="0" fillId="19" fontId="5" numFmtId="0" xfId="0" applyAlignment="1" applyFont="1">
      <alignment shrinkToFit="0" wrapText="0"/>
    </xf>
    <xf borderId="0" fillId="19" fontId="5" numFmtId="0" xfId="0" applyAlignment="1" applyFont="1">
      <alignment shrinkToFit="0" wrapText="0"/>
    </xf>
    <xf borderId="0" fillId="19" fontId="17" numFmtId="0" xfId="0" applyAlignment="1" applyFont="1">
      <alignment readingOrder="0" shrinkToFit="0" wrapText="0"/>
    </xf>
    <xf borderId="0" fillId="19" fontId="5" numFmtId="0" xfId="0" applyAlignment="1" applyFont="1">
      <alignment readingOrder="0" shrinkToFit="0" wrapText="0"/>
    </xf>
    <xf borderId="0" fillId="2" fontId="12" numFmtId="0" xfId="0" applyFont="1"/>
    <xf borderId="0" fillId="0" fontId="5" numFmtId="0" xfId="0" applyAlignment="1" applyFont="1">
      <alignment shrinkToFit="0" wrapText="0"/>
    </xf>
    <xf borderId="0" fillId="0" fontId="5"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apps.who.int/iris/bitstream/handle/10665/259951/WHO-HIS-IER-GPM-2018.1-eng.pdf;jsessionid=47FB126CD095961CAC9D15E3FBF39514?sequence=1" TargetMode="External"/><Relationship Id="rId194" Type="http://schemas.openxmlformats.org/officeDocument/2006/relationships/hyperlink" Target="https://usafacts.org/missions/promote-welfare/12" TargetMode="External"/><Relationship Id="rId193" Type="http://schemas.openxmlformats.org/officeDocument/2006/relationships/hyperlink" Target="https://stats.oecd.org/index.aspx?DataSetCode=HEALTH_STAT" TargetMode="External"/><Relationship Id="rId192" Type="http://schemas.openxmlformats.org/officeDocument/2006/relationships/hyperlink" Target="https://apps.who.int/iris/bitstream/handle/10665/259951/WHO-HIS-IER-GPM-2018.1-eng.pdf;jsessionid=47FB126CD095961CAC9D15E3FBF39514?sequence=1" TargetMode="External"/><Relationship Id="rId191" Type="http://schemas.openxmlformats.org/officeDocument/2006/relationships/hyperlink" Target="https://stats.oecd.org/index.aspx?DataSetCode=HEALTH_STAT" TargetMode="External"/><Relationship Id="rId187" Type="http://schemas.openxmlformats.org/officeDocument/2006/relationships/hyperlink" Target="https://apps.who.int/iris/bitstream/handle/10665/259951/WHO-HIS-IER-GPM-2018.1-eng.pdf;jsessionid=47FB126CD095961CAC9D15E3FBF39514?sequence=1" TargetMode="External"/><Relationship Id="rId186" Type="http://schemas.openxmlformats.org/officeDocument/2006/relationships/hyperlink" Target="https://data.worldbank.org/indicator/" TargetMode="External"/><Relationship Id="rId185" Type="http://schemas.openxmlformats.org/officeDocument/2006/relationships/hyperlink" Target="https://usafacts.org/missions/promote-welfare/12" TargetMode="External"/><Relationship Id="rId184" Type="http://schemas.openxmlformats.org/officeDocument/2006/relationships/hyperlink" Target="https://apps.who.int/iris/bitstream/handle/10665/259951/WHO-HIS-IER-GPM-2018.1-eng.pdf;jsessionid=47FB126CD095961CAC9D15E3FBF39514?sequence=1" TargetMode="External"/><Relationship Id="rId189" Type="http://schemas.openxmlformats.org/officeDocument/2006/relationships/hyperlink" Target="https://www.cdc.gov/nchs/healthy_people/hp2020/hp2020_indicators.htm" TargetMode="External"/><Relationship Id="rId188" Type="http://schemas.openxmlformats.org/officeDocument/2006/relationships/hyperlink" Target="https://stats.oecd.org/index.aspx?DataSetCode=HEALTH_STAT" TargetMode="External"/><Relationship Id="rId183" Type="http://schemas.openxmlformats.org/officeDocument/2006/relationships/hyperlink" Target="https://wwwn.cdc.gov/psr/NationalSummary/NationalSummary.aspx" TargetMode="External"/><Relationship Id="rId182" Type="http://schemas.openxmlformats.org/officeDocument/2006/relationships/hyperlink" Target="https://data.worldbank.org/indicator/" TargetMode="External"/><Relationship Id="rId181" Type="http://schemas.openxmlformats.org/officeDocument/2006/relationships/hyperlink" Target="https://usafacts.org/missions/promote-welfare/12" TargetMode="External"/><Relationship Id="rId180" Type="http://schemas.openxmlformats.org/officeDocument/2006/relationships/hyperlink" Target="https://apps.who.int/iris/bitstream/handle/10665/259951/WHO-HIS-IER-GPM-2018.1-eng.pdf;jsessionid=47FB126CD095961CAC9D15E3FBF39514?sequence=1" TargetMode="External"/><Relationship Id="rId176" Type="http://schemas.openxmlformats.org/officeDocument/2006/relationships/hyperlink" Target="https://interactives.commonwealthfund.org/2018/state-scorecard/files/Radley_State_Scorecard_2018.pdf" TargetMode="External"/><Relationship Id="rId297" Type="http://schemas.openxmlformats.org/officeDocument/2006/relationships/hyperlink" Target="https://usafacts.org/missions/promote-welfare/12" TargetMode="External"/><Relationship Id="rId175" Type="http://schemas.openxmlformats.org/officeDocument/2006/relationships/hyperlink" Target="https://www.cdc.gov/nchs/healthy_people/hp2020/hp2020_indicators.htm" TargetMode="External"/><Relationship Id="rId296" Type="http://schemas.openxmlformats.org/officeDocument/2006/relationships/hyperlink" Target="https://www.americashealthrankings.org/explore/annual" TargetMode="External"/><Relationship Id="rId174" Type="http://schemas.openxmlformats.org/officeDocument/2006/relationships/hyperlink" Target="https://stats.oecd.org/index.aspx?DataSetCode=HEALTH_STAT" TargetMode="External"/><Relationship Id="rId295" Type="http://schemas.openxmlformats.org/officeDocument/2006/relationships/hyperlink" Target="https://www.americashealthrankings.org/explore/annual" TargetMode="External"/><Relationship Id="rId173" Type="http://schemas.openxmlformats.org/officeDocument/2006/relationships/hyperlink" Target="https://wwwn.cdc.gov/psr/NationalSummary/NationalSummary.aspx" TargetMode="External"/><Relationship Id="rId294" Type="http://schemas.openxmlformats.org/officeDocument/2006/relationships/hyperlink" Target="https://usafacts.org/missions/promote-welfare/12" TargetMode="External"/><Relationship Id="rId179" Type="http://schemas.openxmlformats.org/officeDocument/2006/relationships/hyperlink" Target="https://stats.oecd.org/index.aspx?DataSetCode=HEALTH_STAT" TargetMode="External"/><Relationship Id="rId178" Type="http://schemas.openxmlformats.org/officeDocument/2006/relationships/hyperlink" Target="https://interactives.commonwealthfund.org/2018/state-scorecard/files/Radley_State_Scorecard_2018.pdf" TargetMode="External"/><Relationship Id="rId299" Type="http://schemas.openxmlformats.org/officeDocument/2006/relationships/hyperlink" Target="https://usafacts.org/missions/promote-welfare/12" TargetMode="External"/><Relationship Id="rId177" Type="http://schemas.openxmlformats.org/officeDocument/2006/relationships/hyperlink" Target="https://stats.oecd.org/index.aspx?DataSetCode=HEALTH_STAT" TargetMode="External"/><Relationship Id="rId298" Type="http://schemas.openxmlformats.org/officeDocument/2006/relationships/hyperlink" Target="https://www.americashealthrankings.org/explore/annual" TargetMode="External"/><Relationship Id="rId198" Type="http://schemas.openxmlformats.org/officeDocument/2006/relationships/hyperlink" Target="https://stats.oecd.org/index.aspx?DataSetCode=HEALTH_STAT" TargetMode="External"/><Relationship Id="rId197" Type="http://schemas.openxmlformats.org/officeDocument/2006/relationships/hyperlink" Target="https://apps.who.int/iris/bitstream/handle/10665/259951/WHO-HIS-IER-GPM-2018.1-eng.pdf;jsessionid=47FB126CD095961CAC9D15E3FBF39514?sequence=1" TargetMode="External"/><Relationship Id="rId196" Type="http://schemas.openxmlformats.org/officeDocument/2006/relationships/hyperlink" Target="https://wwwn.cdc.gov/psr/NationalSummary/NationalSummary.aspx" TargetMode="External"/><Relationship Id="rId195" Type="http://schemas.openxmlformats.org/officeDocument/2006/relationships/hyperlink" Target="https://www.gapminder.org/data/" TargetMode="External"/><Relationship Id="rId199" Type="http://schemas.openxmlformats.org/officeDocument/2006/relationships/hyperlink" Target="https://usafacts.org/missions/promote-welfare/12" TargetMode="External"/><Relationship Id="rId150" Type="http://schemas.openxmlformats.org/officeDocument/2006/relationships/hyperlink" Target="https://www.cdc.gov/nchs/healthy_people/hp2020/hp2020_indicators.htm" TargetMode="External"/><Relationship Id="rId271" Type="http://schemas.openxmlformats.org/officeDocument/2006/relationships/hyperlink" Target="https://apps.who.int/iris/bitstream/handle/10665/259951/WHO-HIS-IER-GPM-2018.1-eng.pdf;jsessionid=47FB126CD095961CAC9D15E3FBF39514?sequence=1" TargetMode="External"/><Relationship Id="rId392" Type="http://schemas.openxmlformats.org/officeDocument/2006/relationships/hyperlink" Target="https://interactives.commonwealthfund.org/2018/state-scorecard/files/Radley_State_Scorecard_2018.pdf" TargetMode="External"/><Relationship Id="rId270" Type="http://schemas.openxmlformats.org/officeDocument/2006/relationships/hyperlink" Target="https://wwwn.cdc.gov/psr/NationalSummary/NationalSummary.aspx" TargetMode="External"/><Relationship Id="rId391" Type="http://schemas.openxmlformats.org/officeDocument/2006/relationships/hyperlink" Target="https://www.cdc.gov/nchs/healthy_people/hp2020/hp2020_indicators.htm" TargetMode="External"/><Relationship Id="rId390" Type="http://schemas.openxmlformats.org/officeDocument/2006/relationships/hyperlink" Target="https://www.cms.gov/Medicare/Quality-Initiatives-Patient-Assessment-Instruments/QualityInitiativesGenInfo/MMF/General-info-Sub-Page.html" TargetMode="External"/><Relationship Id="rId1" Type="http://schemas.openxmlformats.org/officeDocument/2006/relationships/comments" Target="../comments1.xml"/><Relationship Id="rId2" Type="http://schemas.openxmlformats.org/officeDocument/2006/relationships/hyperlink" Target="http://www.paho.org/data/index.php/en/indicators/visualization.html" TargetMode="External"/><Relationship Id="rId3" Type="http://schemas.openxmlformats.org/officeDocument/2006/relationships/hyperlink" Target="http://www.paho.org/data/index.php/en/indicators/visualization.html" TargetMode="External"/><Relationship Id="rId149" Type="http://schemas.openxmlformats.org/officeDocument/2006/relationships/hyperlink" Target="https://www.cms.gov/Medicare/Quality-Initiatives-Patient-Assessment-Instruments/QualityInitiativesGenInfo/MMF/General-info-Sub-Page.html" TargetMode="External"/><Relationship Id="rId4" Type="http://schemas.openxmlformats.org/officeDocument/2006/relationships/hyperlink" Target="https://international.commonwealthfund.org/stats/" TargetMode="External"/><Relationship Id="rId148" Type="http://schemas.openxmlformats.org/officeDocument/2006/relationships/hyperlink" Target="https://stats.oecd.org/index.aspx?DataSetCode=HEALTH_STAT" TargetMode="External"/><Relationship Id="rId269" Type="http://schemas.openxmlformats.org/officeDocument/2006/relationships/hyperlink" Target="https://www.americashealthrankings.org/explore/annual" TargetMode="External"/><Relationship Id="rId9" Type="http://schemas.openxmlformats.org/officeDocument/2006/relationships/hyperlink" Target="https://data.worldbank.org/indicator/" TargetMode="External"/><Relationship Id="rId143" Type="http://schemas.openxmlformats.org/officeDocument/2006/relationships/hyperlink" Target="https://www.americashealthrankings.org/explore/annual" TargetMode="External"/><Relationship Id="rId264" Type="http://schemas.openxmlformats.org/officeDocument/2006/relationships/hyperlink" Target="https://usafacts.org/missions/promote-welfare/12" TargetMode="External"/><Relationship Id="rId385" Type="http://schemas.openxmlformats.org/officeDocument/2006/relationships/hyperlink" Target="https://interactives.commonwealthfund.org/2018/state-scorecard/files/Radley_State_Scorecard_2018.pdf" TargetMode="External"/><Relationship Id="rId142" Type="http://schemas.openxmlformats.org/officeDocument/2006/relationships/hyperlink" Target="https://stats.oecd.org/index.aspx?DataSetCode=HEALTH_STAT" TargetMode="External"/><Relationship Id="rId263" Type="http://schemas.openxmlformats.org/officeDocument/2006/relationships/hyperlink" Target="https://stats.oecd.org/index.aspx?DataSetCode=HEALTH_STAT" TargetMode="External"/><Relationship Id="rId384" Type="http://schemas.openxmlformats.org/officeDocument/2006/relationships/hyperlink" Target="https://www.cms.gov/Medicare/Quality-Initiatives-Patient-Assessment-Instruments/QualityInitiativesGenInfo/MMF/General-info-Sub-Page.html" TargetMode="External"/><Relationship Id="rId141" Type="http://schemas.openxmlformats.org/officeDocument/2006/relationships/hyperlink" Target="https://www.cms.gov/Medicare/Quality-Initiatives-Patient-Assessment-Instruments/QualityInitiativesGenInfo/MMF/General-info-Sub-Page.html" TargetMode="External"/><Relationship Id="rId262" Type="http://schemas.openxmlformats.org/officeDocument/2006/relationships/hyperlink" Target="https://apps.who.int/iris/bitstream/handle/10665/259951/WHO-HIS-IER-GPM-2018.1-eng.pdf;jsessionid=47FB126CD095961CAC9D15E3FBF39514?sequence=1" TargetMode="External"/><Relationship Id="rId383" Type="http://schemas.openxmlformats.org/officeDocument/2006/relationships/hyperlink" Target="https://stats.oecd.org/index.aspx?DataSetCode=HEALTH_STAT" TargetMode="External"/><Relationship Id="rId140" Type="http://schemas.openxmlformats.org/officeDocument/2006/relationships/hyperlink" Target="https://stats.oecd.org/index.aspx?DataSetCode=HEALTH_STAT" TargetMode="External"/><Relationship Id="rId261" Type="http://schemas.openxmlformats.org/officeDocument/2006/relationships/hyperlink" Target="https://www.cdc.gov/nchs/healthy_people/hp2020/hp2020_indicators.htm" TargetMode="External"/><Relationship Id="rId382" Type="http://schemas.openxmlformats.org/officeDocument/2006/relationships/hyperlink" Target="https://interactives.commonwealthfund.org/2018/state-scorecard/files/Radley_State_Scorecard_2018.pdf" TargetMode="External"/><Relationship Id="rId5" Type="http://schemas.openxmlformats.org/officeDocument/2006/relationships/hyperlink" Target="https://stats.oecd.org/index.aspx?DataSetCode=HEALTH_STAT" TargetMode="External"/><Relationship Id="rId147" Type="http://schemas.openxmlformats.org/officeDocument/2006/relationships/hyperlink" Target="https://www.cms.gov/Medicare/Quality-Initiatives-Patient-Assessment-Instruments/QualityInitiativesGenInfo/MMF/General-info-Sub-Page.html" TargetMode="External"/><Relationship Id="rId268" Type="http://schemas.openxmlformats.org/officeDocument/2006/relationships/hyperlink" Target="https://usafacts.org/missions/promote-welfare/12" TargetMode="External"/><Relationship Id="rId389" Type="http://schemas.openxmlformats.org/officeDocument/2006/relationships/hyperlink" Target="https://www.cdc.gov/nchs/healthy_people/hp2020/hp2020_indicators.htm" TargetMode="External"/><Relationship Id="rId6" Type="http://schemas.openxmlformats.org/officeDocument/2006/relationships/hyperlink" Target="https://data.worldbank.org/indicator/" TargetMode="External"/><Relationship Id="rId146" Type="http://schemas.openxmlformats.org/officeDocument/2006/relationships/hyperlink" Target="https://stats.oecd.org/index.aspx?DataSetCode=HEALTH_STAT" TargetMode="External"/><Relationship Id="rId267" Type="http://schemas.openxmlformats.org/officeDocument/2006/relationships/hyperlink" Target="https://stats.oecd.org/index.aspx?DataSetCode=HEALTH_STAT" TargetMode="External"/><Relationship Id="rId388" Type="http://schemas.openxmlformats.org/officeDocument/2006/relationships/hyperlink" Target="https://www.cms.gov/Medicare/Quality-Initiatives-Patient-Assessment-Instruments/QualityInitiativesGenInfo/MMF/General-info-Sub-Page.html" TargetMode="External"/><Relationship Id="rId7" Type="http://schemas.openxmlformats.org/officeDocument/2006/relationships/hyperlink" Target="http://www.paho.org/data/index.php/en/indicators/visualization.html" TargetMode="External"/><Relationship Id="rId145" Type="http://schemas.openxmlformats.org/officeDocument/2006/relationships/hyperlink" Target="https://wwwn.cdc.gov/psr/NationalSummary/NationalSummary.aspx" TargetMode="External"/><Relationship Id="rId266" Type="http://schemas.openxmlformats.org/officeDocument/2006/relationships/hyperlink" Target="https://apps.who.int/iris/bitstream/handle/10665/259951/WHO-HIS-IER-GPM-2018.1-eng.pdf;jsessionid=47FB126CD095961CAC9D15E3FBF39514?sequence=1" TargetMode="External"/><Relationship Id="rId387" Type="http://schemas.openxmlformats.org/officeDocument/2006/relationships/hyperlink" Target="https://www.americashealthrankings.org/explore/annual" TargetMode="External"/><Relationship Id="rId8" Type="http://schemas.openxmlformats.org/officeDocument/2006/relationships/hyperlink" Target="http://www.paho.org/data/index.php/en/indicators/visualization.html" TargetMode="External"/><Relationship Id="rId144" Type="http://schemas.openxmlformats.org/officeDocument/2006/relationships/hyperlink" Target="https://www.cms.gov/Medicare/Quality-Initiatives-Patient-Assessment-Instruments/QualityInitiativesGenInfo/MMF/General-info-Sub-Page.html" TargetMode="External"/><Relationship Id="rId265" Type="http://schemas.openxmlformats.org/officeDocument/2006/relationships/hyperlink" Target="https://www.americashealthrankings.org/explore/annual" TargetMode="External"/><Relationship Id="rId386" Type="http://schemas.openxmlformats.org/officeDocument/2006/relationships/hyperlink" Target="https://stats.oecd.org/index.aspx?DataSetCode=HEALTH_STAT" TargetMode="External"/><Relationship Id="rId260" Type="http://schemas.openxmlformats.org/officeDocument/2006/relationships/hyperlink" Target="https://www.americashealthrankings.org/explore/annual" TargetMode="External"/><Relationship Id="rId381" Type="http://schemas.openxmlformats.org/officeDocument/2006/relationships/hyperlink" Target="https://apps.who.int/iris/bitstream/handle/10665/259951/WHO-HIS-IER-GPM-2018.1-eng.pdf;jsessionid=47FB126CD095961CAC9D15E3FBF39514?sequence=1" TargetMode="External"/><Relationship Id="rId380" Type="http://schemas.openxmlformats.org/officeDocument/2006/relationships/hyperlink" Target="https://apps.who.int/iris/bitstream/handle/10665/259951/WHO-HIS-IER-GPM-2018.1-eng.pdf;jsessionid=47FB126CD095961CAC9D15E3FBF39514?sequence=1" TargetMode="External"/><Relationship Id="rId139" Type="http://schemas.openxmlformats.org/officeDocument/2006/relationships/hyperlink" Target="https://wwwn.cdc.gov/psr/NationalSummary/NationalSummary.aspx" TargetMode="External"/><Relationship Id="rId138" Type="http://schemas.openxmlformats.org/officeDocument/2006/relationships/hyperlink" Target="https://www.cms.gov/Medicare/Quality-Initiatives-Patient-Assessment-Instruments/QualityInitiativesGenInfo/MMF/General-info-Sub-Page.html" TargetMode="External"/><Relationship Id="rId259" Type="http://schemas.openxmlformats.org/officeDocument/2006/relationships/hyperlink" Target="https://www.oecd-ilibrary.org/social-issues-migration-health/health-at-a-glance-2017_health_glance-2017-en" TargetMode="External"/><Relationship Id="rId137" Type="http://schemas.openxmlformats.org/officeDocument/2006/relationships/hyperlink" Target="https://stats.oecd.org/index.aspx?DataSetCode=HEALTH_STAT" TargetMode="External"/><Relationship Id="rId258" Type="http://schemas.openxmlformats.org/officeDocument/2006/relationships/hyperlink" Target="https://apps.who.int/iris/bitstream/handle/10665/259951/WHO-HIS-IER-GPM-2018.1-eng.pdf;jsessionid=47FB126CD095961CAC9D15E3FBF39514?sequence=1" TargetMode="External"/><Relationship Id="rId379" Type="http://schemas.openxmlformats.org/officeDocument/2006/relationships/hyperlink" Target="https://apps.who.int/iris/bitstream/handle/10665/259951/WHO-HIS-IER-GPM-2018.1-eng.pdf;jsessionid=47FB126CD095961CAC9D15E3FBF39514?sequence=1" TargetMode="External"/><Relationship Id="rId132" Type="http://schemas.openxmlformats.org/officeDocument/2006/relationships/hyperlink" Target="https://wwwn.cdc.gov/psr/NationalSummary/NationalSummary.aspx" TargetMode="External"/><Relationship Id="rId253" Type="http://schemas.openxmlformats.org/officeDocument/2006/relationships/hyperlink" Target="https://apps.who.int/iris/bitstream/handle/10665/259951/WHO-HIS-IER-GPM-2018.1-eng.pdf;jsessionid=47FB126CD095961CAC9D15E3FBF39514?sequence=1" TargetMode="External"/><Relationship Id="rId374" Type="http://schemas.openxmlformats.org/officeDocument/2006/relationships/hyperlink" Target="https://apps.who.int/iris/bitstream/handle/10665/259951/WHO-HIS-IER-GPM-2018.1-eng.pdf;jsessionid=47FB126CD095961CAC9D15E3FBF39514?sequence=1" TargetMode="External"/><Relationship Id="rId495" Type="http://schemas.openxmlformats.org/officeDocument/2006/relationships/hyperlink" Target="https://stats.oecd.org/index.aspx?DataSetCode=HEALTH_STAT" TargetMode="External"/><Relationship Id="rId131" Type="http://schemas.openxmlformats.org/officeDocument/2006/relationships/hyperlink" Target="https://www.cms.gov/Medicare/Quality-Initiatives-Patient-Assessment-Instruments/QualityInitiativesGenInfo/MMF/General-info-Sub-Page.html" TargetMode="External"/><Relationship Id="rId252" Type="http://schemas.openxmlformats.org/officeDocument/2006/relationships/hyperlink" Target="https://www.cdc.gov/nchs/healthy_people/hp2020/hp2020_indicators.htm" TargetMode="External"/><Relationship Id="rId373" Type="http://schemas.openxmlformats.org/officeDocument/2006/relationships/hyperlink" Target="https://apps.who.int/iris/bitstream/handle/10665/259951/WHO-HIS-IER-GPM-2018.1-eng.pdf;jsessionid=47FB126CD095961CAC9D15E3FBF39514?sequence=1" TargetMode="External"/><Relationship Id="rId494" Type="http://schemas.openxmlformats.org/officeDocument/2006/relationships/hyperlink" Target="https://stats.oecd.org/index.aspx?DataSetCode=HEALTH_STAT" TargetMode="External"/><Relationship Id="rId130" Type="http://schemas.openxmlformats.org/officeDocument/2006/relationships/hyperlink" Target="https://www.americashealthrankings.org/explore/annual" TargetMode="External"/><Relationship Id="rId251" Type="http://schemas.openxmlformats.org/officeDocument/2006/relationships/hyperlink" Target="https://www.gapminder.org/data/" TargetMode="External"/><Relationship Id="rId372" Type="http://schemas.openxmlformats.org/officeDocument/2006/relationships/hyperlink" Target="https://apps.who.int/iris/bitstream/handle/10665/259951/WHO-HIS-IER-GPM-2018.1-eng.pdf;jsessionid=47FB126CD095961CAC9D15E3FBF39514?sequence=1" TargetMode="External"/><Relationship Id="rId493" Type="http://schemas.openxmlformats.org/officeDocument/2006/relationships/hyperlink" Target="https://stats.oecd.org/index.aspx?DataSetCode=HEALTH_STAT" TargetMode="External"/><Relationship Id="rId250" Type="http://schemas.openxmlformats.org/officeDocument/2006/relationships/hyperlink" Target="https://stats.oecd.org/index.aspx?DataSetCode=HEALTH_STAT" TargetMode="External"/><Relationship Id="rId371" Type="http://schemas.openxmlformats.org/officeDocument/2006/relationships/hyperlink" Target="https://apps.who.int/iris/bitstream/handle/10665/259951/WHO-HIS-IER-GPM-2018.1-eng.pdf;jsessionid=47FB126CD095961CAC9D15E3FBF39514?sequence=1" TargetMode="External"/><Relationship Id="rId492" Type="http://schemas.openxmlformats.org/officeDocument/2006/relationships/hyperlink" Target="https://international.commonwealthfund.org/stats/" TargetMode="External"/><Relationship Id="rId136" Type="http://schemas.openxmlformats.org/officeDocument/2006/relationships/hyperlink" Target="https://www.cms.gov/Medicare/Quality-Initiatives-Patient-Assessment-Instruments/QualityInitiativesGenInfo/MMF/General-info-Sub-Page.html" TargetMode="External"/><Relationship Id="rId257" Type="http://schemas.openxmlformats.org/officeDocument/2006/relationships/hyperlink" Target="https://apps.who.int/iris/bitstream/handle/10665/259951/WHO-HIS-IER-GPM-2018.1-eng.pdf;jsessionid=47FB126CD095961CAC9D15E3FBF39514?sequence=1" TargetMode="External"/><Relationship Id="rId378" Type="http://schemas.openxmlformats.org/officeDocument/2006/relationships/hyperlink" Target="https://apps.who.int/iris/bitstream/handle/10665/259951/WHO-HIS-IER-GPM-2018.1-eng.pdf;jsessionid=47FB126CD095961CAC9D15E3FBF39514?sequence=1" TargetMode="External"/><Relationship Id="rId499" Type="http://schemas.openxmlformats.org/officeDocument/2006/relationships/hyperlink" Target="https://international.commonwealthfund.org/stats/" TargetMode="External"/><Relationship Id="rId135" Type="http://schemas.openxmlformats.org/officeDocument/2006/relationships/hyperlink" Target="https://www.americashealthrankings.org/explore/annual" TargetMode="External"/><Relationship Id="rId256" Type="http://schemas.openxmlformats.org/officeDocument/2006/relationships/hyperlink" Target="https://apps.who.int/iris/bitstream/handle/10665/259951/WHO-HIS-IER-GPM-2018.1-eng.pdf;jsessionid=47FB126CD095961CAC9D15E3FBF39514?sequence=1" TargetMode="External"/><Relationship Id="rId377" Type="http://schemas.openxmlformats.org/officeDocument/2006/relationships/hyperlink" Target="https://apps.who.int/iris/bitstream/handle/10665/259951/WHO-HIS-IER-GPM-2018.1-eng.pdf;jsessionid=47FB126CD095961CAC9D15E3FBF39514?sequence=1" TargetMode="External"/><Relationship Id="rId498" Type="http://schemas.openxmlformats.org/officeDocument/2006/relationships/hyperlink" Target="https://apps.who.int/iris/bitstream/handle/10665/259951/WHO-HIS-IER-GPM-2018.1-eng.pdf;jsessionid=47FB126CD095961CAC9D15E3FBF39514?sequence=1" TargetMode="External"/><Relationship Id="rId134" Type="http://schemas.openxmlformats.org/officeDocument/2006/relationships/hyperlink" Target="https://www.gapminder.org/data/" TargetMode="External"/><Relationship Id="rId255" Type="http://schemas.openxmlformats.org/officeDocument/2006/relationships/hyperlink" Target="https://apps.who.int/iris/bitstream/handle/10665/259951/WHO-HIS-IER-GPM-2018.1-eng.pdf;jsessionid=47FB126CD095961CAC9D15E3FBF39514?sequence=1" TargetMode="External"/><Relationship Id="rId376" Type="http://schemas.openxmlformats.org/officeDocument/2006/relationships/hyperlink" Target="https://apps.who.int/iris/bitstream/handle/10665/259951/WHO-HIS-IER-GPM-2018.1-eng.pdf;jsessionid=47FB126CD095961CAC9D15E3FBF39514?sequence=1" TargetMode="External"/><Relationship Id="rId497" Type="http://schemas.openxmlformats.org/officeDocument/2006/relationships/hyperlink" Target="https://usafacts.org/missions/promote-welfare/12" TargetMode="External"/><Relationship Id="rId133" Type="http://schemas.openxmlformats.org/officeDocument/2006/relationships/hyperlink" Target="https://stats.oecd.org/index.aspx?DataSetCode=HEALTH_STAT" TargetMode="External"/><Relationship Id="rId254" Type="http://schemas.openxmlformats.org/officeDocument/2006/relationships/hyperlink" Target="https://wwwn.cdc.gov/psr/NationalSummary/NationalSummary.aspx" TargetMode="External"/><Relationship Id="rId375" Type="http://schemas.openxmlformats.org/officeDocument/2006/relationships/hyperlink" Target="https://apps.who.int/iris/bitstream/handle/10665/259951/WHO-HIS-IER-GPM-2018.1-eng.pdf;jsessionid=47FB126CD095961CAC9D15E3FBF39514?sequence=1" TargetMode="External"/><Relationship Id="rId496" Type="http://schemas.openxmlformats.org/officeDocument/2006/relationships/hyperlink" Target="https://www.oecd-ilibrary.org/docserver/health_glance-2017-en.pdf?expires=1564008067&amp;id=id&amp;accname=guest&amp;checksum=D0ABDB5402647B576A76E200E17FD74F" TargetMode="External"/><Relationship Id="rId172" Type="http://schemas.openxmlformats.org/officeDocument/2006/relationships/hyperlink" Target="https://stats.oecd.org/index.aspx?DataSetCode=HEALTH_STAT" TargetMode="External"/><Relationship Id="rId293" Type="http://schemas.openxmlformats.org/officeDocument/2006/relationships/hyperlink" Target="https://apps.who.int/iris/bitstream/handle/10665/259951/WHO-HIS-IER-GPM-2018.1-eng.pdf;jsessionid=47FB126CD095961CAC9D15E3FBF39514?sequence=1" TargetMode="External"/><Relationship Id="rId171" Type="http://schemas.openxmlformats.org/officeDocument/2006/relationships/hyperlink" Target="https://wwwn.cdc.gov/psr/NationalSummary/NationalSummary.aspx" TargetMode="External"/><Relationship Id="rId292" Type="http://schemas.openxmlformats.org/officeDocument/2006/relationships/hyperlink" Target="https://www.americashealthrankings.org/explore/annual" TargetMode="External"/><Relationship Id="rId170" Type="http://schemas.openxmlformats.org/officeDocument/2006/relationships/hyperlink" Target="https://data.worldbank.org/indicator/" TargetMode="External"/><Relationship Id="rId291" Type="http://schemas.openxmlformats.org/officeDocument/2006/relationships/hyperlink" Target="https://usafacts.org/missions/promote-welfare/12" TargetMode="External"/><Relationship Id="rId290" Type="http://schemas.openxmlformats.org/officeDocument/2006/relationships/hyperlink" Target="https://apps.who.int/iris/bitstream/handle/10665/259951/WHO-HIS-IER-GPM-2018.1-eng.pdf;jsessionid=47FB126CD095961CAC9D15E3FBF39514?sequence=1" TargetMode="External"/><Relationship Id="rId165" Type="http://schemas.openxmlformats.org/officeDocument/2006/relationships/hyperlink" Target="https://stats.oecd.org/index.aspx?DataSetCode=HEALTH_STAT" TargetMode="External"/><Relationship Id="rId286" Type="http://schemas.openxmlformats.org/officeDocument/2006/relationships/hyperlink" Target="https://usafacts.org/missions/promote-welfare/12" TargetMode="External"/><Relationship Id="rId164" Type="http://schemas.openxmlformats.org/officeDocument/2006/relationships/hyperlink" Target="https://stats.oecd.org/index.aspx?DataSetCode=HEALTH_STAT" TargetMode="External"/><Relationship Id="rId285" Type="http://schemas.openxmlformats.org/officeDocument/2006/relationships/hyperlink" Target="https://stats.oecd.org/index.aspx?DataSetCode=HEALTH_STAT" TargetMode="External"/><Relationship Id="rId163" Type="http://schemas.openxmlformats.org/officeDocument/2006/relationships/hyperlink" Target="https://stats.oecd.org/index.aspx?DataSetCode=HEALTH_STAT" TargetMode="External"/><Relationship Id="rId284" Type="http://schemas.openxmlformats.org/officeDocument/2006/relationships/hyperlink" Target="https://apps.who.int/iris/bitstream/handle/10665/259951/WHO-HIS-IER-GPM-2018.1-eng.pdf;jsessionid=47FB126CD095961CAC9D15E3FBF39514?sequence=1" TargetMode="External"/><Relationship Id="rId162" Type="http://schemas.openxmlformats.org/officeDocument/2006/relationships/hyperlink" Target="https://stats.oecd.org/index.aspx?DataSetCode=HEALTH_STAT" TargetMode="External"/><Relationship Id="rId283" Type="http://schemas.openxmlformats.org/officeDocument/2006/relationships/hyperlink" Target="https://www.americashealthrankings.org/explore/annual" TargetMode="External"/><Relationship Id="rId169" Type="http://schemas.openxmlformats.org/officeDocument/2006/relationships/hyperlink" Target="https://stats.oecd.org/index.aspx?DataSetCode=HEALTH_STAT" TargetMode="External"/><Relationship Id="rId168" Type="http://schemas.openxmlformats.org/officeDocument/2006/relationships/hyperlink" Target="https://data.worldbank.org/indicator/" TargetMode="External"/><Relationship Id="rId289" Type="http://schemas.openxmlformats.org/officeDocument/2006/relationships/hyperlink" Target="https://wwwn.cdc.gov/psr/NationalSummary/NationalSummary.aspx" TargetMode="External"/><Relationship Id="rId167" Type="http://schemas.openxmlformats.org/officeDocument/2006/relationships/hyperlink" Target="https://stats.oecd.org/index.aspx?DataSetCode=HEALTH_STAT" TargetMode="External"/><Relationship Id="rId288" Type="http://schemas.openxmlformats.org/officeDocument/2006/relationships/hyperlink" Target="https://apps.who.int/iris/bitstream/handle/10665/259951/WHO-HIS-IER-GPM-2018.1-eng.pdf;jsessionid=47FB126CD095961CAC9D15E3FBF39514?sequence=1" TargetMode="External"/><Relationship Id="rId166" Type="http://schemas.openxmlformats.org/officeDocument/2006/relationships/hyperlink" Target="https://stats.oecd.org/index.aspx?DataSetCode=HEALTH_STAT" TargetMode="External"/><Relationship Id="rId287" Type="http://schemas.openxmlformats.org/officeDocument/2006/relationships/hyperlink" Target="https://www.americashealthrankings.org/explore/annual" TargetMode="External"/><Relationship Id="rId161" Type="http://schemas.openxmlformats.org/officeDocument/2006/relationships/hyperlink" Target="https://www.americashealthrankings.org/explore/annual" TargetMode="External"/><Relationship Id="rId282" Type="http://schemas.openxmlformats.org/officeDocument/2006/relationships/hyperlink" Target="https://usafacts.org/missions/promote-welfare/12" TargetMode="External"/><Relationship Id="rId160" Type="http://schemas.openxmlformats.org/officeDocument/2006/relationships/hyperlink" Target="https://stats.oecd.org/index.aspx?DataSetCode=HEALTH_STAT" TargetMode="External"/><Relationship Id="rId281" Type="http://schemas.openxmlformats.org/officeDocument/2006/relationships/hyperlink" Target="https://stats.oecd.org/index.aspx?DataSetCode=HEALTH_STAT" TargetMode="External"/><Relationship Id="rId280" Type="http://schemas.openxmlformats.org/officeDocument/2006/relationships/hyperlink" Target="https://apps.who.int/iris/bitstream/handle/10665/259951/WHO-HIS-IER-GPM-2018.1-eng.pdf;jsessionid=47FB126CD095961CAC9D15E3FBF39514?sequence=1" TargetMode="External"/><Relationship Id="rId159" Type="http://schemas.openxmlformats.org/officeDocument/2006/relationships/hyperlink" Target="https://interactives.commonwealthfund.org/2018/state-scorecard/files/Radley_State_Scorecard_2018.pdf" TargetMode="External"/><Relationship Id="rId154" Type="http://schemas.openxmlformats.org/officeDocument/2006/relationships/hyperlink" Target="https://www.cms.gov/Medicare/Quality-Initiatives-Patient-Assessment-Instruments/QualityInitiativesGenInfo/MMF/General-info-Sub-Page.html" TargetMode="External"/><Relationship Id="rId275" Type="http://schemas.openxmlformats.org/officeDocument/2006/relationships/hyperlink" Target="https://www.americashealthrankings.org/explore/annual" TargetMode="External"/><Relationship Id="rId396" Type="http://schemas.openxmlformats.org/officeDocument/2006/relationships/hyperlink" Target="https://interactives.commonwealthfund.org/2018/state-scorecard/files/Radley_State_Scorecard_2018.pdf" TargetMode="External"/><Relationship Id="rId153" Type="http://schemas.openxmlformats.org/officeDocument/2006/relationships/hyperlink" Target="https://stats.oecd.org/index.aspx?DataSetCode=HEALTH_STAT" TargetMode="External"/><Relationship Id="rId274" Type="http://schemas.openxmlformats.org/officeDocument/2006/relationships/hyperlink" Target="https://usafacts.org/missions/promote-welfare/12" TargetMode="External"/><Relationship Id="rId395" Type="http://schemas.openxmlformats.org/officeDocument/2006/relationships/hyperlink" Target="https://www.cdc.gov/nchs/healthy_people/hp2020/hp2020_indicators.htm" TargetMode="External"/><Relationship Id="rId152" Type="http://schemas.openxmlformats.org/officeDocument/2006/relationships/hyperlink" Target="https://www.cms.gov/Medicare/Quality-Initiatives-Patient-Assessment-Instruments/QualityInitiativesGenInfo/MMF/General-info-Sub-Page.html" TargetMode="External"/><Relationship Id="rId273" Type="http://schemas.openxmlformats.org/officeDocument/2006/relationships/hyperlink" Target="https://stats.oecd.org/index.aspx?DataSetCode=HEALTH_STAT" TargetMode="External"/><Relationship Id="rId394" Type="http://schemas.openxmlformats.org/officeDocument/2006/relationships/hyperlink" Target="https://www.cms.gov/Medicare/Quality-Initiatives-Patient-Assessment-Instruments/QualityInitiativesGenInfo/MMF/General-info-Sub-Page.html" TargetMode="External"/><Relationship Id="rId151" Type="http://schemas.openxmlformats.org/officeDocument/2006/relationships/hyperlink" Target="https://stats.oecd.org/index.aspx?DataSetCode=HEALTH_STAT" TargetMode="External"/><Relationship Id="rId272" Type="http://schemas.openxmlformats.org/officeDocument/2006/relationships/hyperlink" Target="https://apps.who.int/iris/bitstream/handle/10665/259951/WHO-HIS-IER-GPM-2018.1-eng.pdf;jsessionid=47FB126CD095961CAC9D15E3FBF39514?sequence=1" TargetMode="External"/><Relationship Id="rId393" Type="http://schemas.openxmlformats.org/officeDocument/2006/relationships/hyperlink" Target="https://stats.oecd.org/index.aspx?DataSetCode=HEALTH_STAT" TargetMode="External"/><Relationship Id="rId158" Type="http://schemas.openxmlformats.org/officeDocument/2006/relationships/hyperlink" Target="https://www.americashealthrankings.org/explore/annual" TargetMode="External"/><Relationship Id="rId279" Type="http://schemas.openxmlformats.org/officeDocument/2006/relationships/hyperlink" Target="https://www.americashealthrankings.org/explore/annual" TargetMode="External"/><Relationship Id="rId157" Type="http://schemas.openxmlformats.org/officeDocument/2006/relationships/hyperlink" Target="https://usafacts.org/missions/promote-welfare/12" TargetMode="External"/><Relationship Id="rId278" Type="http://schemas.openxmlformats.org/officeDocument/2006/relationships/hyperlink" Target="https://usafacts.org/missions/promote-welfare/12" TargetMode="External"/><Relationship Id="rId399" Type="http://schemas.openxmlformats.org/officeDocument/2006/relationships/hyperlink" Target="https://www.cms.gov/Medicare/Quality-Initiatives-Patient-Assessment-Instruments/QualityInitiativesGenInfo/MMF/General-info-Sub-Page.html" TargetMode="External"/><Relationship Id="rId156" Type="http://schemas.openxmlformats.org/officeDocument/2006/relationships/hyperlink" Target="https://stats.oecd.org/index.aspx?DataSetCode=HEALTH_STAT" TargetMode="External"/><Relationship Id="rId277" Type="http://schemas.openxmlformats.org/officeDocument/2006/relationships/hyperlink" Target="https://stats.oecd.org/index.aspx?DataSetCode=HEALTH_STAT" TargetMode="External"/><Relationship Id="rId398" Type="http://schemas.openxmlformats.org/officeDocument/2006/relationships/hyperlink" Target="https://www.americashealthrankings.org/explore/annual" TargetMode="External"/><Relationship Id="rId155" Type="http://schemas.openxmlformats.org/officeDocument/2006/relationships/hyperlink" Target="https://interactives.commonwealthfund.org/2018/state-scorecard/files/Radley_State_Scorecard_2018.pdf" TargetMode="External"/><Relationship Id="rId276" Type="http://schemas.openxmlformats.org/officeDocument/2006/relationships/hyperlink" Target="https://apps.who.int/iris/bitstream/handle/10665/259951/WHO-HIS-IER-GPM-2018.1-eng.pdf;jsessionid=47FB126CD095961CAC9D15E3FBF39514?sequence=1" TargetMode="External"/><Relationship Id="rId397" Type="http://schemas.openxmlformats.org/officeDocument/2006/relationships/hyperlink" Target="https://stats.oecd.org/index.aspx?DataSetCode=HEALTH_STAT" TargetMode="External"/><Relationship Id="rId40" Type="http://schemas.openxmlformats.org/officeDocument/2006/relationships/hyperlink" Target="https://data.worldbank.org/indicator/" TargetMode="External"/><Relationship Id="rId42" Type="http://schemas.openxmlformats.org/officeDocument/2006/relationships/hyperlink" Target="https://apps.who.int/iris/bitstream/handle/10665/259951/WHO-HIS-IER-GPM-2018.1-eng.pdf;jsessionid=47FB126CD095961CAC9D15E3FBF39514?sequence=1" TargetMode="External"/><Relationship Id="rId41" Type="http://schemas.openxmlformats.org/officeDocument/2006/relationships/hyperlink" Target="http://www.paho.org/data/index.php/en/indicators/visualization.html" TargetMode="External"/><Relationship Id="rId44" Type="http://schemas.openxmlformats.org/officeDocument/2006/relationships/hyperlink" Target="https://usafacts.org/missions/promote-welfare/12" TargetMode="External"/><Relationship Id="rId43" Type="http://schemas.openxmlformats.org/officeDocument/2006/relationships/hyperlink" Target="https://stats.oecd.org/index.aspx?DataSetCode=HEALTH_STAT" TargetMode="External"/><Relationship Id="rId46" Type="http://schemas.openxmlformats.org/officeDocument/2006/relationships/hyperlink" Target="https://www.americashealthrankings.org/explore/health-of-women-and-children/measure/maternal_mortality/state/ALL" TargetMode="External"/><Relationship Id="rId45" Type="http://schemas.openxmlformats.org/officeDocument/2006/relationships/hyperlink" Target="https://data.worldbank.org/indicator/" TargetMode="External"/><Relationship Id="rId509" Type="http://schemas.openxmlformats.org/officeDocument/2006/relationships/hyperlink" Target="https://www.americashealthrankings.org/explore/annual" TargetMode="External"/><Relationship Id="rId508" Type="http://schemas.openxmlformats.org/officeDocument/2006/relationships/hyperlink" Target="https://stats.oecd.org/index.aspx?DataSetCode=HEALTH_STAT" TargetMode="External"/><Relationship Id="rId503" Type="http://schemas.openxmlformats.org/officeDocument/2006/relationships/hyperlink" Target="https://stats.oecd.org/index.aspx?DataSetCode=HEALTH_STAT" TargetMode="External"/><Relationship Id="rId502" Type="http://schemas.openxmlformats.org/officeDocument/2006/relationships/hyperlink" Target="https://apps.who.int/iris/bitstream/handle/10665/259951/WHO-HIS-IER-GPM-2018.1-eng.pdf;jsessionid=47FB126CD095961CAC9D15E3FBF39514?sequence=1" TargetMode="External"/><Relationship Id="rId501" Type="http://schemas.openxmlformats.org/officeDocument/2006/relationships/hyperlink" Target="https://www.gapminder.org/data/" TargetMode="External"/><Relationship Id="rId500" Type="http://schemas.openxmlformats.org/officeDocument/2006/relationships/hyperlink" Target="https://stats.oecd.org/index.aspx?DataSetCode=HEALTH_STAT" TargetMode="External"/><Relationship Id="rId507" Type="http://schemas.openxmlformats.org/officeDocument/2006/relationships/hyperlink" Target="https://usafacts.org/missions/promote-welfare/12" TargetMode="External"/><Relationship Id="rId506" Type="http://schemas.openxmlformats.org/officeDocument/2006/relationships/hyperlink" Target="https://stats.oecd.org/index.aspx?DataSetCode=HEALTH_STAT" TargetMode="External"/><Relationship Id="rId505" Type="http://schemas.openxmlformats.org/officeDocument/2006/relationships/hyperlink" Target="https://international.commonwealthfund.org/stats/" TargetMode="External"/><Relationship Id="rId504" Type="http://schemas.openxmlformats.org/officeDocument/2006/relationships/hyperlink" Target="https://www.cms.gov/about-cms/story-page/our-16-strategic-initiatives.html" TargetMode="External"/><Relationship Id="rId48" Type="http://schemas.openxmlformats.org/officeDocument/2006/relationships/hyperlink" Target="https://stats.oecd.org/index.aspx?DataSetCode=HEALTH_STAT" TargetMode="External"/><Relationship Id="rId47" Type="http://schemas.openxmlformats.org/officeDocument/2006/relationships/hyperlink" Target="https://apps.who.int/iris/bitstream/handle/10665/259951/WHO-HIS-IER-GPM-2018.1-eng.pdf;jsessionid=47FB126CD095961CAC9D15E3FBF39514?sequence=1" TargetMode="External"/><Relationship Id="rId49" Type="http://schemas.openxmlformats.org/officeDocument/2006/relationships/hyperlink" Target="https://www.gapminder.org/data/" TargetMode="External"/><Relationship Id="rId31" Type="http://schemas.openxmlformats.org/officeDocument/2006/relationships/hyperlink" Target="https://data.worldbank.org/indicator/" TargetMode="External"/><Relationship Id="rId30" Type="http://schemas.openxmlformats.org/officeDocument/2006/relationships/hyperlink" Target="https://www.americashealthrankings.org/explore/annual" TargetMode="External"/><Relationship Id="rId33" Type="http://schemas.openxmlformats.org/officeDocument/2006/relationships/hyperlink" Target="https://www.americashealthrankings.org/explore/annual" TargetMode="External"/><Relationship Id="rId32" Type="http://schemas.openxmlformats.org/officeDocument/2006/relationships/hyperlink" Target="https://usafacts.org/missions/promote-welfare/12" TargetMode="External"/><Relationship Id="rId35" Type="http://schemas.openxmlformats.org/officeDocument/2006/relationships/hyperlink" Target="https://stats.oecd.org/index.aspx?DataSetCode=HEALTH_STAT" TargetMode="External"/><Relationship Id="rId34" Type="http://schemas.openxmlformats.org/officeDocument/2006/relationships/hyperlink" Target="https://www.americashealthrankings.org/explore/annual" TargetMode="External"/><Relationship Id="rId37" Type="http://schemas.openxmlformats.org/officeDocument/2006/relationships/hyperlink" Target="https://www.americashealthrankings.org/explore/annual" TargetMode="External"/><Relationship Id="rId36" Type="http://schemas.openxmlformats.org/officeDocument/2006/relationships/hyperlink" Target="https://www.americashealthrankings.org/explore/annual" TargetMode="External"/><Relationship Id="rId39" Type="http://schemas.openxmlformats.org/officeDocument/2006/relationships/hyperlink" Target="https://data.worldbank.org/indicator/" TargetMode="External"/><Relationship Id="rId38" Type="http://schemas.openxmlformats.org/officeDocument/2006/relationships/hyperlink" Target="https://www.americashealthrankings.org/explore/annual" TargetMode="External"/><Relationship Id="rId20" Type="http://schemas.openxmlformats.org/officeDocument/2006/relationships/hyperlink" Target="http://www.paho.org/data/index.php/en/indicators/visualization.html" TargetMode="External"/><Relationship Id="rId22" Type="http://schemas.openxmlformats.org/officeDocument/2006/relationships/hyperlink" Target="https://www.americashealthrankings.org/explore/annual" TargetMode="External"/><Relationship Id="rId21" Type="http://schemas.openxmlformats.org/officeDocument/2006/relationships/hyperlink" Target="http://www.paho.org/data/index.php/en/indicators/visualization.html" TargetMode="External"/><Relationship Id="rId24" Type="http://schemas.openxmlformats.org/officeDocument/2006/relationships/hyperlink" Target="http://www.paho.org/data/index.php/en/indicators/visualization.html" TargetMode="External"/><Relationship Id="rId23" Type="http://schemas.openxmlformats.org/officeDocument/2006/relationships/hyperlink" Target="http://www.paho.org/data/index.php/en/indicators/visualization.html" TargetMode="External"/><Relationship Id="rId409" Type="http://schemas.openxmlformats.org/officeDocument/2006/relationships/hyperlink" Target="https://apps.who.int/iris/bitstream/handle/10665/259951/WHO-HIS-IER-GPM-2018.1-eng.pdf;jsessionid=47FB126CD095961CAC9D15E3FBF39514?sequence=1" TargetMode="External"/><Relationship Id="rId404" Type="http://schemas.openxmlformats.org/officeDocument/2006/relationships/hyperlink" Target="https://interactives.commonwealthfund.org/2018/state-scorecard/files/Radley_State_Scorecard_2018.pdf" TargetMode="External"/><Relationship Id="rId525" Type="http://schemas.openxmlformats.org/officeDocument/2006/relationships/hyperlink" Target="https://international.commonwealthfund.org/stats/" TargetMode="External"/><Relationship Id="rId403" Type="http://schemas.openxmlformats.org/officeDocument/2006/relationships/hyperlink" Target="https://www.cms.gov/Medicare/Quality-Initiatives-Patient-Assessment-Instruments/QualityInitiativesGenInfo/MMF/General-info-Sub-Page.html" TargetMode="External"/><Relationship Id="rId524" Type="http://schemas.openxmlformats.org/officeDocument/2006/relationships/hyperlink" Target="https://apps.who.int/iris/bitstream/handle/10665/259951/WHO-HIS-IER-GPM-2018.1-eng.pdf;jsessionid=47FB126CD095961CAC9D15E3FBF39514?sequence=1" TargetMode="External"/><Relationship Id="rId402" Type="http://schemas.openxmlformats.org/officeDocument/2006/relationships/hyperlink" Target="https://stats.oecd.org/index.aspx?DataSetCode=HEALTH_STAT" TargetMode="External"/><Relationship Id="rId523" Type="http://schemas.openxmlformats.org/officeDocument/2006/relationships/hyperlink" Target="https://international.commonwealthfund.org/stats/" TargetMode="External"/><Relationship Id="rId401" Type="http://schemas.openxmlformats.org/officeDocument/2006/relationships/hyperlink" Target="https://interactives.commonwealthfund.org/2018/state-scorecard/files/Radley_State_Scorecard_2018.pdf" TargetMode="External"/><Relationship Id="rId522" Type="http://schemas.openxmlformats.org/officeDocument/2006/relationships/hyperlink" Target="https://www.cms.gov/about-cms/story-page/our-16-strategic-initiatives.html" TargetMode="External"/><Relationship Id="rId408" Type="http://schemas.openxmlformats.org/officeDocument/2006/relationships/hyperlink" Target="https://stats.oecd.org/index.aspx?DataSetCode=HEALTH_STAT" TargetMode="External"/><Relationship Id="rId529" Type="http://schemas.openxmlformats.org/officeDocument/2006/relationships/hyperlink" Target="https://apps.who.int/iris/bitstream/handle/10665/259951/WHO-HIS-IER-GPM-2018.1-eng.pdf;jsessionid=47FB126CD095961CAC9D15E3FBF39514?sequence=1" TargetMode="External"/><Relationship Id="rId407" Type="http://schemas.openxmlformats.org/officeDocument/2006/relationships/hyperlink" Target="https://interactives.commonwealthfund.org/2018/state-scorecard/files/Radley_State_Scorecard_2018.pdf" TargetMode="External"/><Relationship Id="rId528" Type="http://schemas.openxmlformats.org/officeDocument/2006/relationships/hyperlink" Target="https://www.gapminder.org/data/" TargetMode="External"/><Relationship Id="rId406" Type="http://schemas.openxmlformats.org/officeDocument/2006/relationships/hyperlink" Target="https://www.cms.gov/Medicare/Quality-Initiatives-Patient-Assessment-Instruments/QualityInitiativesGenInfo/MMF/General-info-Sub-Page.html" TargetMode="External"/><Relationship Id="rId527" Type="http://schemas.openxmlformats.org/officeDocument/2006/relationships/hyperlink" Target="https://usafacts.org/missions/promote-welfare/12" TargetMode="External"/><Relationship Id="rId405" Type="http://schemas.openxmlformats.org/officeDocument/2006/relationships/hyperlink" Target="https://stats.oecd.org/index.aspx?DataSetCode=HEALTH_STAT" TargetMode="External"/><Relationship Id="rId526" Type="http://schemas.openxmlformats.org/officeDocument/2006/relationships/hyperlink" Target="https://stats.oecd.org/index.aspx?DataSetCode=HEALTH_STAT" TargetMode="External"/><Relationship Id="rId26" Type="http://schemas.openxmlformats.org/officeDocument/2006/relationships/hyperlink" Target="http://www.paho.org/data/index.php/en/indicators/visualization.html" TargetMode="External"/><Relationship Id="rId25" Type="http://schemas.openxmlformats.org/officeDocument/2006/relationships/hyperlink" Target="https://www.americashealthrankings.org/explore/annual" TargetMode="External"/><Relationship Id="rId28" Type="http://schemas.openxmlformats.org/officeDocument/2006/relationships/hyperlink" Target="http://www.paho.org/data/index.php/en/indicators/visualization.html" TargetMode="External"/><Relationship Id="rId27" Type="http://schemas.openxmlformats.org/officeDocument/2006/relationships/hyperlink" Target="http://www.paho.org/data/index.php/en/indicators/visualization.html" TargetMode="External"/><Relationship Id="rId400" Type="http://schemas.openxmlformats.org/officeDocument/2006/relationships/hyperlink" Target="https://www.cdc.gov/nchs/healthy_people/hp2020/hp2020_indicators.htm" TargetMode="External"/><Relationship Id="rId521" Type="http://schemas.openxmlformats.org/officeDocument/2006/relationships/hyperlink" Target="https://data.worldbank.org/indicator/" TargetMode="External"/><Relationship Id="rId29" Type="http://schemas.openxmlformats.org/officeDocument/2006/relationships/hyperlink" Target="http://www.paho.org/data/index.php/en/indicators/visualization.html" TargetMode="External"/><Relationship Id="rId520" Type="http://schemas.openxmlformats.org/officeDocument/2006/relationships/hyperlink" Target="https://apps.who.int/iris/bitstream/handle/10665/259951/WHO-HIS-IER-GPM-2018.1-eng.pdf;jsessionid=47FB126CD095961CAC9D15E3FBF39514?sequence=1" TargetMode="External"/><Relationship Id="rId11" Type="http://schemas.openxmlformats.org/officeDocument/2006/relationships/hyperlink" Target="http://www.paho.org/data/index.php/en/indicators/visualization.html" TargetMode="External"/><Relationship Id="rId10" Type="http://schemas.openxmlformats.org/officeDocument/2006/relationships/hyperlink" Target="http://www.paho.org/data/index.php/en/indicators/visualization.html" TargetMode="External"/><Relationship Id="rId13" Type="http://schemas.openxmlformats.org/officeDocument/2006/relationships/hyperlink" Target="https://data.worldbank.org/indicator/" TargetMode="External"/><Relationship Id="rId12" Type="http://schemas.openxmlformats.org/officeDocument/2006/relationships/hyperlink" Target="https://international.commonwealthfund.org/stats/" TargetMode="External"/><Relationship Id="rId519" Type="http://schemas.openxmlformats.org/officeDocument/2006/relationships/hyperlink" Target="https://data.worldbank.org/indicator/" TargetMode="External"/><Relationship Id="rId514" Type="http://schemas.openxmlformats.org/officeDocument/2006/relationships/hyperlink" Target="https://stats.oecd.org/index.aspx?DataSetCode=HEALTH_STAT" TargetMode="External"/><Relationship Id="rId513" Type="http://schemas.openxmlformats.org/officeDocument/2006/relationships/hyperlink" Target="https://www.americashealthrankings.org/explore/annual" TargetMode="External"/><Relationship Id="rId512" Type="http://schemas.openxmlformats.org/officeDocument/2006/relationships/hyperlink" Target="https://stats.oecd.org/index.aspx?DataSetCode=HEALTH_STAT" TargetMode="External"/><Relationship Id="rId511" Type="http://schemas.openxmlformats.org/officeDocument/2006/relationships/hyperlink" Target="https://www.americashealthrankings.org/explore/annual" TargetMode="External"/><Relationship Id="rId518" Type="http://schemas.openxmlformats.org/officeDocument/2006/relationships/hyperlink" Target="https://apps.who.int/iris/bitstream/handle/10665/259951/WHO-HIS-IER-GPM-2018.1-eng.pdf;jsessionid=47FB126CD095961CAC9D15E3FBF39514?sequence=1" TargetMode="External"/><Relationship Id="rId517" Type="http://schemas.openxmlformats.org/officeDocument/2006/relationships/hyperlink" Target="https://apps.who.int/iris/bitstream/handle/10665/259951/WHO-HIS-IER-GPM-2018.1-eng.pdf;jsessionid=47FB126CD095961CAC9D15E3FBF39514?sequence=1" TargetMode="External"/><Relationship Id="rId516" Type="http://schemas.openxmlformats.org/officeDocument/2006/relationships/hyperlink" Target="https://apps.who.int/iris/bitstream/handle/10665/259951/WHO-HIS-IER-GPM-2018.1-eng.pdf;jsessionid=47FB126CD095961CAC9D15E3FBF39514?sequence=1" TargetMode="External"/><Relationship Id="rId515" Type="http://schemas.openxmlformats.org/officeDocument/2006/relationships/hyperlink" Target="https://www.oecd-ilibrary.org/docserver/health_glance-2017-en.pdf?expires=1564008067&amp;id=id&amp;accname=guest&amp;checksum=D0ABDB5402647B576A76E200E17FD74F" TargetMode="External"/><Relationship Id="rId15" Type="http://schemas.openxmlformats.org/officeDocument/2006/relationships/hyperlink" Target="http://www.paho.org/data/index.php/en/indicators/visualization.html" TargetMode="External"/><Relationship Id="rId14" Type="http://schemas.openxmlformats.org/officeDocument/2006/relationships/hyperlink" Target="https://data.worldbank.org/indicator/" TargetMode="External"/><Relationship Id="rId17" Type="http://schemas.openxmlformats.org/officeDocument/2006/relationships/hyperlink" Target="https://data.worldbank.org/indicator/" TargetMode="External"/><Relationship Id="rId16" Type="http://schemas.openxmlformats.org/officeDocument/2006/relationships/hyperlink" Target="http://www.paho.org/data/index.php/en/indicators/visualization.html" TargetMode="External"/><Relationship Id="rId19" Type="http://schemas.openxmlformats.org/officeDocument/2006/relationships/hyperlink" Target="http://www.paho.org/data/index.php/en/indicators/visualization.html" TargetMode="External"/><Relationship Id="rId510" Type="http://schemas.openxmlformats.org/officeDocument/2006/relationships/hyperlink" Target="https://stats.oecd.org/index.aspx?DataSetCode=HEALTH_STAT" TargetMode="External"/><Relationship Id="rId18" Type="http://schemas.openxmlformats.org/officeDocument/2006/relationships/hyperlink" Target="http://www.paho.org/data/index.php/en/indicators/visualization.html" TargetMode="External"/><Relationship Id="rId84" Type="http://schemas.openxmlformats.org/officeDocument/2006/relationships/hyperlink" Target="https://usafacts.org/missions/promote-welfare/12" TargetMode="External"/><Relationship Id="rId83" Type="http://schemas.openxmlformats.org/officeDocument/2006/relationships/hyperlink" Target="https://stats.oecd.org/index.aspx?DataSetCode=HEALTH_STAT" TargetMode="External"/><Relationship Id="rId86" Type="http://schemas.openxmlformats.org/officeDocument/2006/relationships/hyperlink" Target="https://data.worldbank.org/indicator/" TargetMode="External"/><Relationship Id="rId85" Type="http://schemas.openxmlformats.org/officeDocument/2006/relationships/hyperlink" Target="https://www.americashealthrankings.org/explore/health-of-women-and-children/measure/child_mortality/state/ALL" TargetMode="External"/><Relationship Id="rId88" Type="http://schemas.openxmlformats.org/officeDocument/2006/relationships/hyperlink" Target="https://apps.who.int/iris/bitstream/handle/10665/259951/WHO-HIS-IER-GPM-2018.1-eng.pdf;jsessionid=47FB126CD095961CAC9D15E3FBF39514?sequence=1" TargetMode="External"/><Relationship Id="rId87" Type="http://schemas.openxmlformats.org/officeDocument/2006/relationships/hyperlink" Target="https://www.cdc.gov/nchs/fastats/deaths.htm" TargetMode="External"/><Relationship Id="rId89" Type="http://schemas.openxmlformats.org/officeDocument/2006/relationships/hyperlink" Target="https://stats.oecd.org/index.aspx?DataSetCode=HEALTH_STAT" TargetMode="External"/><Relationship Id="rId80" Type="http://schemas.openxmlformats.org/officeDocument/2006/relationships/hyperlink" Target="https://data.worldbank.org/indicator/" TargetMode="External"/><Relationship Id="rId82" Type="http://schemas.openxmlformats.org/officeDocument/2006/relationships/hyperlink" Target="https://apps.who.int/iris/bitstream/handle/10665/259951/WHO-HIS-IER-GPM-2018.1-eng.pdf;jsessionid=47FB126CD095961CAC9D15E3FBF39514?sequence=1" TargetMode="External"/><Relationship Id="rId81" Type="http://schemas.openxmlformats.org/officeDocument/2006/relationships/hyperlink" Target="https://www.americashealthrankings.org/explore/health-of-women-and-children/measure/child_mortality/state/ALL" TargetMode="External"/><Relationship Id="rId73" Type="http://schemas.openxmlformats.org/officeDocument/2006/relationships/hyperlink" Target="https://www.americashealthrankings.org/explore/annual" TargetMode="External"/><Relationship Id="rId72" Type="http://schemas.openxmlformats.org/officeDocument/2006/relationships/hyperlink" Target="https://www.gapminder.org/data/" TargetMode="External"/><Relationship Id="rId75" Type="http://schemas.openxmlformats.org/officeDocument/2006/relationships/hyperlink" Target="https://www.cdc.gov/nchs/healthy_people/hp2020/hp2020_indicators.htm" TargetMode="External"/><Relationship Id="rId74" Type="http://schemas.openxmlformats.org/officeDocument/2006/relationships/hyperlink" Target="https://data.worldbank.org/indicator/" TargetMode="External"/><Relationship Id="rId77" Type="http://schemas.openxmlformats.org/officeDocument/2006/relationships/hyperlink" Target="https://apps.who.int/iris/bitstream/handle/10665/259951/WHO-HIS-IER-GPM-2018.1-eng.pdf;jsessionid=47FB126CD095961CAC9D15E3FBF39514?sequence=1" TargetMode="External"/><Relationship Id="rId76" Type="http://schemas.openxmlformats.org/officeDocument/2006/relationships/hyperlink" Target="http://www.paho.org/data/index.php/en/indicators/visualization.html" TargetMode="External"/><Relationship Id="rId79" Type="http://schemas.openxmlformats.org/officeDocument/2006/relationships/hyperlink" Target="https://www.americashealthrankings.org/explore/annual" TargetMode="External"/><Relationship Id="rId78" Type="http://schemas.openxmlformats.org/officeDocument/2006/relationships/hyperlink" Target="https://stats.oecd.org/index.aspx?DataSetCode=HEALTH_STAT" TargetMode="External"/><Relationship Id="rId71" Type="http://schemas.openxmlformats.org/officeDocument/2006/relationships/hyperlink" Target="https://stats.oecd.org/index.aspx?DataSetCode=HEALTH_STAT" TargetMode="External"/><Relationship Id="rId70" Type="http://schemas.openxmlformats.org/officeDocument/2006/relationships/hyperlink" Target="https://apps.who.int/iris/bitstream/handle/10665/259951/WHO-HIS-IER-GPM-2018.1-eng.pdf;jsessionid=47FB126CD095961CAC9D15E3FBF39514?sequence=1" TargetMode="External"/><Relationship Id="rId62" Type="http://schemas.openxmlformats.org/officeDocument/2006/relationships/hyperlink" Target="https://apps.who.int/iris/bitstream/handle/10665/259951/WHO-HIS-IER-GPM-2018.1-eng.pdf;jsessionid=47FB126CD095961CAC9D15E3FBF39514?sequence=1" TargetMode="External"/><Relationship Id="rId61" Type="http://schemas.openxmlformats.org/officeDocument/2006/relationships/hyperlink" Target="http://www.paho.org/data/index.php/en/indicators/visualization.html" TargetMode="External"/><Relationship Id="rId64" Type="http://schemas.openxmlformats.org/officeDocument/2006/relationships/hyperlink" Target="https://usafacts.org/missions/promote-welfare/12" TargetMode="External"/><Relationship Id="rId63" Type="http://schemas.openxmlformats.org/officeDocument/2006/relationships/hyperlink" Target="https://stats.oecd.org/index.aspx?DataSetCode=HEALTH_STAT" TargetMode="External"/><Relationship Id="rId66" Type="http://schemas.openxmlformats.org/officeDocument/2006/relationships/hyperlink" Target="https://www.americashealthrankings.org/explore/health-of-women-and-children/measure/neonatal_mortality/state/ALL" TargetMode="External"/><Relationship Id="rId65" Type="http://schemas.openxmlformats.org/officeDocument/2006/relationships/hyperlink" Target="https://www.gapminder.org/data/" TargetMode="External"/><Relationship Id="rId68" Type="http://schemas.openxmlformats.org/officeDocument/2006/relationships/hyperlink" Target="https://www.cdc.gov/nchs/healthy_people/hp2020/hp2020_indicators.htm" TargetMode="External"/><Relationship Id="rId67" Type="http://schemas.openxmlformats.org/officeDocument/2006/relationships/hyperlink" Target="https://data.worldbank.org/indicator/" TargetMode="External"/><Relationship Id="rId60" Type="http://schemas.openxmlformats.org/officeDocument/2006/relationships/hyperlink" Target="https://www.cdc.gov/nchs/healthy_people/hp2020/hp2020_indicators.htm" TargetMode="External"/><Relationship Id="rId69" Type="http://schemas.openxmlformats.org/officeDocument/2006/relationships/hyperlink" Target="https://www.cdc.gov/ncbddd/stillbirth/data.html" TargetMode="External"/><Relationship Id="rId51" Type="http://schemas.openxmlformats.org/officeDocument/2006/relationships/hyperlink" Target="https://data.worldbank.org/indicator/" TargetMode="External"/><Relationship Id="rId50" Type="http://schemas.openxmlformats.org/officeDocument/2006/relationships/hyperlink" Target="https://www.americashealthrankings.org/explore/health-of-women-and-children/measure/maternal_mortality/state/ALL" TargetMode="External"/><Relationship Id="rId53" Type="http://schemas.openxmlformats.org/officeDocument/2006/relationships/hyperlink" Target="https://apps.who.int/iris/bitstream/handle/10665/259951/WHO-HIS-IER-GPM-2018.1-eng.pdf;jsessionid=47FB126CD095961CAC9D15E3FBF39514?sequence=1" TargetMode="External"/><Relationship Id="rId52" Type="http://schemas.openxmlformats.org/officeDocument/2006/relationships/hyperlink" Target="https://www.americashealthrankings.org/explore/health-of-women-and-children/measure/IMR_MCH/state/ALL" TargetMode="External"/><Relationship Id="rId55" Type="http://schemas.openxmlformats.org/officeDocument/2006/relationships/hyperlink" Target="https://stats.oecd.org/index.aspx?DataSetCode=HEALTH_STAT" TargetMode="External"/><Relationship Id="rId54" Type="http://schemas.openxmlformats.org/officeDocument/2006/relationships/hyperlink" Target="https://interactives.commonwealthfund.org/2018/state-scorecard/files/Radley_State_Scorecard_2018.pdf" TargetMode="External"/><Relationship Id="rId57" Type="http://schemas.openxmlformats.org/officeDocument/2006/relationships/hyperlink" Target="https://www.gapminder.org/data/" TargetMode="External"/><Relationship Id="rId56" Type="http://schemas.openxmlformats.org/officeDocument/2006/relationships/hyperlink" Target="https://usafacts.org/missions/promote-welfare/12" TargetMode="External"/><Relationship Id="rId59" Type="http://schemas.openxmlformats.org/officeDocument/2006/relationships/hyperlink" Target="https://data.worldbank.org/indicator/" TargetMode="External"/><Relationship Id="rId58" Type="http://schemas.openxmlformats.org/officeDocument/2006/relationships/hyperlink" Target="https://www.americashealthrankings.org/explore/health-of-women-and-children/measure/IMR_MCH/state/ALL" TargetMode="External"/><Relationship Id="rId590" Type="http://schemas.openxmlformats.org/officeDocument/2006/relationships/hyperlink" Target="https://www.americashealthrankings.org/explore/annual" TargetMode="External"/><Relationship Id="rId107" Type="http://schemas.openxmlformats.org/officeDocument/2006/relationships/hyperlink" Target="https://stats.oecd.org/index.aspx?DataSetCode=HEALTH_STAT" TargetMode="External"/><Relationship Id="rId228" Type="http://schemas.openxmlformats.org/officeDocument/2006/relationships/hyperlink" Target="https://interactives.commonwealthfund.org/2018/state-scorecard/files/Radley_State_Scorecard_2018.pdf" TargetMode="External"/><Relationship Id="rId349" Type="http://schemas.openxmlformats.org/officeDocument/2006/relationships/hyperlink" Target="https://www.americashealthrankings.org/explore/annual" TargetMode="External"/><Relationship Id="rId106" Type="http://schemas.openxmlformats.org/officeDocument/2006/relationships/hyperlink" Target="https://apps.who.int/iris/bitstream/handle/10665/259951/WHO-HIS-IER-GPM-2018.1-eng.pdf;jsessionid=47FB126CD095961CAC9D15E3FBF39514?sequence=1" TargetMode="External"/><Relationship Id="rId227" Type="http://schemas.openxmlformats.org/officeDocument/2006/relationships/hyperlink" Target="https://stats.oecd.org/index.aspx?DataSetCode=HEALTH_STAT" TargetMode="External"/><Relationship Id="rId348" Type="http://schemas.openxmlformats.org/officeDocument/2006/relationships/hyperlink" Target="https://usafacts.org/missions/promote-welfare/12" TargetMode="External"/><Relationship Id="rId469" Type="http://schemas.openxmlformats.org/officeDocument/2006/relationships/hyperlink" Target="https://usafacts.org/missions/promote-welfare/12" TargetMode="External"/><Relationship Id="rId105" Type="http://schemas.openxmlformats.org/officeDocument/2006/relationships/hyperlink" Target="https://www.gapminder.org/data/" TargetMode="External"/><Relationship Id="rId226" Type="http://schemas.openxmlformats.org/officeDocument/2006/relationships/hyperlink" Target="https://www.cdc.gov/nchs/healthy_people/hp2020/hp2020_indicators.htm" TargetMode="External"/><Relationship Id="rId347" Type="http://schemas.openxmlformats.org/officeDocument/2006/relationships/hyperlink" Target="https://stats.oecd.org/index.aspx?DataSetCode=HEALTH_STAT" TargetMode="External"/><Relationship Id="rId468" Type="http://schemas.openxmlformats.org/officeDocument/2006/relationships/hyperlink" Target="https://stats.oecd.org/index.aspx?DataSetCode=HEALTH_STAT" TargetMode="External"/><Relationship Id="rId589" Type="http://schemas.openxmlformats.org/officeDocument/2006/relationships/hyperlink" Target="https://www.cms.gov/Medicare/Quality-Initiatives-Patient-Assessment-Instruments/QualityInitiativesGenInfo/MMF/General-info-Sub-Page.html" TargetMode="External"/><Relationship Id="rId104" Type="http://schemas.openxmlformats.org/officeDocument/2006/relationships/hyperlink" Target="https://stats.oecd.org/index.aspx?DataSetCode=HEALTH_STAT" TargetMode="External"/><Relationship Id="rId225" Type="http://schemas.openxmlformats.org/officeDocument/2006/relationships/hyperlink" Target="https://www.gapminder.org/data/" TargetMode="External"/><Relationship Id="rId346" Type="http://schemas.openxmlformats.org/officeDocument/2006/relationships/hyperlink" Target="https://interactives.commonwealthfund.org/2018/state-scorecard/files/Radley_State_Scorecard_2018.pdf" TargetMode="External"/><Relationship Id="rId467" Type="http://schemas.openxmlformats.org/officeDocument/2006/relationships/hyperlink" Target="https://international.commonwealthfund.org/stats/" TargetMode="External"/><Relationship Id="rId588" Type="http://schemas.openxmlformats.org/officeDocument/2006/relationships/hyperlink" Target="https://www.cms.gov/about-cms/story-page/our-16-strategic-initiatives.html" TargetMode="External"/><Relationship Id="rId109" Type="http://schemas.openxmlformats.org/officeDocument/2006/relationships/hyperlink" Target="https://apps.who.int/iris/bitstream/handle/10665/259951/WHO-HIS-IER-GPM-2018.1-eng.pdf;jsessionid=47FB126CD095961CAC9D15E3FBF39514?sequence=1" TargetMode="External"/><Relationship Id="rId108" Type="http://schemas.openxmlformats.org/officeDocument/2006/relationships/hyperlink" Target="https://data.worldbank.org/indicator/" TargetMode="External"/><Relationship Id="rId229" Type="http://schemas.openxmlformats.org/officeDocument/2006/relationships/hyperlink" Target="https://interactives.commonwealthfund.org/2018/state-scorecard/files/Radley_State_Scorecard_2018.pdf" TargetMode="External"/><Relationship Id="rId220" Type="http://schemas.openxmlformats.org/officeDocument/2006/relationships/hyperlink" Target="https://stats.oecd.org/index.aspx?DataSetCode=HEALTH_STAT" TargetMode="External"/><Relationship Id="rId341" Type="http://schemas.openxmlformats.org/officeDocument/2006/relationships/hyperlink" Target="https://stats.oecd.org/index.aspx?DataSetCode=HEALTH_STAT" TargetMode="External"/><Relationship Id="rId462" Type="http://schemas.openxmlformats.org/officeDocument/2006/relationships/hyperlink" Target="https://apps.who.int/iris/bitstream/handle/10665/259951/WHO-HIS-IER-GPM-2018.1-eng.pdf;jsessionid=47FB126CD095961CAC9D15E3FBF39514?sequence=1" TargetMode="External"/><Relationship Id="rId583" Type="http://schemas.openxmlformats.org/officeDocument/2006/relationships/hyperlink" Target="https://usafacts.org/missions/promote-welfare/12" TargetMode="External"/><Relationship Id="rId340" Type="http://schemas.openxmlformats.org/officeDocument/2006/relationships/hyperlink" Target="https://apps.who.int/iris/bitstream/handle/10665/259951/WHO-HIS-IER-GPM-2018.1-eng.pdf;jsessionid=47FB126CD095961CAC9D15E3FBF39514?sequence=1" TargetMode="External"/><Relationship Id="rId461" Type="http://schemas.openxmlformats.org/officeDocument/2006/relationships/hyperlink" Target="https://apps.who.int/iris/bitstream/handle/10665/259951/WHO-HIS-IER-GPM-2018.1-eng.pdf;jsessionid=47FB126CD095961CAC9D15E3FBF39514?sequence=1" TargetMode="External"/><Relationship Id="rId582" Type="http://schemas.openxmlformats.org/officeDocument/2006/relationships/hyperlink" Target="https://stats.oecd.org/index.aspx?DataSetCode=HEALTH_STAT" TargetMode="External"/><Relationship Id="rId460" Type="http://schemas.openxmlformats.org/officeDocument/2006/relationships/hyperlink" Target="https://usafacts.org/missions/promote-welfare/12" TargetMode="External"/><Relationship Id="rId581" Type="http://schemas.openxmlformats.org/officeDocument/2006/relationships/hyperlink" Target="https://usafacts.org/missions/promote-welfare/12" TargetMode="External"/><Relationship Id="rId580" Type="http://schemas.openxmlformats.org/officeDocument/2006/relationships/hyperlink" Target="https://stats.oecd.org/index.aspx?DataSetCode=HEALTH_STAT" TargetMode="External"/><Relationship Id="rId103" Type="http://schemas.openxmlformats.org/officeDocument/2006/relationships/hyperlink" Target="https://apps.who.int/iris/bitstream/handle/10665/259951/WHO-HIS-IER-GPM-2018.1-eng.pdf;jsessionid=47FB126CD095961CAC9D15E3FBF39514?sequence=1" TargetMode="External"/><Relationship Id="rId224" Type="http://schemas.openxmlformats.org/officeDocument/2006/relationships/hyperlink" Target="https://www.cms.gov/Medicare/Quality-Initiatives-Patient-Assessment-Instruments/QualityInitiativesGenInfo/MMF/General-info-Sub-Page.html" TargetMode="External"/><Relationship Id="rId345" Type="http://schemas.openxmlformats.org/officeDocument/2006/relationships/hyperlink" Target="https://www.cdc.gov/nchs/healthy_people/hp2020/hp2020_indicators.htm" TargetMode="External"/><Relationship Id="rId466" Type="http://schemas.openxmlformats.org/officeDocument/2006/relationships/hyperlink" Target="https://apps.who.int/iris/bitstream/handle/10665/259951/WHO-HIS-IER-GPM-2018.1-eng.pdf;jsessionid=47FB126CD095961CAC9D15E3FBF39514?sequence=1" TargetMode="External"/><Relationship Id="rId587" Type="http://schemas.openxmlformats.org/officeDocument/2006/relationships/hyperlink" Target="https://usafacts.org/missions/promote-welfare/12" TargetMode="External"/><Relationship Id="rId102" Type="http://schemas.openxmlformats.org/officeDocument/2006/relationships/hyperlink" Target="http://www.paho.org/data/index.php/en/indicators/visualization.html" TargetMode="External"/><Relationship Id="rId223" Type="http://schemas.openxmlformats.org/officeDocument/2006/relationships/hyperlink" Target="https://www.oecd-ilibrary.org/docserver/health_glance-2017-en.pdf?expires=1564008067&amp;id=id&amp;accname=guest&amp;checksum=D0ABDB5402647B576A76E200E17FD74F" TargetMode="External"/><Relationship Id="rId344" Type="http://schemas.openxmlformats.org/officeDocument/2006/relationships/hyperlink" Target="https://data.worldbank.org/indicator/" TargetMode="External"/><Relationship Id="rId465" Type="http://schemas.openxmlformats.org/officeDocument/2006/relationships/hyperlink" Target="https://apps.who.int/iris/bitstream/handle/10665/259951/WHO-HIS-IER-GPM-2018.1-eng.pdf;jsessionid=47FB126CD095961CAC9D15E3FBF39514?sequence=1" TargetMode="External"/><Relationship Id="rId586" Type="http://schemas.openxmlformats.org/officeDocument/2006/relationships/hyperlink" Target="https://usafacts.org/missions/promote-welfare/12" TargetMode="External"/><Relationship Id="rId101" Type="http://schemas.openxmlformats.org/officeDocument/2006/relationships/hyperlink" Target="https://wwwn.cdc.gov/psr/NationalSummary/NationalSummary.aspx" TargetMode="External"/><Relationship Id="rId222" Type="http://schemas.openxmlformats.org/officeDocument/2006/relationships/hyperlink" Target="https://stats.oecd.org/index.aspx?DataSetCode=HEALTH_STAT" TargetMode="External"/><Relationship Id="rId343" Type="http://schemas.openxmlformats.org/officeDocument/2006/relationships/hyperlink" Target="https://www.americashealthrankings.org/explore/annual" TargetMode="External"/><Relationship Id="rId464" Type="http://schemas.openxmlformats.org/officeDocument/2006/relationships/hyperlink" Target="https://apps.who.int/iris/bitstream/handle/10665/259951/WHO-HIS-IER-GPM-2018.1-eng.pdf;jsessionid=47FB126CD095961CAC9D15E3FBF39514?sequence=1" TargetMode="External"/><Relationship Id="rId585" Type="http://schemas.openxmlformats.org/officeDocument/2006/relationships/hyperlink" Target="https://apps.who.int/iris/bitstream/handle/10665/259951/WHO-HIS-IER-GPM-2018.1-eng.pdf;jsessionid=47FB126CD095961CAC9D15E3FBF39514?sequence=1" TargetMode="External"/><Relationship Id="rId100" Type="http://schemas.openxmlformats.org/officeDocument/2006/relationships/hyperlink" Target="https://www.gapminder.org/data/" TargetMode="External"/><Relationship Id="rId221" Type="http://schemas.openxmlformats.org/officeDocument/2006/relationships/hyperlink" Target="https://www.gapminder.org/data/" TargetMode="External"/><Relationship Id="rId342" Type="http://schemas.openxmlformats.org/officeDocument/2006/relationships/hyperlink" Target="https://usafacts.org/missions/promote-welfare/12" TargetMode="External"/><Relationship Id="rId463" Type="http://schemas.openxmlformats.org/officeDocument/2006/relationships/hyperlink" Target="https://stats.oecd.org/index.aspx?DataSetCode=HEALTH_STAT" TargetMode="External"/><Relationship Id="rId584" Type="http://schemas.openxmlformats.org/officeDocument/2006/relationships/hyperlink" Target="https://apps.who.int/iris/bitstream/handle/10665/259951/WHO-HIS-IER-GPM-2018.1-eng.pdf;jsessionid=47FB126CD095961CAC9D15E3FBF39514?sequence=1" TargetMode="External"/><Relationship Id="rId217" Type="http://schemas.openxmlformats.org/officeDocument/2006/relationships/hyperlink" Target="https://stats.oecd.org/index.aspx?DataSetCode=HEALTH_STAT" TargetMode="External"/><Relationship Id="rId338" Type="http://schemas.openxmlformats.org/officeDocument/2006/relationships/hyperlink" Target="https://apps.who.int/iris/bitstream/handle/10665/259951/WHO-HIS-IER-GPM-2018.1-eng.pdf;jsessionid=47FB126CD095961CAC9D15E3FBF39514?sequence=1" TargetMode="External"/><Relationship Id="rId459" Type="http://schemas.openxmlformats.org/officeDocument/2006/relationships/hyperlink" Target="https://international.commonwealthfund.org/stats/" TargetMode="External"/><Relationship Id="rId216" Type="http://schemas.openxmlformats.org/officeDocument/2006/relationships/hyperlink" Target="https://apps.who.int/iris/bitstream/handle/10665/259951/WHO-HIS-IER-GPM-2018.1-eng.pdf;jsessionid=47FB126CD095961CAC9D15E3FBF39514?sequence=1" TargetMode="External"/><Relationship Id="rId337" Type="http://schemas.openxmlformats.org/officeDocument/2006/relationships/hyperlink" Target="https://apps.who.int/iris/bitstream/handle/10665/259951/WHO-HIS-IER-GPM-2018.1-eng.pdf;jsessionid=47FB126CD095961CAC9D15E3FBF39514?sequence=1" TargetMode="External"/><Relationship Id="rId458" Type="http://schemas.openxmlformats.org/officeDocument/2006/relationships/hyperlink" Target="https://international.commonwealthfund.org/stats/" TargetMode="External"/><Relationship Id="rId579" Type="http://schemas.openxmlformats.org/officeDocument/2006/relationships/hyperlink" Target="https://usafacts.org/missions/promote-welfare/12" TargetMode="External"/><Relationship Id="rId215" Type="http://schemas.openxmlformats.org/officeDocument/2006/relationships/hyperlink" Target="https://stats.oecd.org/index.aspx?DataSetCode=HEALTH_STAT" TargetMode="External"/><Relationship Id="rId336" Type="http://schemas.openxmlformats.org/officeDocument/2006/relationships/hyperlink" Target="https://apps.who.int/iris/bitstream/handle/10665/259951/WHO-HIS-IER-GPM-2018.1-eng.pdf;jsessionid=47FB126CD095961CAC9D15E3FBF39514?sequence=1" TargetMode="External"/><Relationship Id="rId457" Type="http://schemas.openxmlformats.org/officeDocument/2006/relationships/hyperlink" Target="https://international.commonwealthfund.org/stats/" TargetMode="External"/><Relationship Id="rId578" Type="http://schemas.openxmlformats.org/officeDocument/2006/relationships/hyperlink" Target="https://stats.oecd.org/index.aspx?DataSetCode=HEALTH_STAT" TargetMode="External"/><Relationship Id="rId214" Type="http://schemas.openxmlformats.org/officeDocument/2006/relationships/hyperlink" Target="https://apps.who.int/iris/bitstream/handle/10665/259951/WHO-HIS-IER-GPM-2018.1-eng.pdf;jsessionid=47FB126CD095961CAC9D15E3FBF39514?sequence=1" TargetMode="External"/><Relationship Id="rId335" Type="http://schemas.openxmlformats.org/officeDocument/2006/relationships/hyperlink" Target="https://apps.who.int/iris/bitstream/handle/10665/259951/WHO-HIS-IER-GPM-2018.1-eng.pdf;jsessionid=47FB126CD095961CAC9D15E3FBF39514?sequence=1" TargetMode="External"/><Relationship Id="rId456" Type="http://schemas.openxmlformats.org/officeDocument/2006/relationships/hyperlink" Target="https://international.commonwealthfund.org/stats/" TargetMode="External"/><Relationship Id="rId577" Type="http://schemas.openxmlformats.org/officeDocument/2006/relationships/hyperlink" Target="https://usafacts.org/missions/promote-welfare/12" TargetMode="External"/><Relationship Id="rId219" Type="http://schemas.openxmlformats.org/officeDocument/2006/relationships/hyperlink" Target="https://apps.who.int/iris/bitstream/handle/10665/259951/WHO-HIS-IER-GPM-2018.1-eng.pdf;jsessionid=47FB126CD095961CAC9D15E3FBF39514?sequence=1" TargetMode="External"/><Relationship Id="rId218" Type="http://schemas.openxmlformats.org/officeDocument/2006/relationships/hyperlink" Target="https://www.gapminder.org/data/" TargetMode="External"/><Relationship Id="rId339" Type="http://schemas.openxmlformats.org/officeDocument/2006/relationships/hyperlink" Target="https://apps.who.int/iris/bitstream/handle/10665/259951/WHO-HIS-IER-GPM-2018.1-eng.pdf;jsessionid=47FB126CD095961CAC9D15E3FBF39514?sequence=1" TargetMode="External"/><Relationship Id="rId330" Type="http://schemas.openxmlformats.org/officeDocument/2006/relationships/hyperlink" Target="https://apps.who.int/iris/bitstream/handle/10665/259951/WHO-HIS-IER-GPM-2018.1-eng.pdf;jsessionid=47FB126CD095961CAC9D15E3FBF39514?sequence=1" TargetMode="External"/><Relationship Id="rId451" Type="http://schemas.openxmlformats.org/officeDocument/2006/relationships/hyperlink" Target="https://www.americashealthrankings.org/explore/annual" TargetMode="External"/><Relationship Id="rId572" Type="http://schemas.openxmlformats.org/officeDocument/2006/relationships/hyperlink" Target="https://www.americashealthrankings.org/explore/annual" TargetMode="External"/><Relationship Id="rId450" Type="http://schemas.openxmlformats.org/officeDocument/2006/relationships/hyperlink" Target="https://interactives.commonwealthfund.org/2018/state-scorecard/files/Radley_State_Scorecard_2018.pdf" TargetMode="External"/><Relationship Id="rId571" Type="http://schemas.openxmlformats.org/officeDocument/2006/relationships/hyperlink" Target="https://interactives.commonwealthfund.org/2018/state-scorecard/files/Radley_State_Scorecard_2018.pdf" TargetMode="External"/><Relationship Id="rId570" Type="http://schemas.openxmlformats.org/officeDocument/2006/relationships/hyperlink" Target="https://www.americashealthrankings.org/explore/annual" TargetMode="External"/><Relationship Id="rId213" Type="http://schemas.openxmlformats.org/officeDocument/2006/relationships/hyperlink" Target="https://stats.oecd.org/index.aspx?DataSetCode=HEALTH_STAT" TargetMode="External"/><Relationship Id="rId334" Type="http://schemas.openxmlformats.org/officeDocument/2006/relationships/hyperlink" Target="https://data.worldbank.org/indicator/" TargetMode="External"/><Relationship Id="rId455" Type="http://schemas.openxmlformats.org/officeDocument/2006/relationships/hyperlink" Target="https://international.commonwealthfund.org/stats/" TargetMode="External"/><Relationship Id="rId576" Type="http://schemas.openxmlformats.org/officeDocument/2006/relationships/hyperlink" Target="https://international.commonwealthfund.org/stats/" TargetMode="External"/><Relationship Id="rId212" Type="http://schemas.openxmlformats.org/officeDocument/2006/relationships/hyperlink" Target="https://apps.who.int/iris/bitstream/handle/10665/259951/WHO-HIS-IER-GPM-2018.1-eng.pdf;jsessionid=47FB126CD095961CAC9D15E3FBF39514?sequence=1" TargetMode="External"/><Relationship Id="rId333" Type="http://schemas.openxmlformats.org/officeDocument/2006/relationships/hyperlink" Target="https://www.gapminder.org/data/" TargetMode="External"/><Relationship Id="rId454" Type="http://schemas.openxmlformats.org/officeDocument/2006/relationships/hyperlink" Target="https://usafacts.org/missions/promote-welfare/12" TargetMode="External"/><Relationship Id="rId575" Type="http://schemas.openxmlformats.org/officeDocument/2006/relationships/hyperlink" Target="https://interactives.commonwealthfund.org/2018/state-scorecard/files/Radley_State_Scorecard_2018.pdf" TargetMode="External"/><Relationship Id="rId211" Type="http://schemas.openxmlformats.org/officeDocument/2006/relationships/hyperlink" Target="https://stats.oecd.org/index.aspx?DataSetCode=HEALTH_STAT" TargetMode="External"/><Relationship Id="rId332" Type="http://schemas.openxmlformats.org/officeDocument/2006/relationships/hyperlink" Target="https://apps.who.int/iris/bitstream/handle/10665/259951/WHO-HIS-IER-GPM-2018.1-eng.pdf;jsessionid=47FB126CD095961CAC9D15E3FBF39514?sequence=1" TargetMode="External"/><Relationship Id="rId453" Type="http://schemas.openxmlformats.org/officeDocument/2006/relationships/hyperlink" Target="https://stats.oecd.org/index.aspx?DataSetCode=HEALTH_STAT" TargetMode="External"/><Relationship Id="rId574" Type="http://schemas.openxmlformats.org/officeDocument/2006/relationships/hyperlink" Target="https://interactives.commonwealthfund.org/2018/state-scorecard/files/Radley_State_Scorecard_2018.pdf" TargetMode="External"/><Relationship Id="rId210" Type="http://schemas.openxmlformats.org/officeDocument/2006/relationships/hyperlink" Target="https://apps.who.int/iris/bitstream/handle/10665/259951/WHO-HIS-IER-GPM-2018.1-eng.pdf;jsessionid=47FB126CD095961CAC9D15E3FBF39514?sequence=1" TargetMode="External"/><Relationship Id="rId331" Type="http://schemas.openxmlformats.org/officeDocument/2006/relationships/hyperlink" Target="https://data.worldbank.org/indicator/" TargetMode="External"/><Relationship Id="rId452" Type="http://schemas.openxmlformats.org/officeDocument/2006/relationships/hyperlink" Target="https://international.commonwealthfund.org/stats/" TargetMode="External"/><Relationship Id="rId573" Type="http://schemas.openxmlformats.org/officeDocument/2006/relationships/hyperlink" Target="https://interactives.commonwealthfund.org/2018/state-scorecard/files/Radley_State_Scorecard_2018.pdf" TargetMode="External"/><Relationship Id="rId370" Type="http://schemas.openxmlformats.org/officeDocument/2006/relationships/hyperlink" Target="https://apps.who.int/iris/bitstream/handle/10665/259951/WHO-HIS-IER-GPM-2018.1-eng.pdf;jsessionid=47FB126CD095961CAC9D15E3FBF39514?sequence=1" TargetMode="External"/><Relationship Id="rId491" Type="http://schemas.openxmlformats.org/officeDocument/2006/relationships/hyperlink" Target="https://stats.oecd.org/index.aspx?DataSetCode=HEALTH_STAT" TargetMode="External"/><Relationship Id="rId490" Type="http://schemas.openxmlformats.org/officeDocument/2006/relationships/hyperlink" Target="https://international.commonwealthfund.org/stats/" TargetMode="External"/><Relationship Id="rId129" Type="http://schemas.openxmlformats.org/officeDocument/2006/relationships/hyperlink" Target="https://stats.oecd.org/index.aspx?DataSetCode=HEALTH_STAT" TargetMode="External"/><Relationship Id="rId128" Type="http://schemas.openxmlformats.org/officeDocument/2006/relationships/hyperlink" Target="https://www.cdc.gov/nchs/healthy_people/hp2020/hp2020_indicators.htm" TargetMode="External"/><Relationship Id="rId249" Type="http://schemas.openxmlformats.org/officeDocument/2006/relationships/hyperlink" Target="https://data.worldbank.org/indicator/" TargetMode="External"/><Relationship Id="rId127" Type="http://schemas.openxmlformats.org/officeDocument/2006/relationships/hyperlink" Target="https://www.americashealthrankings.org/explore/annual" TargetMode="External"/><Relationship Id="rId248" Type="http://schemas.openxmlformats.org/officeDocument/2006/relationships/hyperlink" Target="https://www.gapminder.org/data/" TargetMode="External"/><Relationship Id="rId369" Type="http://schemas.openxmlformats.org/officeDocument/2006/relationships/hyperlink" Target="https://apps.who.int/iris/bitstream/handle/10665/259951/WHO-HIS-IER-GPM-2018.1-eng.pdf;jsessionid=47FB126CD095961CAC9D15E3FBF39514?sequence=1" TargetMode="External"/><Relationship Id="rId126" Type="http://schemas.openxmlformats.org/officeDocument/2006/relationships/hyperlink" Target="https://stats.oecd.org/index.aspx?DataSetCode=HEALTH_STAT" TargetMode="External"/><Relationship Id="rId247" Type="http://schemas.openxmlformats.org/officeDocument/2006/relationships/hyperlink" Target="https://usafacts.org/missions/promote-welfare/12" TargetMode="External"/><Relationship Id="rId368" Type="http://schemas.openxmlformats.org/officeDocument/2006/relationships/hyperlink" Target="https://wwwn.cdc.gov/psr/NationalSummary/NationalSummary.aspx" TargetMode="External"/><Relationship Id="rId489" Type="http://schemas.openxmlformats.org/officeDocument/2006/relationships/hyperlink" Target="https://stats.oecd.org/index.aspx?DataSetCode=HEALTH_STAT" TargetMode="External"/><Relationship Id="rId121" Type="http://schemas.openxmlformats.org/officeDocument/2006/relationships/hyperlink" Target="https://stats.oecd.org/index.aspx?DataSetCode=HEALTH_STAT" TargetMode="External"/><Relationship Id="rId242" Type="http://schemas.openxmlformats.org/officeDocument/2006/relationships/hyperlink" Target="https://wwwn.cdc.gov/psr/NationalSummary/NationalSummary.aspx" TargetMode="External"/><Relationship Id="rId363" Type="http://schemas.openxmlformats.org/officeDocument/2006/relationships/hyperlink" Target="https://data.worldbank.org/indicator/" TargetMode="External"/><Relationship Id="rId484" Type="http://schemas.openxmlformats.org/officeDocument/2006/relationships/hyperlink" Target="https://international.commonwealthfund.org/stats/" TargetMode="External"/><Relationship Id="rId120" Type="http://schemas.openxmlformats.org/officeDocument/2006/relationships/hyperlink" Target="https://apps.who.int/iris/bitstream/handle/10665/259951/WHO-HIS-IER-GPM-2018.1-eng.pdf;jsessionid=47FB126CD095961CAC9D15E3FBF39514?sequence=1" TargetMode="External"/><Relationship Id="rId241" Type="http://schemas.openxmlformats.org/officeDocument/2006/relationships/hyperlink" Target="https://apps.who.int/iris/bitstream/handle/10665/259951/WHO-HIS-IER-GPM-2018.1-eng.pdf;jsessionid=47FB126CD095961CAC9D15E3FBF39514?sequence=1" TargetMode="External"/><Relationship Id="rId362" Type="http://schemas.openxmlformats.org/officeDocument/2006/relationships/hyperlink" Target="https://www.gapminder.org/data/" TargetMode="External"/><Relationship Id="rId483" Type="http://schemas.openxmlformats.org/officeDocument/2006/relationships/hyperlink" Target="https://stats.oecd.org/index.aspx?DataSetCode=HEALTH_STAT" TargetMode="External"/><Relationship Id="rId240" Type="http://schemas.openxmlformats.org/officeDocument/2006/relationships/hyperlink" Target="https://data.worldbank.org/indicator/" TargetMode="External"/><Relationship Id="rId361" Type="http://schemas.openxmlformats.org/officeDocument/2006/relationships/hyperlink" Target="https://apps.who.int/iris/bitstream/handle/10665/259951/WHO-HIS-IER-GPM-2018.1-eng.pdf;jsessionid=47FB126CD095961CAC9D15E3FBF39514?sequence=1" TargetMode="External"/><Relationship Id="rId482" Type="http://schemas.openxmlformats.org/officeDocument/2006/relationships/hyperlink" Target="https://international.commonwealthfund.org/stats/" TargetMode="External"/><Relationship Id="rId360" Type="http://schemas.openxmlformats.org/officeDocument/2006/relationships/hyperlink" Target="https://data.worldbank.org/indicator/" TargetMode="External"/><Relationship Id="rId481" Type="http://schemas.openxmlformats.org/officeDocument/2006/relationships/hyperlink" Target="https://stats.oecd.org/index.aspx?DataSetCode=HEALTH_STAT" TargetMode="External"/><Relationship Id="rId125" Type="http://schemas.openxmlformats.org/officeDocument/2006/relationships/hyperlink" Target="https://apps.who.int/iris/bitstream/handle/10665/259951/WHO-HIS-IER-GPM-2018.1-eng.pdf;jsessionid=47FB126CD095961CAC9D15E3FBF39514?sequence=1" TargetMode="External"/><Relationship Id="rId246" Type="http://schemas.openxmlformats.org/officeDocument/2006/relationships/hyperlink" Target="https://stats.oecd.org/index.aspx?DataSetCode=HEALTH_STAT" TargetMode="External"/><Relationship Id="rId367" Type="http://schemas.openxmlformats.org/officeDocument/2006/relationships/hyperlink" Target="https://apps.who.int/iris/bitstream/handle/10665/259951/WHO-HIS-IER-GPM-2018.1-eng.pdf;jsessionid=47FB126CD095961CAC9D15E3FBF39514?sequence=1" TargetMode="External"/><Relationship Id="rId488" Type="http://schemas.openxmlformats.org/officeDocument/2006/relationships/hyperlink" Target="https://international.commonwealthfund.org/stats/" TargetMode="External"/><Relationship Id="rId124" Type="http://schemas.openxmlformats.org/officeDocument/2006/relationships/hyperlink" Target="https://stats.oecd.org/index.aspx?DataSetCode=HEALTH_STAT" TargetMode="External"/><Relationship Id="rId245" Type="http://schemas.openxmlformats.org/officeDocument/2006/relationships/hyperlink" Target="https://apps.who.int/iris/bitstream/handle/10665/259951/WHO-HIS-IER-GPM-2018.1-eng.pdf;jsessionid=47FB126CD095961CAC9D15E3FBF39514?sequence=1" TargetMode="External"/><Relationship Id="rId366" Type="http://schemas.openxmlformats.org/officeDocument/2006/relationships/hyperlink" Target="https://apps.who.int/iris/bitstream/handle/10665/259951/WHO-HIS-IER-GPM-2018.1-eng.pdf;jsessionid=47FB126CD095961CAC9D15E3FBF39514?sequence=1" TargetMode="External"/><Relationship Id="rId487" Type="http://schemas.openxmlformats.org/officeDocument/2006/relationships/hyperlink" Target="https://stats.oecd.org/index.aspx?DataSetCode=HEALTH_STAT" TargetMode="External"/><Relationship Id="rId123" Type="http://schemas.openxmlformats.org/officeDocument/2006/relationships/hyperlink" Target="https://apps.who.int/iris/bitstream/handle/10665/259951/WHO-HIS-IER-GPM-2018.1-eng.pdf;jsessionid=47FB126CD095961CAC9D15E3FBF39514?sequence=1" TargetMode="External"/><Relationship Id="rId244" Type="http://schemas.openxmlformats.org/officeDocument/2006/relationships/hyperlink" Target="https://data.worldbank.org/indicator/" TargetMode="External"/><Relationship Id="rId365" Type="http://schemas.openxmlformats.org/officeDocument/2006/relationships/hyperlink" Target="https://www.gapminder.org/data/" TargetMode="External"/><Relationship Id="rId486" Type="http://schemas.openxmlformats.org/officeDocument/2006/relationships/hyperlink" Target="https://international.commonwealthfund.org/stats/" TargetMode="External"/><Relationship Id="rId122" Type="http://schemas.openxmlformats.org/officeDocument/2006/relationships/hyperlink" Target="https://data.worldbank.org/indicator/" TargetMode="External"/><Relationship Id="rId243" Type="http://schemas.openxmlformats.org/officeDocument/2006/relationships/hyperlink" Target="https://apps.who.int/iris/bitstream/handle/10665/259951/WHO-HIS-IER-GPM-2018.1-eng.pdf;jsessionid=47FB126CD095961CAC9D15E3FBF39514?sequence=1" TargetMode="External"/><Relationship Id="rId364" Type="http://schemas.openxmlformats.org/officeDocument/2006/relationships/hyperlink" Target="https://apps.who.int/iris/bitstream/handle/10665/259951/WHO-HIS-IER-GPM-2018.1-eng.pdf;jsessionid=47FB126CD095961CAC9D15E3FBF39514?sequence=1" TargetMode="External"/><Relationship Id="rId485" Type="http://schemas.openxmlformats.org/officeDocument/2006/relationships/hyperlink" Target="https://stats.oecd.org/index.aspx?DataSetCode=HEALTH_STAT" TargetMode="External"/><Relationship Id="rId95" Type="http://schemas.openxmlformats.org/officeDocument/2006/relationships/hyperlink" Target="https://apps.who.int/iris/bitstream/handle/10665/259951/WHO-HIS-IER-GPM-2018.1-eng.pdf;jsessionid=47FB126CD095961CAC9D15E3FBF39514?sequence=1" TargetMode="External"/><Relationship Id="rId94" Type="http://schemas.openxmlformats.org/officeDocument/2006/relationships/hyperlink" Target="https://www.cdc.gov/tb/statistics/default.htm" TargetMode="External"/><Relationship Id="rId97" Type="http://schemas.openxmlformats.org/officeDocument/2006/relationships/hyperlink" Target="https://data.worldbank.org/indicator/" TargetMode="External"/><Relationship Id="rId96" Type="http://schemas.openxmlformats.org/officeDocument/2006/relationships/hyperlink" Target="https://stats.oecd.org/index.aspx?DataSetCode=HEALTH_STAT" TargetMode="External"/><Relationship Id="rId99" Type="http://schemas.openxmlformats.org/officeDocument/2006/relationships/hyperlink" Target="https://stats.oecd.org/index.aspx?DataSetCode=HEALTH_STAT" TargetMode="External"/><Relationship Id="rId480" Type="http://schemas.openxmlformats.org/officeDocument/2006/relationships/hyperlink" Target="https://international.commonwealthfund.org/stats/" TargetMode="External"/><Relationship Id="rId98" Type="http://schemas.openxmlformats.org/officeDocument/2006/relationships/hyperlink" Target="https://apps.who.int/iris/bitstream/handle/10665/259951/WHO-HIS-IER-GPM-2018.1-eng.pdf;jsessionid=47FB126CD095961CAC9D15E3FBF39514?sequence=1" TargetMode="External"/><Relationship Id="rId91" Type="http://schemas.openxmlformats.org/officeDocument/2006/relationships/hyperlink" Target="https://www.americashealthrankings.org/explore/annual" TargetMode="External"/><Relationship Id="rId90" Type="http://schemas.openxmlformats.org/officeDocument/2006/relationships/hyperlink" Target="https://usafacts.org/missions/promote-welfare/12" TargetMode="External"/><Relationship Id="rId93" Type="http://schemas.openxmlformats.org/officeDocument/2006/relationships/hyperlink" Target="https://usafacts.org/missions/promote-welfare/12" TargetMode="External"/><Relationship Id="rId92" Type="http://schemas.openxmlformats.org/officeDocument/2006/relationships/hyperlink" Target="https://data.worldbank.org/indicator/" TargetMode="External"/><Relationship Id="rId118" Type="http://schemas.openxmlformats.org/officeDocument/2006/relationships/hyperlink" Target="https://www.gapminder.org/data/" TargetMode="External"/><Relationship Id="rId239" Type="http://schemas.openxmlformats.org/officeDocument/2006/relationships/hyperlink" Target="https://apps.who.int/iris/bitstream/handle/10665/259951/WHO-HIS-IER-GPM-2018.1-eng.pdf;jsessionid=47FB126CD095961CAC9D15E3FBF39514?sequence=1" TargetMode="External"/><Relationship Id="rId117" Type="http://schemas.openxmlformats.org/officeDocument/2006/relationships/hyperlink" Target="https://stats.oecd.org/index.aspx?DataSetCode=HEALTH_STAT" TargetMode="External"/><Relationship Id="rId238" Type="http://schemas.openxmlformats.org/officeDocument/2006/relationships/hyperlink" Target="https://apps.who.int/iris/bitstream/handle/10665/259951/WHO-HIS-IER-GPM-2018.1-eng.pdf;jsessionid=47FB126CD095961CAC9D15E3FBF39514?sequence=1" TargetMode="External"/><Relationship Id="rId359" Type="http://schemas.openxmlformats.org/officeDocument/2006/relationships/hyperlink" Target="https://www.americashealthrankings.org/explore/annual" TargetMode="External"/><Relationship Id="rId116" Type="http://schemas.openxmlformats.org/officeDocument/2006/relationships/hyperlink" Target="https://apps.who.int/iris/bitstream/handle/10665/259951/WHO-HIS-IER-GPM-2018.1-eng.pdf;jsessionid=47FB126CD095961CAC9D15E3FBF39514?sequence=1" TargetMode="External"/><Relationship Id="rId237" Type="http://schemas.openxmlformats.org/officeDocument/2006/relationships/hyperlink" Target="https://www.americashealthrankings.org/explore/annual" TargetMode="External"/><Relationship Id="rId358" Type="http://schemas.openxmlformats.org/officeDocument/2006/relationships/hyperlink" Target="https://usafacts.org/missions/promote-welfare/12" TargetMode="External"/><Relationship Id="rId479" Type="http://schemas.openxmlformats.org/officeDocument/2006/relationships/hyperlink" Target="https://www.cms.gov/about-cms/story-page/our-16-strategic-initiatives.html" TargetMode="External"/><Relationship Id="rId115" Type="http://schemas.openxmlformats.org/officeDocument/2006/relationships/hyperlink" Target="https://stats.oecd.org/index.aspx?DataSetCode=HEALTH_STAT" TargetMode="External"/><Relationship Id="rId236" Type="http://schemas.openxmlformats.org/officeDocument/2006/relationships/hyperlink" Target="https://www.gapminder.org/data/" TargetMode="External"/><Relationship Id="rId357" Type="http://schemas.openxmlformats.org/officeDocument/2006/relationships/hyperlink" Target="https://stats.oecd.org/index.aspx?DataSetCode=HEALTH_STAT" TargetMode="External"/><Relationship Id="rId478" Type="http://schemas.openxmlformats.org/officeDocument/2006/relationships/hyperlink" Target="https://www.cdc.gov/nchs/healthy_people/hp2020/hp2020_indicators.htm" TargetMode="External"/><Relationship Id="rId119" Type="http://schemas.openxmlformats.org/officeDocument/2006/relationships/hyperlink" Target="https://www.cdc.gov/nchs/healthy_people/hp2020/hp2020_indicators.htm" TargetMode="External"/><Relationship Id="rId110" Type="http://schemas.openxmlformats.org/officeDocument/2006/relationships/hyperlink" Target="https://stats.oecd.org/index.aspx?DataSetCode=HEALTH_STAT" TargetMode="External"/><Relationship Id="rId231" Type="http://schemas.openxmlformats.org/officeDocument/2006/relationships/hyperlink" Target="https://stats.oecd.org/index.aspx?DataSetCode=HEALTH_STAT" TargetMode="External"/><Relationship Id="rId352" Type="http://schemas.openxmlformats.org/officeDocument/2006/relationships/hyperlink" Target="https://www.cdc.gov/nchs/healthy_people/hp2020/hp2020_indicators.htm" TargetMode="External"/><Relationship Id="rId473" Type="http://schemas.openxmlformats.org/officeDocument/2006/relationships/hyperlink" Target="https://www.americashealthrankings.org/explore/annual" TargetMode="External"/><Relationship Id="rId230" Type="http://schemas.openxmlformats.org/officeDocument/2006/relationships/hyperlink" Target="https://www.americashealthrankings.org/explore/annual" TargetMode="External"/><Relationship Id="rId351" Type="http://schemas.openxmlformats.org/officeDocument/2006/relationships/hyperlink" Target="https://www.cms.gov/Medicare/Quality-Initiatives-Patient-Assessment-Instruments/QualityInitiativesGenInfo/MMF/General-info-Sub-Page.html" TargetMode="External"/><Relationship Id="rId472" Type="http://schemas.openxmlformats.org/officeDocument/2006/relationships/hyperlink" Target="https://usafacts.org/missions/promote-welfare/12" TargetMode="External"/><Relationship Id="rId350" Type="http://schemas.openxmlformats.org/officeDocument/2006/relationships/hyperlink" Target="https://data.worldbank.org/indicator/" TargetMode="External"/><Relationship Id="rId471" Type="http://schemas.openxmlformats.org/officeDocument/2006/relationships/hyperlink" Target="https://interactives.commonwealthfund.org/2018/state-scorecard/files/Radley_State_Scorecard_2018.pdf" TargetMode="External"/><Relationship Id="rId592" Type="http://schemas.openxmlformats.org/officeDocument/2006/relationships/vmlDrawing" Target="../drawings/vmlDrawing1.vml"/><Relationship Id="rId470" Type="http://schemas.openxmlformats.org/officeDocument/2006/relationships/hyperlink" Target="https://apps.who.int/iris/bitstream/handle/10665/259951/WHO-HIS-IER-GPM-2018.1-eng.pdf;jsessionid=47FB126CD095961CAC9D15E3FBF39514?sequence=1" TargetMode="External"/><Relationship Id="rId591" Type="http://schemas.openxmlformats.org/officeDocument/2006/relationships/drawing" Target="../drawings/drawing1.xml"/><Relationship Id="rId114" Type="http://schemas.openxmlformats.org/officeDocument/2006/relationships/hyperlink" Target="https://apps.who.int/iris/bitstream/handle/10665/259951/WHO-HIS-IER-GPM-2018.1-eng.pdf;jsessionid=47FB126CD095961CAC9D15E3FBF39514?sequence=1" TargetMode="External"/><Relationship Id="rId235" Type="http://schemas.openxmlformats.org/officeDocument/2006/relationships/hyperlink" Target="https://stats.oecd.org/index.aspx?DataSetCode=HEALTH_STAT" TargetMode="External"/><Relationship Id="rId356" Type="http://schemas.openxmlformats.org/officeDocument/2006/relationships/hyperlink" Target="https://data.worldbank.org/indicator/" TargetMode="External"/><Relationship Id="rId477" Type="http://schemas.openxmlformats.org/officeDocument/2006/relationships/hyperlink" Target="https://www.americashealthrankings.org/explore/annual" TargetMode="External"/><Relationship Id="rId113" Type="http://schemas.openxmlformats.org/officeDocument/2006/relationships/hyperlink" Target="https://stats.oecd.org/index.aspx?DataSetCode=HEALTH_STAT" TargetMode="External"/><Relationship Id="rId234" Type="http://schemas.openxmlformats.org/officeDocument/2006/relationships/hyperlink" Target="https://apps.who.int/iris/bitstream/handle/10665/259951/WHO-HIS-IER-GPM-2018.1-eng.pdf;jsessionid=47FB126CD095961CAC9D15E3FBF39514?sequence=1" TargetMode="External"/><Relationship Id="rId355" Type="http://schemas.openxmlformats.org/officeDocument/2006/relationships/hyperlink" Target="https://www.americashealthrankings.org/explore/annual" TargetMode="External"/><Relationship Id="rId476" Type="http://schemas.openxmlformats.org/officeDocument/2006/relationships/hyperlink" Target="https://interactives.commonwealthfund.org/2018/state-scorecard/files/Radley_State_Scorecard_2018.pdf" TargetMode="External"/><Relationship Id="rId112" Type="http://schemas.openxmlformats.org/officeDocument/2006/relationships/hyperlink" Target="https://apps.who.int/iris/bitstream/handle/10665/259951/WHO-HIS-IER-GPM-2018.1-eng.pdf;jsessionid=47FB126CD095961CAC9D15E3FBF39514?sequence=1" TargetMode="External"/><Relationship Id="rId233" Type="http://schemas.openxmlformats.org/officeDocument/2006/relationships/hyperlink" Target="https://apps.who.int/iris/bitstream/handle/10665/259951/WHO-HIS-IER-GPM-2018.1-eng.pdf;jsessionid=47FB126CD095961CAC9D15E3FBF39514?sequence=1" TargetMode="External"/><Relationship Id="rId354" Type="http://schemas.openxmlformats.org/officeDocument/2006/relationships/hyperlink" Target="https://usafacts.org/missions/promote-welfare/12" TargetMode="External"/><Relationship Id="rId475" Type="http://schemas.openxmlformats.org/officeDocument/2006/relationships/hyperlink" Target="https://www.cdc.gov/nchs/healthy_people/hp2020/hp2020_indicators.htm" TargetMode="External"/><Relationship Id="rId111" Type="http://schemas.openxmlformats.org/officeDocument/2006/relationships/hyperlink" Target="https://www.cdc.gov/nchs/healthy_people/hp2020/hp2020_indicators.htm" TargetMode="External"/><Relationship Id="rId232" Type="http://schemas.openxmlformats.org/officeDocument/2006/relationships/hyperlink" Target="https://apps.who.int/iris/bitstream/handle/10665/259951/WHO-HIS-IER-GPM-2018.1-eng.pdf;jsessionid=47FB126CD095961CAC9D15E3FBF39514?sequence=1" TargetMode="External"/><Relationship Id="rId353" Type="http://schemas.openxmlformats.org/officeDocument/2006/relationships/hyperlink" Target="https://stats.oecd.org/index.aspx?DataSetCode=HEALTH_STAT" TargetMode="External"/><Relationship Id="rId474" Type="http://schemas.openxmlformats.org/officeDocument/2006/relationships/hyperlink" Target="https://www.cms.gov/about-cms/story-page/our-16-strategic-initiatives.html" TargetMode="External"/><Relationship Id="rId305" Type="http://schemas.openxmlformats.org/officeDocument/2006/relationships/hyperlink" Target="https://usafacts.org/missions/promote-welfare/12" TargetMode="External"/><Relationship Id="rId426" Type="http://schemas.openxmlformats.org/officeDocument/2006/relationships/hyperlink" Target="https://apps.who.int/iris/bitstream/handle/10665/259951/WHO-HIS-IER-GPM-2018.1-eng.pdf;jsessionid=47FB126CD095961CAC9D15E3FBF39514?sequence=1" TargetMode="External"/><Relationship Id="rId547" Type="http://schemas.openxmlformats.org/officeDocument/2006/relationships/hyperlink" Target="https://interactives.commonwealthfund.org/2018/state-scorecard/files/Radley_State_Scorecard_2018.pdf" TargetMode="External"/><Relationship Id="rId304" Type="http://schemas.openxmlformats.org/officeDocument/2006/relationships/hyperlink" Target="https://www.cdc.gov/nchs/healthy_people/hp2020/hp2020_indicators.htm" TargetMode="External"/><Relationship Id="rId425" Type="http://schemas.openxmlformats.org/officeDocument/2006/relationships/hyperlink" Target="https://apps.who.int/iris/bitstream/handle/10665/259951/WHO-HIS-IER-GPM-2018.1-eng.pdf;jsessionid=47FB126CD095961CAC9D15E3FBF39514?sequence=1" TargetMode="External"/><Relationship Id="rId546" Type="http://schemas.openxmlformats.org/officeDocument/2006/relationships/hyperlink" Target="https://apps.who.int/iris/bitstream/handle/10665/259951/WHO-HIS-IER-GPM-2018.1-eng.pdf;jsessionid=47FB126CD095961CAC9D15E3FBF39514?sequence=1" TargetMode="External"/><Relationship Id="rId303" Type="http://schemas.openxmlformats.org/officeDocument/2006/relationships/hyperlink" Target="https://www.americashealthrankings.org/explore/annual" TargetMode="External"/><Relationship Id="rId424" Type="http://schemas.openxmlformats.org/officeDocument/2006/relationships/hyperlink" Target="https://apps.who.int/iris/bitstream/handle/10665/259951/WHO-HIS-IER-GPM-2018.1-eng.pdf;jsessionid=47FB126CD095961CAC9D15E3FBF39514?sequence=1" TargetMode="External"/><Relationship Id="rId545" Type="http://schemas.openxmlformats.org/officeDocument/2006/relationships/hyperlink" Target="https://data.worldbank.org/indicator/" TargetMode="External"/><Relationship Id="rId302" Type="http://schemas.openxmlformats.org/officeDocument/2006/relationships/hyperlink" Target="https://usafacts.org/missions/promote-welfare/12" TargetMode="External"/><Relationship Id="rId423" Type="http://schemas.openxmlformats.org/officeDocument/2006/relationships/hyperlink" Target="https://apps.who.int/iris/bitstream/handle/10665/259951/WHO-HIS-IER-GPM-2018.1-eng.pdf;jsessionid=47FB126CD095961CAC9D15E3FBF39514?sequence=1" TargetMode="External"/><Relationship Id="rId544" Type="http://schemas.openxmlformats.org/officeDocument/2006/relationships/hyperlink" Target="https://interactives.commonwealthfund.org/2018/state-scorecard/files/Radley_State_Scorecard_2018.pdf" TargetMode="External"/><Relationship Id="rId309" Type="http://schemas.openxmlformats.org/officeDocument/2006/relationships/hyperlink" Target="https://interactives.commonwealthfund.org/2018/state-scorecard/files/Radley_State_Scorecard_2018.pdf" TargetMode="External"/><Relationship Id="rId308" Type="http://schemas.openxmlformats.org/officeDocument/2006/relationships/hyperlink" Target="https://www.cdc.gov/nchs/healthy_people/hp2020/hp2020_indicators.htm" TargetMode="External"/><Relationship Id="rId429" Type="http://schemas.openxmlformats.org/officeDocument/2006/relationships/hyperlink" Target="https://apps.who.int/iris/bitstream/handle/10665/259951/WHO-HIS-IER-GPM-2018.1-eng.pdf;jsessionid=47FB126CD095961CAC9D15E3FBF39514?sequence=1" TargetMode="External"/><Relationship Id="rId307" Type="http://schemas.openxmlformats.org/officeDocument/2006/relationships/hyperlink" Target="https://www.americashealthrankings.org/explore/annual" TargetMode="External"/><Relationship Id="rId428" Type="http://schemas.openxmlformats.org/officeDocument/2006/relationships/hyperlink" Target="https://apps.who.int/iris/bitstream/handle/10665/259951/WHO-HIS-IER-GPM-2018.1-eng.pdf;jsessionid=47FB126CD095961CAC9D15E3FBF39514?sequence=1" TargetMode="External"/><Relationship Id="rId549" Type="http://schemas.openxmlformats.org/officeDocument/2006/relationships/hyperlink" Target="https://apps.who.int/iris/bitstream/handle/10665/259951/WHO-HIS-IER-GPM-2018.1-eng.pdf;jsessionid=47FB126CD095961CAC9D15E3FBF39514?sequence=1" TargetMode="External"/><Relationship Id="rId306" Type="http://schemas.openxmlformats.org/officeDocument/2006/relationships/hyperlink" Target="https://www.cdc.gov/nchs/healthy_people/hp2020/hp2020_indicators.htm" TargetMode="External"/><Relationship Id="rId427" Type="http://schemas.openxmlformats.org/officeDocument/2006/relationships/hyperlink" Target="https://apps.who.int/iris/bitstream/handle/10665/259951/WHO-HIS-IER-GPM-2018.1-eng.pdf;jsessionid=47FB126CD095961CAC9D15E3FBF39514?sequence=1" TargetMode="External"/><Relationship Id="rId548" Type="http://schemas.openxmlformats.org/officeDocument/2006/relationships/hyperlink" Target="https://data.worldbank.org/indicator/" TargetMode="External"/><Relationship Id="rId301" Type="http://schemas.openxmlformats.org/officeDocument/2006/relationships/hyperlink" Target="https://www.oecd-ilibrary.org/docserver/health_glance-2017-en.pdf?expires=1564008067&amp;id=id&amp;accname=guest&amp;checksum=D0ABDB5402647B576A76E200E17FD74F" TargetMode="External"/><Relationship Id="rId422" Type="http://schemas.openxmlformats.org/officeDocument/2006/relationships/hyperlink" Target="https://apps.who.int/iris/bitstream/handle/10665/259951/WHO-HIS-IER-GPM-2018.1-eng.pdf;jsessionid=47FB126CD095961CAC9D15E3FBF39514?sequence=1" TargetMode="External"/><Relationship Id="rId543" Type="http://schemas.openxmlformats.org/officeDocument/2006/relationships/hyperlink" Target="https://apps.who.int/iris/bitstream/handle/10665/259951/WHO-HIS-IER-GPM-2018.1-eng.pdf;jsessionid=47FB126CD095961CAC9D15E3FBF39514?sequence=1" TargetMode="External"/><Relationship Id="rId300" Type="http://schemas.openxmlformats.org/officeDocument/2006/relationships/hyperlink" Target="https://www.americashealthrankings.org/explore/annual" TargetMode="External"/><Relationship Id="rId421" Type="http://schemas.openxmlformats.org/officeDocument/2006/relationships/hyperlink" Target="https://www.cdc.gov/nchs/healthy_people/hp2020/hp2020_indicators.htm" TargetMode="External"/><Relationship Id="rId542" Type="http://schemas.openxmlformats.org/officeDocument/2006/relationships/hyperlink" Target="https://apps.who.int/iris/bitstream/handle/10665/259951/WHO-HIS-IER-GPM-2018.1-eng.pdf;jsessionid=47FB126CD095961CAC9D15E3FBF39514?sequence=1" TargetMode="External"/><Relationship Id="rId420" Type="http://schemas.openxmlformats.org/officeDocument/2006/relationships/hyperlink" Target="https://www.americashealthrankings.org/explore/annual" TargetMode="External"/><Relationship Id="rId541" Type="http://schemas.openxmlformats.org/officeDocument/2006/relationships/hyperlink" Target="https://www.gapminder.org/data/" TargetMode="External"/><Relationship Id="rId540" Type="http://schemas.openxmlformats.org/officeDocument/2006/relationships/hyperlink" Target="https://usafacts.org/missions/promote-welfare/12" TargetMode="External"/><Relationship Id="rId415" Type="http://schemas.openxmlformats.org/officeDocument/2006/relationships/hyperlink" Target="https://www.americashealthrankings.org/explore/annual" TargetMode="External"/><Relationship Id="rId536" Type="http://schemas.openxmlformats.org/officeDocument/2006/relationships/hyperlink" Target="https://www.gapminder.org/data/" TargetMode="External"/><Relationship Id="rId414" Type="http://schemas.openxmlformats.org/officeDocument/2006/relationships/hyperlink" Target="https://usafacts.org/missions/promote-welfare/12" TargetMode="External"/><Relationship Id="rId535" Type="http://schemas.openxmlformats.org/officeDocument/2006/relationships/hyperlink" Target="https://usafacts.org/missions/promote-welfare/12" TargetMode="External"/><Relationship Id="rId413" Type="http://schemas.openxmlformats.org/officeDocument/2006/relationships/hyperlink" Target="https://www.oecd-ilibrary.org/docserver/health_glance-2017-en.pdf?expires=1564008067&amp;id=id&amp;accname=guest&amp;checksum=D0ABDB5402647B576A76E200E17FD74F" TargetMode="External"/><Relationship Id="rId534" Type="http://schemas.openxmlformats.org/officeDocument/2006/relationships/hyperlink" Target="https://www.oecd-ilibrary.org/docserver/health_glance-2017-en.pdf?expires=1564008067&amp;id=id&amp;accname=guest&amp;checksum=D0ABDB5402647B576A76E200E17FD74F" TargetMode="External"/><Relationship Id="rId412" Type="http://schemas.openxmlformats.org/officeDocument/2006/relationships/hyperlink" Target="https://interactives.commonwealthfund.org/2018/state-scorecard/files/Radley_State_Scorecard_2018.pdf" TargetMode="External"/><Relationship Id="rId533" Type="http://schemas.openxmlformats.org/officeDocument/2006/relationships/hyperlink" Target="https://apps.who.int/iris/bitstream/handle/10665/259951/WHO-HIS-IER-GPM-2018.1-eng.pdf;jsessionid=47FB126CD095961CAC9D15E3FBF39514?sequence=1" TargetMode="External"/><Relationship Id="rId419" Type="http://schemas.openxmlformats.org/officeDocument/2006/relationships/hyperlink" Target="https://www.americashealthrankings.org/explore/annual" TargetMode="External"/><Relationship Id="rId418" Type="http://schemas.openxmlformats.org/officeDocument/2006/relationships/hyperlink" Target="https://usafacts.org/missions/promote-welfare/12" TargetMode="External"/><Relationship Id="rId539" Type="http://schemas.openxmlformats.org/officeDocument/2006/relationships/hyperlink" Target="https://www.oecd-ilibrary.org/docserver/health_glance-2017-en.pdf?expires=1564008067&amp;id=id&amp;accname=guest&amp;checksum=D0ABDB5402647B576A76E200E17FD74F" TargetMode="External"/><Relationship Id="rId417" Type="http://schemas.openxmlformats.org/officeDocument/2006/relationships/hyperlink" Target="https://apps.who.int/iris/bitstream/handle/10665/259951/WHO-HIS-IER-GPM-2018.1-eng.pdf;jsessionid=47FB126CD095961CAC9D15E3FBF39514?sequence=1" TargetMode="External"/><Relationship Id="rId538" Type="http://schemas.openxmlformats.org/officeDocument/2006/relationships/hyperlink" Target="https://apps.who.int/iris/bitstream/handle/10665/259951/WHO-HIS-IER-GPM-2018.1-eng.pdf;jsessionid=47FB126CD095961CAC9D15E3FBF39514?sequence=1" TargetMode="External"/><Relationship Id="rId416" Type="http://schemas.openxmlformats.org/officeDocument/2006/relationships/hyperlink" Target="https://www.cdc.gov/nchs/healthy_people/hp2020/hp2020_indicators.htm" TargetMode="External"/><Relationship Id="rId537" Type="http://schemas.openxmlformats.org/officeDocument/2006/relationships/hyperlink" Target="https://www.americashealthrankings.org/explore/annual" TargetMode="External"/><Relationship Id="rId411" Type="http://schemas.openxmlformats.org/officeDocument/2006/relationships/hyperlink" Target="https://www.americashealthrankings.org/explore/annual" TargetMode="External"/><Relationship Id="rId532" Type="http://schemas.openxmlformats.org/officeDocument/2006/relationships/hyperlink" Target="https://usafacts.org/missions/promote-welfare/12" TargetMode="External"/><Relationship Id="rId410" Type="http://schemas.openxmlformats.org/officeDocument/2006/relationships/hyperlink" Target="https://www.oecd-ilibrary.org/docserver/health_glance-2017-en.pdf?expires=1564008067&amp;id=id&amp;accname=guest&amp;checksum=D0ABDB5402647B576A76E200E17FD74F" TargetMode="External"/><Relationship Id="rId531" Type="http://schemas.openxmlformats.org/officeDocument/2006/relationships/hyperlink" Target="https://stats.oecd.org/index.aspx?DataSetCode=HEALTH_STAT" TargetMode="External"/><Relationship Id="rId530" Type="http://schemas.openxmlformats.org/officeDocument/2006/relationships/hyperlink" Target="https://international.commonwealthfund.org/stats/" TargetMode="External"/><Relationship Id="rId206" Type="http://schemas.openxmlformats.org/officeDocument/2006/relationships/hyperlink" Target="https://apps.who.int/iris/bitstream/handle/10665/259951/WHO-HIS-IER-GPM-2018.1-eng.pdf;jsessionid=47FB126CD095961CAC9D15E3FBF39514?sequence=1" TargetMode="External"/><Relationship Id="rId327" Type="http://schemas.openxmlformats.org/officeDocument/2006/relationships/hyperlink" Target="https://apps.who.int/iris/bitstream/handle/10665/259951/WHO-HIS-IER-GPM-2018.1-eng.pdf;jsessionid=47FB126CD095961CAC9D15E3FBF39514?sequence=1" TargetMode="External"/><Relationship Id="rId448" Type="http://schemas.openxmlformats.org/officeDocument/2006/relationships/hyperlink" Target="https://interactives.commonwealthfund.org/2018/state-scorecard/files/Radley_State_Scorecard_2018.pdf" TargetMode="External"/><Relationship Id="rId569" Type="http://schemas.openxmlformats.org/officeDocument/2006/relationships/hyperlink" Target="https://interactives.commonwealthfund.org/2018/state-scorecard/files/Radley_State_Scorecard_2018.pdf" TargetMode="External"/><Relationship Id="rId205" Type="http://schemas.openxmlformats.org/officeDocument/2006/relationships/hyperlink" Target="https://stats.oecd.org/index.aspx?DataSetCode=HEALTH_STAT" TargetMode="External"/><Relationship Id="rId326" Type="http://schemas.openxmlformats.org/officeDocument/2006/relationships/hyperlink" Target="https://www.cdc.gov/nchs/healthy_people/hp2020/hp2020_indicators.htm" TargetMode="External"/><Relationship Id="rId447" Type="http://schemas.openxmlformats.org/officeDocument/2006/relationships/hyperlink" Target="https://interactives.commonwealthfund.org/2018/state-scorecard/files/Radley_State_Scorecard_2018.pdf" TargetMode="External"/><Relationship Id="rId568" Type="http://schemas.openxmlformats.org/officeDocument/2006/relationships/hyperlink" Target="https://www.americashealthrankings.org/explore/annual" TargetMode="External"/><Relationship Id="rId204" Type="http://schemas.openxmlformats.org/officeDocument/2006/relationships/hyperlink" Target="https://apps.who.int/iris/bitstream/handle/10665/259951/WHO-HIS-IER-GPM-2018.1-eng.pdf;jsessionid=47FB126CD095961CAC9D15E3FBF39514?sequence=1" TargetMode="External"/><Relationship Id="rId325" Type="http://schemas.openxmlformats.org/officeDocument/2006/relationships/hyperlink" Target="https://apps.who.int/iris/bitstream/handle/10665/259951/WHO-HIS-IER-GPM-2018.1-eng.pdf;jsessionid=47FB126CD095961CAC9D15E3FBF39514?sequence=1" TargetMode="External"/><Relationship Id="rId446" Type="http://schemas.openxmlformats.org/officeDocument/2006/relationships/hyperlink" Target="https://interactives.commonwealthfund.org/2018/state-scorecard/files/Radley_State_Scorecard_2018.pdf" TargetMode="External"/><Relationship Id="rId567" Type="http://schemas.openxmlformats.org/officeDocument/2006/relationships/hyperlink" Target="https://interactives.commonwealthfund.org/2018/state-scorecard/files/Radley_State_Scorecard_2018.pdf" TargetMode="External"/><Relationship Id="rId203" Type="http://schemas.openxmlformats.org/officeDocument/2006/relationships/hyperlink" Target="https://stats.oecd.org/index.aspx?DataSetCode=HEALTH_STAT" TargetMode="External"/><Relationship Id="rId324" Type="http://schemas.openxmlformats.org/officeDocument/2006/relationships/hyperlink" Target="https://www.americashealthrankings.org/explore/annual" TargetMode="External"/><Relationship Id="rId445" Type="http://schemas.openxmlformats.org/officeDocument/2006/relationships/hyperlink" Target="https://interactives.commonwealthfund.org/2018/state-scorecard/files/Radley_State_Scorecard_2018.pdf" TargetMode="External"/><Relationship Id="rId566" Type="http://schemas.openxmlformats.org/officeDocument/2006/relationships/hyperlink" Target="https://interactives.commonwealthfund.org/2018/state-scorecard/files/Radley_State_Scorecard_2018.pdf" TargetMode="External"/><Relationship Id="rId209" Type="http://schemas.openxmlformats.org/officeDocument/2006/relationships/hyperlink" Target="https://stats.oecd.org/index.aspx?DataSetCode=HEALTH_STAT" TargetMode="External"/><Relationship Id="rId208" Type="http://schemas.openxmlformats.org/officeDocument/2006/relationships/hyperlink" Target="https://apps.who.int/iris/bitstream/handle/10665/259951/WHO-HIS-IER-GPM-2018.1-eng.pdf;jsessionid=47FB126CD095961CAC9D15E3FBF39514?sequence=1" TargetMode="External"/><Relationship Id="rId329" Type="http://schemas.openxmlformats.org/officeDocument/2006/relationships/hyperlink" Target="https://www.cdc.gov/nchs/healthy_people/hp2020/hp2020_indicators.htm" TargetMode="External"/><Relationship Id="rId207" Type="http://schemas.openxmlformats.org/officeDocument/2006/relationships/hyperlink" Target="https://stats.oecd.org/index.aspx?DataSetCode=HEALTH_STAT" TargetMode="External"/><Relationship Id="rId328" Type="http://schemas.openxmlformats.org/officeDocument/2006/relationships/hyperlink" Target="https://www.gapminder.org/data/" TargetMode="External"/><Relationship Id="rId449" Type="http://schemas.openxmlformats.org/officeDocument/2006/relationships/hyperlink" Target="https://www.americashealthrankings.org/explore/annual" TargetMode="External"/><Relationship Id="rId440" Type="http://schemas.openxmlformats.org/officeDocument/2006/relationships/hyperlink" Target="https://interactives.commonwealthfund.org/2018/state-scorecard/files/Radley_State_Scorecard_2018.pdf" TargetMode="External"/><Relationship Id="rId561" Type="http://schemas.openxmlformats.org/officeDocument/2006/relationships/hyperlink" Target="https://www.oecd-ilibrary.org/social-issues-migration-health/health-at-a-glance-2017_health_glance-2017-en" TargetMode="External"/><Relationship Id="rId560" Type="http://schemas.openxmlformats.org/officeDocument/2006/relationships/hyperlink" Target="https://www.oecd-ilibrary.org/social-issues-migration-health/health-at-a-glance-2017_health_glance-2017-en" TargetMode="External"/><Relationship Id="rId202" Type="http://schemas.openxmlformats.org/officeDocument/2006/relationships/hyperlink" Target="https://apps.who.int/iris/bitstream/handle/10665/259951/WHO-HIS-IER-GPM-2018.1-eng.pdf;jsessionid=47FB126CD095961CAC9D15E3FBF39514?sequence=1" TargetMode="External"/><Relationship Id="rId323" Type="http://schemas.openxmlformats.org/officeDocument/2006/relationships/hyperlink" Target="https://www.americashealthrankings.org/explore/annual" TargetMode="External"/><Relationship Id="rId444" Type="http://schemas.openxmlformats.org/officeDocument/2006/relationships/hyperlink" Target="https://www.cms.gov/Medicare/Quality-Initiatives-Patient-Assessment-Instruments/QualityInitiativesGenInfo/MMF/General-info-Sub-Page.html" TargetMode="External"/><Relationship Id="rId565" Type="http://schemas.openxmlformats.org/officeDocument/2006/relationships/hyperlink" Target="https://www.cms.gov/Medicare/Quality-Initiatives-Patient-Assessment-Instruments/QualityInitiativesGenInfo/MMF/General-info-Sub-Page.html" TargetMode="External"/><Relationship Id="rId201" Type="http://schemas.openxmlformats.org/officeDocument/2006/relationships/hyperlink" Target="https://wwwn.cdc.gov/psr/NationalSummary/NationalSummary.aspx" TargetMode="External"/><Relationship Id="rId322" Type="http://schemas.openxmlformats.org/officeDocument/2006/relationships/hyperlink" Target="https://www.cdc.gov/nchs/healthy_people/hp2020/hp2020_indicators.htm" TargetMode="External"/><Relationship Id="rId443" Type="http://schemas.openxmlformats.org/officeDocument/2006/relationships/hyperlink" Target="https://international.commonwealthfund.org/stats/" TargetMode="External"/><Relationship Id="rId564" Type="http://schemas.openxmlformats.org/officeDocument/2006/relationships/hyperlink" Target="https://www.cms.gov/about-cms/story-page/our-16-strategic-initiatives.html" TargetMode="External"/><Relationship Id="rId200" Type="http://schemas.openxmlformats.org/officeDocument/2006/relationships/hyperlink" Target="https://www.gapminder.org/data/" TargetMode="External"/><Relationship Id="rId321" Type="http://schemas.openxmlformats.org/officeDocument/2006/relationships/hyperlink" Target="https://www.cdc.gov/nchs/healthy_people/hp2020/hp2020_indicators.htm" TargetMode="External"/><Relationship Id="rId442" Type="http://schemas.openxmlformats.org/officeDocument/2006/relationships/hyperlink" Target="https://www.cms.gov/Medicare/Quality-Initiatives-Patient-Assessment-Instruments/QualityInitiativesGenInfo/MMF/General-info-Sub-Page.html" TargetMode="External"/><Relationship Id="rId563" Type="http://schemas.openxmlformats.org/officeDocument/2006/relationships/hyperlink" Target="https://www.cms.gov/about-cms/story-page/our-16-strategic-initiatives.html" TargetMode="External"/><Relationship Id="rId320" Type="http://schemas.openxmlformats.org/officeDocument/2006/relationships/hyperlink" Target="https://interactives.commonwealthfund.org/2018/state-scorecard/files/Radley_State_Scorecard_2018.pdf" TargetMode="External"/><Relationship Id="rId441" Type="http://schemas.openxmlformats.org/officeDocument/2006/relationships/hyperlink" Target="https://www.americashealthrankings.org/explore/annual" TargetMode="External"/><Relationship Id="rId562" Type="http://schemas.openxmlformats.org/officeDocument/2006/relationships/hyperlink" Target="https://www.cms.gov/about-cms/story-page/our-16-strategic-initiatives.html" TargetMode="External"/><Relationship Id="rId316" Type="http://schemas.openxmlformats.org/officeDocument/2006/relationships/hyperlink" Target="https://apps.who.int/iris/bitstream/handle/10665/259951/WHO-HIS-IER-GPM-2018.1-eng.pdf;jsessionid=47FB126CD095961CAC9D15E3FBF39514?sequence=1" TargetMode="External"/><Relationship Id="rId437" Type="http://schemas.openxmlformats.org/officeDocument/2006/relationships/hyperlink" Target="https://international.commonwealthfund.org/stats/" TargetMode="External"/><Relationship Id="rId558" Type="http://schemas.openxmlformats.org/officeDocument/2006/relationships/hyperlink" Target="https://www.oecd-ilibrary.org/social-issues-migration-health/health-at-a-glance-2017_health_glance-2017-en" TargetMode="External"/><Relationship Id="rId315" Type="http://schemas.openxmlformats.org/officeDocument/2006/relationships/hyperlink" Target="https://apps.who.int/iris/bitstream/handle/10665/259951/WHO-HIS-IER-GPM-2018.1-eng.pdf;jsessionid=47FB126CD095961CAC9D15E3FBF39514?sequence=1" TargetMode="External"/><Relationship Id="rId436" Type="http://schemas.openxmlformats.org/officeDocument/2006/relationships/hyperlink" Target="https://www.cms.gov/Medicare/Quality-Initiatives-Patient-Assessment-Instruments/QualityInitiativesGenInfo/MMF/General-info-Sub-Page.html" TargetMode="External"/><Relationship Id="rId557" Type="http://schemas.openxmlformats.org/officeDocument/2006/relationships/hyperlink" Target="https://international.commonwealthfund.org/stats/" TargetMode="External"/><Relationship Id="rId314" Type="http://schemas.openxmlformats.org/officeDocument/2006/relationships/hyperlink" Target="https://apps.who.int/iris/bitstream/handle/10665/259951/WHO-HIS-IER-GPM-2018.1-eng.pdf;jsessionid=47FB126CD095961CAC9D15E3FBF39514?sequence=1" TargetMode="External"/><Relationship Id="rId435" Type="http://schemas.openxmlformats.org/officeDocument/2006/relationships/hyperlink" Target="https://international.commonwealthfund.org/stats/" TargetMode="External"/><Relationship Id="rId556" Type="http://schemas.openxmlformats.org/officeDocument/2006/relationships/hyperlink" Target="https://www.gapminder.org/data/" TargetMode="External"/><Relationship Id="rId313" Type="http://schemas.openxmlformats.org/officeDocument/2006/relationships/hyperlink" Target="https://apps.who.int/iris/bitstream/handle/10665/259951/WHO-HIS-IER-GPM-2018.1-eng.pdf;jsessionid=47FB126CD095961CAC9D15E3FBF39514?sequence=1" TargetMode="External"/><Relationship Id="rId434" Type="http://schemas.openxmlformats.org/officeDocument/2006/relationships/hyperlink" Target="https://www.cms.gov/Medicare/Quality-Initiatives-Patient-Assessment-Instruments/QualityInitiativesGenInfo/MMF/General-info-Sub-Page.html" TargetMode="External"/><Relationship Id="rId555" Type="http://schemas.openxmlformats.org/officeDocument/2006/relationships/hyperlink" Target="https://www.oecd-ilibrary.org/social-issues-migration-health/health-at-a-glance-2017_health_glance-2017-en" TargetMode="External"/><Relationship Id="rId319" Type="http://schemas.openxmlformats.org/officeDocument/2006/relationships/hyperlink" Target="https://www.americashealthrankings.org/explore/annual" TargetMode="External"/><Relationship Id="rId318" Type="http://schemas.openxmlformats.org/officeDocument/2006/relationships/hyperlink" Target="https://www.cdc.gov/nchs/healthy_people/hp2020/hp2020_indicators.htm" TargetMode="External"/><Relationship Id="rId439" Type="http://schemas.openxmlformats.org/officeDocument/2006/relationships/hyperlink" Target="https://www.cms.gov/Medicare/Quality-Initiatives-Patient-Assessment-Instruments/QualityInitiativesGenInfo/MMF/General-info-Sub-Page.html" TargetMode="External"/><Relationship Id="rId317" Type="http://schemas.openxmlformats.org/officeDocument/2006/relationships/hyperlink" Target="https://apps.who.int/iris/bitstream/handle/10665/259951/WHO-HIS-IER-GPM-2018.1-eng.pdf;jsessionid=47FB126CD095961CAC9D15E3FBF39514?sequence=1" TargetMode="External"/><Relationship Id="rId438" Type="http://schemas.openxmlformats.org/officeDocument/2006/relationships/hyperlink" Target="https://www.cms.gov/Medicare/Quality-Initiatives-Patient-Assessment-Instruments/QualityInitiativesGenInfo/MMF/General-info-Sub-Page.html" TargetMode="External"/><Relationship Id="rId559" Type="http://schemas.openxmlformats.org/officeDocument/2006/relationships/hyperlink" Target="https://www.oecd-ilibrary.org/social-issues-migration-health/health-at-a-glance-2017_health_glance-2017-en" TargetMode="External"/><Relationship Id="rId550" Type="http://schemas.openxmlformats.org/officeDocument/2006/relationships/hyperlink" Target="https://international.commonwealthfund.org/stats/" TargetMode="External"/><Relationship Id="rId312" Type="http://schemas.openxmlformats.org/officeDocument/2006/relationships/hyperlink" Target="https://apps.who.int/iris/bitstream/handle/10665/259951/WHO-HIS-IER-GPM-2018.1-eng.pdf;jsessionid=47FB126CD095961CAC9D15E3FBF39514?sequence=1" TargetMode="External"/><Relationship Id="rId433" Type="http://schemas.openxmlformats.org/officeDocument/2006/relationships/hyperlink" Target="https://international.commonwealthfund.org/stats/" TargetMode="External"/><Relationship Id="rId554" Type="http://schemas.openxmlformats.org/officeDocument/2006/relationships/hyperlink" Target="https://international.commonwealthfund.org/stats/" TargetMode="External"/><Relationship Id="rId311" Type="http://schemas.openxmlformats.org/officeDocument/2006/relationships/hyperlink" Target="https://usafacts.org/missions/promote-welfare/12" TargetMode="External"/><Relationship Id="rId432" Type="http://schemas.openxmlformats.org/officeDocument/2006/relationships/hyperlink" Target="https://www.cms.gov/Medicare/Quality-Initiatives-Patient-Assessment-Instruments/QualityInitiativesGenInfo/MMF/General-info-Sub-Page.html" TargetMode="External"/><Relationship Id="rId553" Type="http://schemas.openxmlformats.org/officeDocument/2006/relationships/hyperlink" Target="https://www.gapminder.org/data/" TargetMode="External"/><Relationship Id="rId310" Type="http://schemas.openxmlformats.org/officeDocument/2006/relationships/hyperlink" Target="https://usafacts.org/missions/promote-welfare/12" TargetMode="External"/><Relationship Id="rId431" Type="http://schemas.openxmlformats.org/officeDocument/2006/relationships/hyperlink" Target="https://www.cms.gov/about-cms/story-page/our-16-strategic-initiatives.html" TargetMode="External"/><Relationship Id="rId552" Type="http://schemas.openxmlformats.org/officeDocument/2006/relationships/hyperlink" Target="https://usafacts.org/missions/promote-welfare/12" TargetMode="External"/><Relationship Id="rId430" Type="http://schemas.openxmlformats.org/officeDocument/2006/relationships/hyperlink" Target="https://international.commonwealthfund.org/stats/" TargetMode="External"/><Relationship Id="rId551" Type="http://schemas.openxmlformats.org/officeDocument/2006/relationships/hyperlink" Target="https://www.oecd-ilibrary.org/social-issues-migration-health/health-at-a-glance-2017_health_glance-2017-e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stats.oecd.org/index.aspx?DataSetCode=HEALTH_STAT" TargetMode="External"/><Relationship Id="rId194" Type="http://schemas.openxmlformats.org/officeDocument/2006/relationships/hyperlink" Target="https://stats.oecd.org/index.aspx?DataSetCode=HEALTH_STAT" TargetMode="External"/><Relationship Id="rId193" Type="http://schemas.openxmlformats.org/officeDocument/2006/relationships/hyperlink" Target="https://www.cms.gov/Medicare/Quality-Initiatives-Patient-Assessment-Instruments/QualityInitiativesGenInfo/MMF/General-info-Sub-Page.html" TargetMode="External"/><Relationship Id="rId192" Type="http://schemas.openxmlformats.org/officeDocument/2006/relationships/hyperlink" Target="https://www.americashealthrankings.org/explore/annual" TargetMode="External"/><Relationship Id="rId191" Type="http://schemas.openxmlformats.org/officeDocument/2006/relationships/hyperlink" Target="https://www.gapminder.org/data/" TargetMode="External"/><Relationship Id="rId187" Type="http://schemas.openxmlformats.org/officeDocument/2006/relationships/hyperlink" Target="https://www.americashealthrankings.org/explore/annual" TargetMode="External"/><Relationship Id="rId186" Type="http://schemas.openxmlformats.org/officeDocument/2006/relationships/hyperlink" Target="https://stats.oecd.org/index.aspx?DataSetCode=HEALTH_STAT" TargetMode="External"/><Relationship Id="rId185" Type="http://schemas.openxmlformats.org/officeDocument/2006/relationships/hyperlink" Target="https://www.cdc.gov/nchs/healthy_people/hp2020/hp2020_indicators.htm" TargetMode="External"/><Relationship Id="rId184" Type="http://schemas.openxmlformats.org/officeDocument/2006/relationships/hyperlink" Target="https://www.americashealthrankings.org/explore/annual" TargetMode="External"/><Relationship Id="rId189" Type="http://schemas.openxmlformats.org/officeDocument/2006/relationships/hyperlink" Target="https://wwwn.cdc.gov/psr/NationalSummary/NationalSummary.aspx" TargetMode="External"/><Relationship Id="rId188" Type="http://schemas.openxmlformats.org/officeDocument/2006/relationships/hyperlink" Target="https://www.cms.gov/Medicare/Quality-Initiatives-Patient-Assessment-Instruments/QualityInitiativesGenInfo/MMF/General-info-Sub-Page.html" TargetMode="External"/><Relationship Id="rId183" Type="http://schemas.openxmlformats.org/officeDocument/2006/relationships/hyperlink" Target="https://stats.oecd.org/index.aspx?DataSetCode=HEALTH_STAT" TargetMode="External"/><Relationship Id="rId182" Type="http://schemas.openxmlformats.org/officeDocument/2006/relationships/hyperlink" Target="https://apps.who.int/iris/bitstream/handle/10665/259951/WHO-HIS-IER-GPM-2018.1-eng.pdf;jsessionid=47FB126CD095961CAC9D15E3FBF39514?sequence=1" TargetMode="External"/><Relationship Id="rId181" Type="http://schemas.openxmlformats.org/officeDocument/2006/relationships/hyperlink" Target="https://wwwn.cdc.gov/psr/NationalSummary/NationalSummary.aspx" TargetMode="External"/><Relationship Id="rId180" Type="http://schemas.openxmlformats.org/officeDocument/2006/relationships/hyperlink" Target="https://www.gapminder.org/data/" TargetMode="External"/><Relationship Id="rId176" Type="http://schemas.openxmlformats.org/officeDocument/2006/relationships/hyperlink" Target="https://www.americashealthrankings.org/explore/health-of-women-and-children/measure/child_mortality/state/ALL" TargetMode="External"/><Relationship Id="rId297" Type="http://schemas.openxmlformats.org/officeDocument/2006/relationships/hyperlink" Target="https://interactives.commonwealthfund.org/2018/state-scorecard/files/Radley_State_Scorecard_2018.pdf" TargetMode="External"/><Relationship Id="rId175" Type="http://schemas.openxmlformats.org/officeDocument/2006/relationships/hyperlink" Target="https://usafacts.org/missions/promote-welfare/12" TargetMode="External"/><Relationship Id="rId296" Type="http://schemas.openxmlformats.org/officeDocument/2006/relationships/hyperlink" Target="https://www.cms.gov/Medicare/Quality-Initiatives-Patient-Assessment-Instruments/QualityInitiativesGenInfo/MMF/General-info-Sub-Page.html" TargetMode="External"/><Relationship Id="rId174" Type="http://schemas.openxmlformats.org/officeDocument/2006/relationships/hyperlink" Target="https://stats.oecd.org/index.aspx?DataSetCode=HEALTH_STAT" TargetMode="External"/><Relationship Id="rId295" Type="http://schemas.openxmlformats.org/officeDocument/2006/relationships/hyperlink" Target="https://stats.oecd.org/index.aspx?DataSetCode=HEALTH_STAT" TargetMode="External"/><Relationship Id="rId173" Type="http://schemas.openxmlformats.org/officeDocument/2006/relationships/hyperlink" Target="https://apps.who.int/iris/bitstream/handle/10665/259951/WHO-HIS-IER-GPM-2018.1-eng.pdf;jsessionid=47FB126CD095961CAC9D15E3FBF39514?sequence=1" TargetMode="External"/><Relationship Id="rId294" Type="http://schemas.openxmlformats.org/officeDocument/2006/relationships/hyperlink" Target="https://interactives.commonwealthfund.org/2018/state-scorecard/files/Radley_State_Scorecard_2018.pdf" TargetMode="External"/><Relationship Id="rId179" Type="http://schemas.openxmlformats.org/officeDocument/2006/relationships/hyperlink" Target="https://stats.oecd.org/index.aspx?DataSetCode=HEALTH_STAT" TargetMode="External"/><Relationship Id="rId178" Type="http://schemas.openxmlformats.org/officeDocument/2006/relationships/hyperlink" Target="https://apps.who.int/iris/bitstream/handle/10665/259951/WHO-HIS-IER-GPM-2018.1-eng.pdf;jsessionid=47FB126CD095961CAC9D15E3FBF39514?sequence=1" TargetMode="External"/><Relationship Id="rId299" Type="http://schemas.openxmlformats.org/officeDocument/2006/relationships/hyperlink" Target="https://www.cms.gov/Medicare/Quality-Initiatives-Patient-Assessment-Instruments/QualityInitiativesGenInfo/MMF/General-info-Sub-Page.html" TargetMode="External"/><Relationship Id="rId177" Type="http://schemas.openxmlformats.org/officeDocument/2006/relationships/hyperlink" Target="https://data.worldbank.org/indicator/" TargetMode="External"/><Relationship Id="rId298" Type="http://schemas.openxmlformats.org/officeDocument/2006/relationships/hyperlink" Target="https://stats.oecd.org/index.aspx?DataSetCode=HEALTH_STAT" TargetMode="External"/><Relationship Id="rId198" Type="http://schemas.openxmlformats.org/officeDocument/2006/relationships/hyperlink" Target="https://data.worldbank.org/indicator/" TargetMode="External"/><Relationship Id="rId197" Type="http://schemas.openxmlformats.org/officeDocument/2006/relationships/hyperlink" Target="https://stats.oecd.org/index.aspx?DataSetCode=HEALTH_STAT" TargetMode="External"/><Relationship Id="rId196" Type="http://schemas.openxmlformats.org/officeDocument/2006/relationships/hyperlink" Target="https://wwwn.cdc.gov/psr/NationalSummary/NationalSummary.aspx" TargetMode="External"/><Relationship Id="rId195" Type="http://schemas.openxmlformats.org/officeDocument/2006/relationships/hyperlink" Target="https://www.cms.gov/Medicare/Quality-Initiatives-Patient-Assessment-Instruments/QualityInitiativesGenInfo/MMF/General-info-Sub-Page.html" TargetMode="External"/><Relationship Id="rId199" Type="http://schemas.openxmlformats.org/officeDocument/2006/relationships/hyperlink" Target="https://wwwn.cdc.gov/psr/NationalSummary/NationalSummary.aspx" TargetMode="External"/><Relationship Id="rId150" Type="http://schemas.openxmlformats.org/officeDocument/2006/relationships/hyperlink" Target="https://stats.oecd.org/index.aspx?DataSetCode=HEALTH_STAT" TargetMode="External"/><Relationship Id="rId271" Type="http://schemas.openxmlformats.org/officeDocument/2006/relationships/hyperlink" Target="https://apps.who.int/iris/bitstream/handle/10665/259951/WHO-HIS-IER-GPM-2018.1-eng.pdf;jsessionid=47FB126CD095961CAC9D15E3FBF39514?sequence=1" TargetMode="External"/><Relationship Id="rId392" Type="http://schemas.openxmlformats.org/officeDocument/2006/relationships/hyperlink" Target="https://apps.who.int/iris/bitstream/handle/10665/259951/WHO-HIS-IER-GPM-2018.1-eng.pdf;jsessionid=47FB126CD095961CAC9D15E3FBF39514?sequence=1" TargetMode="External"/><Relationship Id="rId270" Type="http://schemas.openxmlformats.org/officeDocument/2006/relationships/hyperlink" Target="https://wwwn.cdc.gov/psr/NationalSummary/NationalSummary.aspx" TargetMode="External"/><Relationship Id="rId391" Type="http://schemas.openxmlformats.org/officeDocument/2006/relationships/hyperlink" Target="https://apps.who.int/iris/bitstream/handle/10665/259951/WHO-HIS-IER-GPM-2018.1-eng.pdf;jsessionid=47FB126CD095961CAC9D15E3FBF39514?sequence=1" TargetMode="External"/><Relationship Id="rId390" Type="http://schemas.openxmlformats.org/officeDocument/2006/relationships/hyperlink" Target="https://data.worldbank.org/indicator/" TargetMode="External"/><Relationship Id="rId1" Type="http://schemas.openxmlformats.org/officeDocument/2006/relationships/hyperlink" Target="https://www.americashealthrankings.org/explore/health-of-women-and-children/measure/IMR_MCH/state/ALL" TargetMode="External"/><Relationship Id="rId2" Type="http://schemas.openxmlformats.org/officeDocument/2006/relationships/hyperlink" Target="https://apps.who.int/iris/bitstream/handle/10665/259951/WHO-HIS-IER-GPM-2018.1-eng.pdf;jsessionid=47FB126CD095961CAC9D15E3FBF39514?sequence=1" TargetMode="External"/><Relationship Id="rId3" Type="http://schemas.openxmlformats.org/officeDocument/2006/relationships/hyperlink" Target="https://interactives.commonwealthfund.org/2018/state-scorecard/files/Radley_State_Scorecard_2018.pdf" TargetMode="External"/><Relationship Id="rId149" Type="http://schemas.openxmlformats.org/officeDocument/2006/relationships/hyperlink" Target="https://international.commonwealthfund.org/stats/" TargetMode="External"/><Relationship Id="rId4" Type="http://schemas.openxmlformats.org/officeDocument/2006/relationships/hyperlink" Target="https://stats.oecd.org/index.aspx?DataSetCode=HEALTH_STAT" TargetMode="External"/><Relationship Id="rId148" Type="http://schemas.openxmlformats.org/officeDocument/2006/relationships/hyperlink" Target="https://apps.who.int/iris/bitstream/handle/10665/259951/WHO-HIS-IER-GPM-2018.1-eng.pdf;jsessionid=47FB126CD095961CAC9D15E3FBF39514?sequence=1" TargetMode="External"/><Relationship Id="rId269" Type="http://schemas.openxmlformats.org/officeDocument/2006/relationships/hyperlink" Target="https://data.worldbank.org/indicator/" TargetMode="External"/><Relationship Id="rId9" Type="http://schemas.openxmlformats.org/officeDocument/2006/relationships/hyperlink" Target="https://www.cdc.gov/nchs/healthy_people/hp2020/hp2020_indicators.htm" TargetMode="External"/><Relationship Id="rId143" Type="http://schemas.openxmlformats.org/officeDocument/2006/relationships/hyperlink" Target="https://interactives.commonwealthfund.org/2018/state-scorecard/files/Radley_State_Scorecard_2018.pdf" TargetMode="External"/><Relationship Id="rId264" Type="http://schemas.openxmlformats.org/officeDocument/2006/relationships/hyperlink" Target="https://www.americashealthrankings.org/explore/annual" TargetMode="External"/><Relationship Id="rId385" Type="http://schemas.openxmlformats.org/officeDocument/2006/relationships/hyperlink" Target="https://international.commonwealthfund.org/stats/" TargetMode="External"/><Relationship Id="rId142" Type="http://schemas.openxmlformats.org/officeDocument/2006/relationships/hyperlink" Target="https://www.cdc.gov/nchs/healthy_people/hp2020/hp2020_indicators.htm" TargetMode="External"/><Relationship Id="rId263" Type="http://schemas.openxmlformats.org/officeDocument/2006/relationships/hyperlink" Target="https://stats.oecd.org/index.aspx?DataSetCode=HEALTH_STAT" TargetMode="External"/><Relationship Id="rId384" Type="http://schemas.openxmlformats.org/officeDocument/2006/relationships/hyperlink" Target="https://www.cms.gov/Medicare/Quality-Initiatives-Patient-Assessment-Instruments/QualityInitiativesGenInfo/MMF/General-info-Sub-Page.html" TargetMode="External"/><Relationship Id="rId141" Type="http://schemas.openxmlformats.org/officeDocument/2006/relationships/hyperlink" Target="https://data.worldbank.org/indicator/" TargetMode="External"/><Relationship Id="rId262" Type="http://schemas.openxmlformats.org/officeDocument/2006/relationships/hyperlink" Target="https://wwwn.cdc.gov/psr/NationalSummary/NationalSummary.aspx" TargetMode="External"/><Relationship Id="rId383" Type="http://schemas.openxmlformats.org/officeDocument/2006/relationships/hyperlink" Target="https://www.americashealthrankings.org/explore/annual" TargetMode="External"/><Relationship Id="rId140" Type="http://schemas.openxmlformats.org/officeDocument/2006/relationships/hyperlink" Target="https://www.americashealthrankings.org/explore/annual" TargetMode="External"/><Relationship Id="rId261" Type="http://schemas.openxmlformats.org/officeDocument/2006/relationships/hyperlink" Target="https://www.cms.gov/Medicare/Quality-Initiatives-Patient-Assessment-Instruments/QualityInitiativesGenInfo/MMF/General-info-Sub-Page.html" TargetMode="External"/><Relationship Id="rId382" Type="http://schemas.openxmlformats.org/officeDocument/2006/relationships/hyperlink" Target="https://interactives.commonwealthfund.org/2018/state-scorecard/files/Radley_State_Scorecard_2018.pdf" TargetMode="External"/><Relationship Id="rId5" Type="http://schemas.openxmlformats.org/officeDocument/2006/relationships/hyperlink" Target="https://usafacts.org/missions/promote-welfare/12" TargetMode="External"/><Relationship Id="rId147" Type="http://schemas.openxmlformats.org/officeDocument/2006/relationships/hyperlink" Target="https://www.cdc.gov/nchs/healthy_people/hp2020/hp2020_indicators.htm" TargetMode="External"/><Relationship Id="rId268" Type="http://schemas.openxmlformats.org/officeDocument/2006/relationships/hyperlink" Target="https://usafacts.org/missions/promote-welfare/12" TargetMode="External"/><Relationship Id="rId389" Type="http://schemas.openxmlformats.org/officeDocument/2006/relationships/hyperlink" Target="https://stats.oecd.org/index.aspx?DataSetCode=HEALTH_STAT" TargetMode="External"/><Relationship Id="rId6" Type="http://schemas.openxmlformats.org/officeDocument/2006/relationships/hyperlink" Target="https://www.gapminder.org/data/" TargetMode="External"/><Relationship Id="rId146" Type="http://schemas.openxmlformats.org/officeDocument/2006/relationships/hyperlink" Target="https://www.cms.gov/Medicare/Quality-Initiatives-Patient-Assessment-Instruments/QualityInitiativesGenInfo/MMF/General-info-Sub-Page.html" TargetMode="External"/><Relationship Id="rId267" Type="http://schemas.openxmlformats.org/officeDocument/2006/relationships/hyperlink" Target="https://apps.who.int/iris/bitstream/handle/10665/259951/WHO-HIS-IER-GPM-2018.1-eng.pdf;jsessionid=47FB126CD095961CAC9D15E3FBF39514?sequence=1" TargetMode="External"/><Relationship Id="rId388" Type="http://schemas.openxmlformats.org/officeDocument/2006/relationships/hyperlink" Target="https://apps.who.int/iris/bitstream/handle/10665/259951/WHO-HIS-IER-GPM-2018.1-eng.pdf;jsessionid=47FB126CD095961CAC9D15E3FBF39514?sequence=1" TargetMode="External"/><Relationship Id="rId7" Type="http://schemas.openxmlformats.org/officeDocument/2006/relationships/hyperlink" Target="https://www.americashealthrankings.org/explore/health-of-women-and-children/measure/IMR_MCH/state/ALL" TargetMode="External"/><Relationship Id="rId145" Type="http://schemas.openxmlformats.org/officeDocument/2006/relationships/hyperlink" Target="https://www.americashealthrankings.org/explore/annual" TargetMode="External"/><Relationship Id="rId266" Type="http://schemas.openxmlformats.org/officeDocument/2006/relationships/hyperlink" Target="https://www.cdc.gov/nchs/healthy_people/hp2020/hp2020_indicators.htm" TargetMode="External"/><Relationship Id="rId387" Type="http://schemas.openxmlformats.org/officeDocument/2006/relationships/hyperlink" Target="https://usafacts.org/missions/promote-welfare/12" TargetMode="External"/><Relationship Id="rId8" Type="http://schemas.openxmlformats.org/officeDocument/2006/relationships/hyperlink" Target="https://data.worldbank.org/indicator/" TargetMode="External"/><Relationship Id="rId144" Type="http://schemas.openxmlformats.org/officeDocument/2006/relationships/hyperlink" Target="https://stats.oecd.org/index.aspx?DataSetCode=HEALTH_STAT" TargetMode="External"/><Relationship Id="rId265" Type="http://schemas.openxmlformats.org/officeDocument/2006/relationships/hyperlink" Target="https://www.cms.gov/Medicare/Quality-Initiatives-Patient-Assessment-Instruments/QualityInitiativesGenInfo/MMF/General-info-Sub-Page.html" TargetMode="External"/><Relationship Id="rId386" Type="http://schemas.openxmlformats.org/officeDocument/2006/relationships/hyperlink" Target="https://stats.oecd.org/index.aspx?DataSetCode=HEALTH_STAT" TargetMode="External"/><Relationship Id="rId260" Type="http://schemas.openxmlformats.org/officeDocument/2006/relationships/hyperlink" Target="https://www.americashealthrankings.org/explore/annual" TargetMode="External"/><Relationship Id="rId381" Type="http://schemas.openxmlformats.org/officeDocument/2006/relationships/hyperlink" Target="https://data.worldbank.org/indicator/" TargetMode="External"/><Relationship Id="rId380" Type="http://schemas.openxmlformats.org/officeDocument/2006/relationships/hyperlink" Target="https://www.gapminder.org/data/" TargetMode="External"/><Relationship Id="rId139" Type="http://schemas.openxmlformats.org/officeDocument/2006/relationships/hyperlink" Target="https://usafacts.org/missions/promote-welfare/12" TargetMode="External"/><Relationship Id="rId138" Type="http://schemas.openxmlformats.org/officeDocument/2006/relationships/hyperlink" Target="https://stats.oecd.org/index.aspx?DataSetCode=HEALTH_STAT" TargetMode="External"/><Relationship Id="rId259" Type="http://schemas.openxmlformats.org/officeDocument/2006/relationships/hyperlink" Target="https://stats.oecd.org/index.aspx?DataSetCode=HEALTH_STAT" TargetMode="External"/><Relationship Id="rId137" Type="http://schemas.openxmlformats.org/officeDocument/2006/relationships/hyperlink" Target="https://apps.who.int/iris/bitstream/handle/10665/259951/WHO-HIS-IER-GPM-2018.1-eng.pdf;jsessionid=47FB126CD095961CAC9D15E3FBF39514?sequence=1" TargetMode="External"/><Relationship Id="rId258" Type="http://schemas.openxmlformats.org/officeDocument/2006/relationships/hyperlink" Target="https://www.cdc.gov/nchs/healthy_people/hp2020/hp2020_indicators.htm" TargetMode="External"/><Relationship Id="rId379" Type="http://schemas.openxmlformats.org/officeDocument/2006/relationships/hyperlink" Target="https://apps.who.int/iris/bitstream/handle/10665/259951/WHO-HIS-IER-GPM-2018.1-eng.pdf;jsessionid=47FB126CD095961CAC9D15E3FBF39514?sequence=1" TargetMode="External"/><Relationship Id="rId132" Type="http://schemas.openxmlformats.org/officeDocument/2006/relationships/hyperlink" Target="https://www.americashealthrankings.org/explore/annual" TargetMode="External"/><Relationship Id="rId253" Type="http://schemas.openxmlformats.org/officeDocument/2006/relationships/hyperlink" Target="https://stats.oecd.org/index.aspx?DataSetCode=HEALTH_STAT" TargetMode="External"/><Relationship Id="rId374" Type="http://schemas.openxmlformats.org/officeDocument/2006/relationships/hyperlink" Target="https://apps.who.int/iris/bitstream/handle/10665/259951/WHO-HIS-IER-GPM-2018.1-eng.pdf;jsessionid=47FB126CD095961CAC9D15E3FBF39514?sequence=1" TargetMode="External"/><Relationship Id="rId495" Type="http://schemas.openxmlformats.org/officeDocument/2006/relationships/hyperlink" Target="https://international.commonwealthfund.org/stats/" TargetMode="External"/><Relationship Id="rId131" Type="http://schemas.openxmlformats.org/officeDocument/2006/relationships/hyperlink" Target="https://usafacts.org/missions/promote-welfare/12" TargetMode="External"/><Relationship Id="rId252" Type="http://schemas.openxmlformats.org/officeDocument/2006/relationships/hyperlink" Target="https://apps.who.int/iris/bitstream/handle/10665/259951/WHO-HIS-IER-GPM-2018.1-eng.pdf;jsessionid=47FB126CD095961CAC9D15E3FBF39514?sequence=1" TargetMode="External"/><Relationship Id="rId373" Type="http://schemas.openxmlformats.org/officeDocument/2006/relationships/hyperlink" Target="https://www.cdc.gov/nchs/healthy_people/hp2020/hp2020_indicators.htm" TargetMode="External"/><Relationship Id="rId494" Type="http://schemas.openxmlformats.org/officeDocument/2006/relationships/hyperlink" Target="https://www.cms.gov/about-cms/story-page/our-16-strategic-initiatives.html" TargetMode="External"/><Relationship Id="rId130" Type="http://schemas.openxmlformats.org/officeDocument/2006/relationships/hyperlink" Target="https://apps.who.int/iris/bitstream/handle/10665/259951/WHO-HIS-IER-GPM-2018.1-eng.pdf;jsessionid=47FB126CD095961CAC9D15E3FBF39514?sequence=1" TargetMode="External"/><Relationship Id="rId251" Type="http://schemas.openxmlformats.org/officeDocument/2006/relationships/hyperlink" Target="http://www.paho.org/data/index.php/en/indicators/visualization.html" TargetMode="External"/><Relationship Id="rId372" Type="http://schemas.openxmlformats.org/officeDocument/2006/relationships/hyperlink" Target="https://www.americashealthrankings.org/explore/annual" TargetMode="External"/><Relationship Id="rId493" Type="http://schemas.openxmlformats.org/officeDocument/2006/relationships/hyperlink" Target="https://www.americashealthrankings.org/explore/annual" TargetMode="External"/><Relationship Id="rId250" Type="http://schemas.openxmlformats.org/officeDocument/2006/relationships/hyperlink" Target="https://data.worldbank.org/indicator/" TargetMode="External"/><Relationship Id="rId371" Type="http://schemas.openxmlformats.org/officeDocument/2006/relationships/hyperlink" Target="https://apps.who.int/iris/bitstream/handle/10665/259951/WHO-HIS-IER-GPM-2018.1-eng.pdf;jsessionid=47FB126CD095961CAC9D15E3FBF39514?sequence=1" TargetMode="External"/><Relationship Id="rId492" Type="http://schemas.openxmlformats.org/officeDocument/2006/relationships/hyperlink" Target="https://interactives.commonwealthfund.org/2018/state-scorecard/files/Radley_State_Scorecard_2018.pdf" TargetMode="External"/><Relationship Id="rId136" Type="http://schemas.openxmlformats.org/officeDocument/2006/relationships/hyperlink" Target="https://www.americashealthrankings.org/explore/annual" TargetMode="External"/><Relationship Id="rId257" Type="http://schemas.openxmlformats.org/officeDocument/2006/relationships/hyperlink" Target="https://stats.oecd.org/index.aspx?DataSetCode=HEALTH_STAT" TargetMode="External"/><Relationship Id="rId378" Type="http://schemas.openxmlformats.org/officeDocument/2006/relationships/hyperlink" Target="https://www.cdc.gov/nchs/healthy_people/hp2020/hp2020_indicators.htm" TargetMode="External"/><Relationship Id="rId499" Type="http://schemas.openxmlformats.org/officeDocument/2006/relationships/hyperlink" Target="https://international.commonwealthfund.org/stats/" TargetMode="External"/><Relationship Id="rId135" Type="http://schemas.openxmlformats.org/officeDocument/2006/relationships/hyperlink" Target="https://usafacts.org/missions/promote-welfare/12" TargetMode="External"/><Relationship Id="rId256" Type="http://schemas.openxmlformats.org/officeDocument/2006/relationships/hyperlink" Target="https://apps.who.int/iris/bitstream/handle/10665/259951/WHO-HIS-IER-GPM-2018.1-eng.pdf;jsessionid=47FB126CD095961CAC9D15E3FBF39514?sequence=1" TargetMode="External"/><Relationship Id="rId377" Type="http://schemas.openxmlformats.org/officeDocument/2006/relationships/hyperlink" Target="https://data.worldbank.org/indicator/" TargetMode="External"/><Relationship Id="rId498" Type="http://schemas.openxmlformats.org/officeDocument/2006/relationships/hyperlink" Target="https://stats.oecd.org/index.aspx?DataSetCode=HEALTH_STAT" TargetMode="External"/><Relationship Id="rId134" Type="http://schemas.openxmlformats.org/officeDocument/2006/relationships/hyperlink" Target="https://www.americashealthrankings.org/explore/annual" TargetMode="External"/><Relationship Id="rId255" Type="http://schemas.openxmlformats.org/officeDocument/2006/relationships/hyperlink" Target="https://data.worldbank.org/indicator/" TargetMode="External"/><Relationship Id="rId376" Type="http://schemas.openxmlformats.org/officeDocument/2006/relationships/hyperlink" Target="https://apps.who.int/iris/bitstream/handle/10665/259951/WHO-HIS-IER-GPM-2018.1-eng.pdf;jsessionid=47FB126CD095961CAC9D15E3FBF39514?sequence=1" TargetMode="External"/><Relationship Id="rId497" Type="http://schemas.openxmlformats.org/officeDocument/2006/relationships/hyperlink" Target="https://international.commonwealthfund.org/stats/" TargetMode="External"/><Relationship Id="rId133" Type="http://schemas.openxmlformats.org/officeDocument/2006/relationships/hyperlink" Target="https://usafacts.org/missions/promote-welfare/12" TargetMode="External"/><Relationship Id="rId254" Type="http://schemas.openxmlformats.org/officeDocument/2006/relationships/hyperlink" Target="https://www.americashealthrankings.org/explore/annual" TargetMode="External"/><Relationship Id="rId375" Type="http://schemas.openxmlformats.org/officeDocument/2006/relationships/hyperlink" Target="https://www.cdc.gov/nchs/healthy_people/hp2020/hp2020_indicators.htm" TargetMode="External"/><Relationship Id="rId496" Type="http://schemas.openxmlformats.org/officeDocument/2006/relationships/hyperlink" Target="https://stats.oecd.org/index.aspx?DataSetCode=HEALTH_STAT" TargetMode="External"/><Relationship Id="rId172" Type="http://schemas.openxmlformats.org/officeDocument/2006/relationships/hyperlink" Target="https://www.americashealthrankings.org/explore/health-of-women-and-children/measure/child_mortality/state/ALL" TargetMode="External"/><Relationship Id="rId293" Type="http://schemas.openxmlformats.org/officeDocument/2006/relationships/hyperlink" Target="https://www.cdc.gov/nchs/healthy_people/hp2020/hp2020_indicators.htm" TargetMode="External"/><Relationship Id="rId171" Type="http://schemas.openxmlformats.org/officeDocument/2006/relationships/hyperlink" Target="https://data.worldbank.org/indicator/" TargetMode="External"/><Relationship Id="rId292" Type="http://schemas.openxmlformats.org/officeDocument/2006/relationships/hyperlink" Target="https://www.cms.gov/Medicare/Quality-Initiatives-Patient-Assessment-Instruments/QualityInitiativesGenInfo/MMF/General-info-Sub-Page.html" TargetMode="External"/><Relationship Id="rId170" Type="http://schemas.openxmlformats.org/officeDocument/2006/relationships/hyperlink" Target="https://usafacts.org/missions/promote-welfare/12" TargetMode="External"/><Relationship Id="rId291" Type="http://schemas.openxmlformats.org/officeDocument/2006/relationships/hyperlink" Target="https://stats.oecd.org/index.aspx?DataSetCode=HEALTH_STAT" TargetMode="External"/><Relationship Id="rId290" Type="http://schemas.openxmlformats.org/officeDocument/2006/relationships/hyperlink" Target="https://interactives.commonwealthfund.org/2018/state-scorecard/files/Radley_State_Scorecard_2018.pdf" TargetMode="External"/><Relationship Id="rId165" Type="http://schemas.openxmlformats.org/officeDocument/2006/relationships/hyperlink" Target="https://stats.oecd.org/index.aspx?DataSetCode=HEALTH_STAT" TargetMode="External"/><Relationship Id="rId286" Type="http://schemas.openxmlformats.org/officeDocument/2006/relationships/hyperlink" Target="https://www.cdc.gov/nchs/healthy_people/hp2020/hp2020_indicators.htm" TargetMode="External"/><Relationship Id="rId164" Type="http://schemas.openxmlformats.org/officeDocument/2006/relationships/hyperlink" Target="https://international.commonwealthfund.org/stats/" TargetMode="External"/><Relationship Id="rId285" Type="http://schemas.openxmlformats.org/officeDocument/2006/relationships/hyperlink" Target="https://data.worldbank.org/indicator/" TargetMode="External"/><Relationship Id="rId163" Type="http://schemas.openxmlformats.org/officeDocument/2006/relationships/hyperlink" Target="http://www.paho.org/data/index.php/en/indicators/visualization.html" TargetMode="External"/><Relationship Id="rId284" Type="http://schemas.openxmlformats.org/officeDocument/2006/relationships/hyperlink" Target="https://www.gapminder.org/data/" TargetMode="External"/><Relationship Id="rId162" Type="http://schemas.openxmlformats.org/officeDocument/2006/relationships/hyperlink" Target="http://www.paho.org/data/index.php/en/indicators/visualization.html" TargetMode="External"/><Relationship Id="rId283" Type="http://schemas.openxmlformats.org/officeDocument/2006/relationships/hyperlink" Target="https://apps.who.int/iris/bitstream/handle/10665/259951/WHO-HIS-IER-GPM-2018.1-eng.pdf;jsessionid=47FB126CD095961CAC9D15E3FBF39514?sequence=1" TargetMode="External"/><Relationship Id="rId169" Type="http://schemas.openxmlformats.org/officeDocument/2006/relationships/hyperlink" Target="https://stats.oecd.org/index.aspx?DataSetCode=HEALTH_STAT" TargetMode="External"/><Relationship Id="rId168" Type="http://schemas.openxmlformats.org/officeDocument/2006/relationships/hyperlink" Target="https://apps.who.int/iris/bitstream/handle/10665/259951/WHO-HIS-IER-GPM-2018.1-eng.pdf;jsessionid=47FB126CD095961CAC9D15E3FBF39514?sequence=1" TargetMode="External"/><Relationship Id="rId289" Type="http://schemas.openxmlformats.org/officeDocument/2006/relationships/hyperlink" Target="https://data.worldbank.org/indicator/" TargetMode="External"/><Relationship Id="rId167" Type="http://schemas.openxmlformats.org/officeDocument/2006/relationships/hyperlink" Target="http://www.paho.org/data/index.php/en/indicators/visualization.html" TargetMode="External"/><Relationship Id="rId288" Type="http://schemas.openxmlformats.org/officeDocument/2006/relationships/hyperlink" Target="https://www.gapminder.org/data/" TargetMode="External"/><Relationship Id="rId166" Type="http://schemas.openxmlformats.org/officeDocument/2006/relationships/hyperlink" Target="https://data.worldbank.org/indicator/" TargetMode="External"/><Relationship Id="rId287" Type="http://schemas.openxmlformats.org/officeDocument/2006/relationships/hyperlink" Target="https://apps.who.int/iris/bitstream/handle/10665/259951/WHO-HIS-IER-GPM-2018.1-eng.pdf;jsessionid=47FB126CD095961CAC9D15E3FBF39514?sequence=1" TargetMode="External"/><Relationship Id="rId161" Type="http://schemas.openxmlformats.org/officeDocument/2006/relationships/hyperlink" Target="https://data.worldbank.org/indicator/" TargetMode="External"/><Relationship Id="rId282" Type="http://schemas.openxmlformats.org/officeDocument/2006/relationships/hyperlink" Target="https://wwwn.cdc.gov/psr/NationalSummary/NationalSummary.aspx" TargetMode="External"/><Relationship Id="rId160" Type="http://schemas.openxmlformats.org/officeDocument/2006/relationships/hyperlink" Target="https://stats.oecd.org/index.aspx?DataSetCode=HEALTH_STAT" TargetMode="External"/><Relationship Id="rId281" Type="http://schemas.openxmlformats.org/officeDocument/2006/relationships/hyperlink" Target="https://apps.who.int/iris/bitstream/handle/10665/259951/WHO-HIS-IER-GPM-2018.1-eng.pdf;jsessionid=47FB126CD095961CAC9D15E3FBF39514?sequence=1" TargetMode="External"/><Relationship Id="rId280" Type="http://schemas.openxmlformats.org/officeDocument/2006/relationships/hyperlink" Target="https://www.americashealthrankings.org/explore/annual" TargetMode="External"/><Relationship Id="rId159" Type="http://schemas.openxmlformats.org/officeDocument/2006/relationships/hyperlink" Target="https://international.commonwealthfund.org/stats/" TargetMode="External"/><Relationship Id="rId154" Type="http://schemas.openxmlformats.org/officeDocument/2006/relationships/hyperlink" Target="https://usafacts.org/missions/promote-welfare/12" TargetMode="External"/><Relationship Id="rId275" Type="http://schemas.openxmlformats.org/officeDocument/2006/relationships/hyperlink" Target="https://www.gapminder.org/data/" TargetMode="External"/><Relationship Id="rId396" Type="http://schemas.openxmlformats.org/officeDocument/2006/relationships/hyperlink" Target="https://usafacts.org/missions/promote-welfare/12" TargetMode="External"/><Relationship Id="rId153" Type="http://schemas.openxmlformats.org/officeDocument/2006/relationships/hyperlink" Target="https://www.oecd-ilibrary.org/docserver/health_glance-2017-en.pdf?expires=1564008067&amp;id=id&amp;accname=guest&amp;checksum=D0ABDB5402647B576A76E200E17FD74F" TargetMode="External"/><Relationship Id="rId274" Type="http://schemas.openxmlformats.org/officeDocument/2006/relationships/hyperlink" Target="https://data.worldbank.org/indicator/" TargetMode="External"/><Relationship Id="rId395" Type="http://schemas.openxmlformats.org/officeDocument/2006/relationships/hyperlink" Target="https://stats.oecd.org/index.aspx?DataSetCode=HEALTH_STAT" TargetMode="External"/><Relationship Id="rId152" Type="http://schemas.openxmlformats.org/officeDocument/2006/relationships/hyperlink" Target="https://apps.who.int/iris/bitstream/handle/10665/259951/WHO-HIS-IER-GPM-2018.1-eng.pdf;jsessionid=47FB126CD095961CAC9D15E3FBF39514?sequence=1" TargetMode="External"/><Relationship Id="rId273" Type="http://schemas.openxmlformats.org/officeDocument/2006/relationships/hyperlink" Target="https://usafacts.org/missions/promote-welfare/12" TargetMode="External"/><Relationship Id="rId394" Type="http://schemas.openxmlformats.org/officeDocument/2006/relationships/hyperlink" Target="https://international.commonwealthfund.org/stats/" TargetMode="External"/><Relationship Id="rId151" Type="http://schemas.openxmlformats.org/officeDocument/2006/relationships/hyperlink" Target="https://www.gapminder.org/data/" TargetMode="External"/><Relationship Id="rId272" Type="http://schemas.openxmlformats.org/officeDocument/2006/relationships/hyperlink" Target="https://stats.oecd.org/index.aspx?DataSetCode=HEALTH_STAT" TargetMode="External"/><Relationship Id="rId393" Type="http://schemas.openxmlformats.org/officeDocument/2006/relationships/hyperlink" Target="https://apps.who.int/iris/bitstream/handle/10665/259951/WHO-HIS-IER-GPM-2018.1-eng.pdf;jsessionid=47FB126CD095961CAC9D15E3FBF39514?sequence=1" TargetMode="External"/><Relationship Id="rId158" Type="http://schemas.openxmlformats.org/officeDocument/2006/relationships/hyperlink" Target="http://www.paho.org/data/index.php/en/indicators/visualization.html" TargetMode="External"/><Relationship Id="rId279" Type="http://schemas.openxmlformats.org/officeDocument/2006/relationships/hyperlink" Target="https://stats.oecd.org/index.aspx?DataSetCode=HEALTH_STAT" TargetMode="External"/><Relationship Id="rId157" Type="http://schemas.openxmlformats.org/officeDocument/2006/relationships/hyperlink" Target="http://www.paho.org/data/index.php/en/indicators/visualization.html" TargetMode="External"/><Relationship Id="rId278" Type="http://schemas.openxmlformats.org/officeDocument/2006/relationships/hyperlink" Target="https://interactives.commonwealthfund.org/2018/state-scorecard/files/Radley_State_Scorecard_2018.pdf" TargetMode="External"/><Relationship Id="rId399" Type="http://schemas.openxmlformats.org/officeDocument/2006/relationships/hyperlink" Target="https://apps.who.int/iris/bitstream/handle/10665/259951/WHO-HIS-IER-GPM-2018.1-eng.pdf;jsessionid=47FB126CD095961CAC9D15E3FBF39514?sequence=1" TargetMode="External"/><Relationship Id="rId156" Type="http://schemas.openxmlformats.org/officeDocument/2006/relationships/hyperlink" Target="https://www.americashealthrankings.org/explore/annual" TargetMode="External"/><Relationship Id="rId277" Type="http://schemas.openxmlformats.org/officeDocument/2006/relationships/hyperlink" Target="https://www.cdc.gov/nchs/healthy_people/hp2020/hp2020_indicators.htm" TargetMode="External"/><Relationship Id="rId398" Type="http://schemas.openxmlformats.org/officeDocument/2006/relationships/hyperlink" Target="https://data.worldbank.org/indicator/" TargetMode="External"/><Relationship Id="rId155" Type="http://schemas.openxmlformats.org/officeDocument/2006/relationships/hyperlink" Target="https://www.gapminder.org/data/" TargetMode="External"/><Relationship Id="rId276" Type="http://schemas.openxmlformats.org/officeDocument/2006/relationships/hyperlink" Target="https://www.americashealthrankings.org/explore/annual" TargetMode="External"/><Relationship Id="rId397" Type="http://schemas.openxmlformats.org/officeDocument/2006/relationships/hyperlink" Target="https://apps.who.int/iris/bitstream/handle/10665/259951/WHO-HIS-IER-GPM-2018.1-eng.pdf;jsessionid=47FB126CD095961CAC9D15E3FBF39514?sequence=1" TargetMode="External"/><Relationship Id="rId40" Type="http://schemas.openxmlformats.org/officeDocument/2006/relationships/hyperlink" Target="https://www.americashealthrankings.org/explore/annual" TargetMode="External"/><Relationship Id="rId42" Type="http://schemas.openxmlformats.org/officeDocument/2006/relationships/hyperlink" Target="https://stats.oecd.org/index.aspx?DataSetCode=HEALTH_STAT" TargetMode="External"/><Relationship Id="rId41" Type="http://schemas.openxmlformats.org/officeDocument/2006/relationships/hyperlink" Target="https://apps.who.int/iris/bitstream/handle/10665/259951/WHO-HIS-IER-GPM-2018.1-eng.pdf;jsessionid=47FB126CD095961CAC9D15E3FBF39514?sequence=1" TargetMode="External"/><Relationship Id="rId44" Type="http://schemas.openxmlformats.org/officeDocument/2006/relationships/hyperlink" Target="https://www.americashealthrankings.org/explore/annual" TargetMode="External"/><Relationship Id="rId43" Type="http://schemas.openxmlformats.org/officeDocument/2006/relationships/hyperlink" Target="https://usafacts.org/missions/promote-welfare/12" TargetMode="External"/><Relationship Id="rId46" Type="http://schemas.openxmlformats.org/officeDocument/2006/relationships/hyperlink" Target="https://apps.who.int/iris/bitstream/handle/10665/259951/WHO-HIS-IER-GPM-2018.1-eng.pdf;jsessionid=47FB126CD095961CAC9D15E3FBF39514?sequence=1" TargetMode="External"/><Relationship Id="rId45" Type="http://schemas.openxmlformats.org/officeDocument/2006/relationships/hyperlink" Target="https://wwwn.cdc.gov/psr/NationalSummary/NationalSummary.aspx" TargetMode="External"/><Relationship Id="rId509" Type="http://schemas.openxmlformats.org/officeDocument/2006/relationships/hyperlink" Target="https://stats.oecd.org/index.aspx?DataSetCode=HEALTH_STAT" TargetMode="External"/><Relationship Id="rId508" Type="http://schemas.openxmlformats.org/officeDocument/2006/relationships/hyperlink" Target="https://stats.oecd.org/index.aspx?DataSetCode=HEALTH_STAT" TargetMode="External"/><Relationship Id="rId629" Type="http://schemas.openxmlformats.org/officeDocument/2006/relationships/hyperlink" Target="https://interactives.commonwealthfund.org/2018/state-scorecard/files/Radley_State_Scorecard_2018.pdf" TargetMode="External"/><Relationship Id="rId503" Type="http://schemas.openxmlformats.org/officeDocument/2006/relationships/hyperlink" Target="https://international.commonwealthfund.org/stats/" TargetMode="External"/><Relationship Id="rId624" Type="http://schemas.openxmlformats.org/officeDocument/2006/relationships/hyperlink" Target="https://www.cms.gov/about-cms/story-page/our-16-strategic-initiatives.html" TargetMode="External"/><Relationship Id="rId502" Type="http://schemas.openxmlformats.org/officeDocument/2006/relationships/hyperlink" Target="https://stats.oecd.org/index.aspx?DataSetCode=HEALTH_STAT" TargetMode="External"/><Relationship Id="rId623" Type="http://schemas.openxmlformats.org/officeDocument/2006/relationships/hyperlink" Target="https://www.cms.gov/about-cms/story-page/our-16-strategic-initiatives.html" TargetMode="External"/><Relationship Id="rId501" Type="http://schemas.openxmlformats.org/officeDocument/2006/relationships/hyperlink" Target="https://international.commonwealthfund.org/stats/" TargetMode="External"/><Relationship Id="rId622" Type="http://schemas.openxmlformats.org/officeDocument/2006/relationships/hyperlink" Target="https://international.commonwealthfund.org/stats/" TargetMode="External"/><Relationship Id="rId500" Type="http://schemas.openxmlformats.org/officeDocument/2006/relationships/hyperlink" Target="https://stats.oecd.org/index.aspx?DataSetCode=HEALTH_STAT" TargetMode="External"/><Relationship Id="rId621" Type="http://schemas.openxmlformats.org/officeDocument/2006/relationships/hyperlink" Target="https://apps.who.int/iris/bitstream/handle/10665/259951/WHO-HIS-IER-GPM-2018.1-eng.pdf;jsessionid=47FB126CD095961CAC9D15E3FBF39514?sequence=1" TargetMode="External"/><Relationship Id="rId507" Type="http://schemas.openxmlformats.org/officeDocument/2006/relationships/hyperlink" Target="https://international.commonwealthfund.org/stats/" TargetMode="External"/><Relationship Id="rId628" Type="http://schemas.openxmlformats.org/officeDocument/2006/relationships/hyperlink" Target="https://interactives.commonwealthfund.org/2018/state-scorecard/files/Radley_State_Scorecard_2018.pdf" TargetMode="External"/><Relationship Id="rId506" Type="http://schemas.openxmlformats.org/officeDocument/2006/relationships/hyperlink" Target="https://stats.oecd.org/index.aspx?DataSetCode=HEALTH_STAT" TargetMode="External"/><Relationship Id="rId627" Type="http://schemas.openxmlformats.org/officeDocument/2006/relationships/hyperlink" Target="https://interactives.commonwealthfund.org/2018/state-scorecard/files/Radley_State_Scorecard_2018.pdf" TargetMode="External"/><Relationship Id="rId505" Type="http://schemas.openxmlformats.org/officeDocument/2006/relationships/hyperlink" Target="https://international.commonwealthfund.org/stats/" TargetMode="External"/><Relationship Id="rId626" Type="http://schemas.openxmlformats.org/officeDocument/2006/relationships/hyperlink" Target="https://www.cms.gov/Medicare/Quality-Initiatives-Patient-Assessment-Instruments/QualityInitiativesGenInfo/MMF/General-info-Sub-Page.html" TargetMode="External"/><Relationship Id="rId504" Type="http://schemas.openxmlformats.org/officeDocument/2006/relationships/hyperlink" Target="https://stats.oecd.org/index.aspx?DataSetCode=HEALTH_STAT" TargetMode="External"/><Relationship Id="rId625" Type="http://schemas.openxmlformats.org/officeDocument/2006/relationships/hyperlink" Target="https://www.cms.gov/about-cms/story-page/our-16-strategic-initiatives.html" TargetMode="External"/><Relationship Id="rId48" Type="http://schemas.openxmlformats.org/officeDocument/2006/relationships/hyperlink" Target="https://usafacts.org/missions/promote-welfare/12" TargetMode="External"/><Relationship Id="rId47" Type="http://schemas.openxmlformats.org/officeDocument/2006/relationships/hyperlink" Target="https://stats.oecd.org/index.aspx?DataSetCode=HEALTH_STAT" TargetMode="External"/><Relationship Id="rId49" Type="http://schemas.openxmlformats.org/officeDocument/2006/relationships/hyperlink" Target="https://www.americashealthrankings.org/explore/annual" TargetMode="External"/><Relationship Id="rId620" Type="http://schemas.openxmlformats.org/officeDocument/2006/relationships/hyperlink" Target="https://apps.who.int/iris/bitstream/handle/10665/259951/WHO-HIS-IER-GPM-2018.1-eng.pdf;jsessionid=47FB126CD095961CAC9D15E3FBF39514?sequence=1" TargetMode="External"/><Relationship Id="rId31" Type="http://schemas.openxmlformats.org/officeDocument/2006/relationships/hyperlink" Target="https://data.worldbank.org/indicator/" TargetMode="External"/><Relationship Id="rId30" Type="http://schemas.openxmlformats.org/officeDocument/2006/relationships/hyperlink" Target="https://www.americashealthrankings.org/explore/health-of-women-and-children/measure/maternal_mortality/state/ALL" TargetMode="External"/><Relationship Id="rId33" Type="http://schemas.openxmlformats.org/officeDocument/2006/relationships/hyperlink" Target="https://stats.oecd.org/index.aspx?DataSetCode=HEALTH_STAT" TargetMode="External"/><Relationship Id="rId32" Type="http://schemas.openxmlformats.org/officeDocument/2006/relationships/hyperlink" Target="https://interactives.commonwealthfund.org/2018/state-scorecard/files/Radley_State_Scorecard_2018.pdf" TargetMode="External"/><Relationship Id="rId35" Type="http://schemas.openxmlformats.org/officeDocument/2006/relationships/hyperlink" Target="https://www.americashealthrankings.org/explore/annual" TargetMode="External"/><Relationship Id="rId34" Type="http://schemas.openxmlformats.org/officeDocument/2006/relationships/hyperlink" Target="https://usafacts.org/missions/promote-welfare/12" TargetMode="External"/><Relationship Id="rId619" Type="http://schemas.openxmlformats.org/officeDocument/2006/relationships/hyperlink" Target="https://international.commonwealthfund.org/stats/" TargetMode="External"/><Relationship Id="rId618" Type="http://schemas.openxmlformats.org/officeDocument/2006/relationships/hyperlink" Target="https://www.cms.gov/about-cms/story-page/our-16-strategic-initiatives.html" TargetMode="External"/><Relationship Id="rId613" Type="http://schemas.openxmlformats.org/officeDocument/2006/relationships/hyperlink" Target="https://usafacts.org/missions/promote-welfare/12" TargetMode="External"/><Relationship Id="rId612" Type="http://schemas.openxmlformats.org/officeDocument/2006/relationships/hyperlink" Target="https://www.oecd-ilibrary.org/docserver/health_glance-2017-en.pdf?expires=1564008067&amp;id=id&amp;accname=guest&amp;checksum=D0ABDB5402647B576A76E200E17FD74F" TargetMode="External"/><Relationship Id="rId611" Type="http://schemas.openxmlformats.org/officeDocument/2006/relationships/hyperlink" Target="https://stats.oecd.org/index.aspx?DataSetCode=HEALTH_STAT" TargetMode="External"/><Relationship Id="rId610" Type="http://schemas.openxmlformats.org/officeDocument/2006/relationships/hyperlink" Target="https://stats.oecd.org/index.aspx?DataSetCode=HEALTH_STAT" TargetMode="External"/><Relationship Id="rId617" Type="http://schemas.openxmlformats.org/officeDocument/2006/relationships/hyperlink" Target="https://apps.who.int/iris/bitstream/handle/10665/259951/WHO-HIS-IER-GPM-2018.1-eng.pdf;jsessionid=47FB126CD095961CAC9D15E3FBF39514?sequence=1" TargetMode="External"/><Relationship Id="rId616" Type="http://schemas.openxmlformats.org/officeDocument/2006/relationships/hyperlink" Target="https://www.oecd-ilibrary.org/docserver/health_glance-2017-en.pdf?expires=1564008067&amp;id=id&amp;accname=guest&amp;checksum=D0ABDB5402647B576A76E200E17FD74F" TargetMode="External"/><Relationship Id="rId615" Type="http://schemas.openxmlformats.org/officeDocument/2006/relationships/hyperlink" Target="https://stats.oecd.org/index.aspx?DataSetCode=HEALTH_STAT" TargetMode="External"/><Relationship Id="rId614" Type="http://schemas.openxmlformats.org/officeDocument/2006/relationships/hyperlink" Target="https://www.cms.gov/about-cms/story-page/our-16-strategic-initiatives.html" TargetMode="External"/><Relationship Id="rId37" Type="http://schemas.openxmlformats.org/officeDocument/2006/relationships/hyperlink" Target="https://interactives.commonwealthfund.org/2018/state-scorecard/files/Radley_State_Scorecard_2018.pdf" TargetMode="External"/><Relationship Id="rId36" Type="http://schemas.openxmlformats.org/officeDocument/2006/relationships/hyperlink" Target="https://apps.who.int/iris/bitstream/handle/10665/259951/WHO-HIS-IER-GPM-2018.1-eng.pdf;jsessionid=47FB126CD095961CAC9D15E3FBF39514?sequence=1" TargetMode="External"/><Relationship Id="rId39" Type="http://schemas.openxmlformats.org/officeDocument/2006/relationships/hyperlink" Target="https://usafacts.org/missions/promote-welfare/12" TargetMode="External"/><Relationship Id="rId38" Type="http://schemas.openxmlformats.org/officeDocument/2006/relationships/hyperlink" Target="https://stats.oecd.org/index.aspx?DataSetCode=HEALTH_STAT" TargetMode="External"/><Relationship Id="rId20" Type="http://schemas.openxmlformats.org/officeDocument/2006/relationships/hyperlink" Target="https://data.worldbank.org/indicator/" TargetMode="External"/><Relationship Id="rId22" Type="http://schemas.openxmlformats.org/officeDocument/2006/relationships/hyperlink" Target="https://stats.oecd.org/index.aspx?DataSetCode=HEALTH_STAT" TargetMode="External"/><Relationship Id="rId21" Type="http://schemas.openxmlformats.org/officeDocument/2006/relationships/hyperlink" Target="https://apps.who.int/iris/bitstream/handle/10665/259951/WHO-HIS-IER-GPM-2018.1-eng.pdf;jsessionid=47FB126CD095961CAC9D15E3FBF39514?sequence=1" TargetMode="External"/><Relationship Id="rId24" Type="http://schemas.openxmlformats.org/officeDocument/2006/relationships/hyperlink" Target="https://www.americashealthrankings.org/explore/annual" TargetMode="External"/><Relationship Id="rId23" Type="http://schemas.openxmlformats.org/officeDocument/2006/relationships/hyperlink" Target="https://usafacts.org/missions/promote-welfare/12" TargetMode="External"/><Relationship Id="rId409" Type="http://schemas.openxmlformats.org/officeDocument/2006/relationships/hyperlink" Target="http://www.paho.org/data/index.php/en/indicators/visualization.html" TargetMode="External"/><Relationship Id="rId404" Type="http://schemas.openxmlformats.org/officeDocument/2006/relationships/hyperlink" Target="https://www.oecd-ilibrary.org/social-issues-migration-health/health-at-a-glance-2017_health_glance-2017-en" TargetMode="External"/><Relationship Id="rId525" Type="http://schemas.openxmlformats.org/officeDocument/2006/relationships/hyperlink" Target="https://stats.oecd.org/index.aspx?DataSetCode=HEALTH_STAT" TargetMode="External"/><Relationship Id="rId403" Type="http://schemas.openxmlformats.org/officeDocument/2006/relationships/hyperlink" Target="https://www.gapminder.org/data/" TargetMode="External"/><Relationship Id="rId524" Type="http://schemas.openxmlformats.org/officeDocument/2006/relationships/hyperlink" Target="https://usafacts.org/missions/promote-welfare/12" TargetMode="External"/><Relationship Id="rId402" Type="http://schemas.openxmlformats.org/officeDocument/2006/relationships/hyperlink" Target="https://www.oecd-ilibrary.org/social-issues-migration-health/health-at-a-glance-2017_health_glance-2017-en" TargetMode="External"/><Relationship Id="rId523" Type="http://schemas.openxmlformats.org/officeDocument/2006/relationships/hyperlink" Target="https://international.commonwealthfund.org/stats/" TargetMode="External"/><Relationship Id="rId401" Type="http://schemas.openxmlformats.org/officeDocument/2006/relationships/hyperlink" Target="https://international.commonwealthfund.org/stats/" TargetMode="External"/><Relationship Id="rId522" Type="http://schemas.openxmlformats.org/officeDocument/2006/relationships/hyperlink" Target="https://www.americashealthrankings.org/explore/annual" TargetMode="External"/><Relationship Id="rId408" Type="http://schemas.openxmlformats.org/officeDocument/2006/relationships/hyperlink" Target="http://www.paho.org/data/index.php/en/indicators/visualization.html" TargetMode="External"/><Relationship Id="rId529" Type="http://schemas.openxmlformats.org/officeDocument/2006/relationships/hyperlink" Target="https://stats.oecd.org/index.aspx?DataSetCode=HEALTH_STAT" TargetMode="External"/><Relationship Id="rId407" Type="http://schemas.openxmlformats.org/officeDocument/2006/relationships/hyperlink" Target="https://data.worldbank.org/indicator/" TargetMode="External"/><Relationship Id="rId528" Type="http://schemas.openxmlformats.org/officeDocument/2006/relationships/hyperlink" Target="https://usafacts.org/missions/promote-welfare/12" TargetMode="External"/><Relationship Id="rId406" Type="http://schemas.openxmlformats.org/officeDocument/2006/relationships/hyperlink" Target="https://www.oecd-ilibrary.org/social-issues-migration-health/health-at-a-glance-2017_health_glance-2017-en" TargetMode="External"/><Relationship Id="rId527" Type="http://schemas.openxmlformats.org/officeDocument/2006/relationships/hyperlink" Target="https://stats.oecd.org/index.aspx?DataSetCode=HEALTH_STAT" TargetMode="External"/><Relationship Id="rId405" Type="http://schemas.openxmlformats.org/officeDocument/2006/relationships/hyperlink" Target="https://www.oecd-ilibrary.org/social-issues-migration-health/health-at-a-glance-2017_health_glance-2017-en" TargetMode="External"/><Relationship Id="rId526" Type="http://schemas.openxmlformats.org/officeDocument/2006/relationships/hyperlink" Target="https://usafacts.org/missions/promote-welfare/12" TargetMode="External"/><Relationship Id="rId26" Type="http://schemas.openxmlformats.org/officeDocument/2006/relationships/hyperlink" Target="https://www.americashealthrankings.org/explore/health-of-women-and-children/measure/maternal_mortality/state/ALL" TargetMode="External"/><Relationship Id="rId25" Type="http://schemas.openxmlformats.org/officeDocument/2006/relationships/hyperlink" Target="https://data.worldbank.org/indicator/" TargetMode="External"/><Relationship Id="rId28" Type="http://schemas.openxmlformats.org/officeDocument/2006/relationships/hyperlink" Target="https://stats.oecd.org/index.aspx?DataSetCode=HEALTH_STAT" TargetMode="External"/><Relationship Id="rId27" Type="http://schemas.openxmlformats.org/officeDocument/2006/relationships/hyperlink" Target="https://apps.who.int/iris/bitstream/handle/10665/259951/WHO-HIS-IER-GPM-2018.1-eng.pdf;jsessionid=47FB126CD095961CAC9D15E3FBF39514?sequence=1" TargetMode="External"/><Relationship Id="rId400" Type="http://schemas.openxmlformats.org/officeDocument/2006/relationships/hyperlink" Target="https://data.worldbank.org/indicator/" TargetMode="External"/><Relationship Id="rId521" Type="http://schemas.openxmlformats.org/officeDocument/2006/relationships/hyperlink" Target="https://interactives.commonwealthfund.org/2018/state-scorecard/files/Radley_State_Scorecard_2018.pdf" TargetMode="External"/><Relationship Id="rId29" Type="http://schemas.openxmlformats.org/officeDocument/2006/relationships/hyperlink" Target="https://www.gapminder.org/data/" TargetMode="External"/><Relationship Id="rId520" Type="http://schemas.openxmlformats.org/officeDocument/2006/relationships/hyperlink" Target="https://www.americashealthrankings.org/explore/annual" TargetMode="External"/><Relationship Id="rId11" Type="http://schemas.openxmlformats.org/officeDocument/2006/relationships/hyperlink" Target="https://interactives.commonwealthfund.org/2018/state-scorecard/files/Radley_State_Scorecard_2018.pdf" TargetMode="External"/><Relationship Id="rId10" Type="http://schemas.openxmlformats.org/officeDocument/2006/relationships/hyperlink" Target="https://apps.who.int/iris/bitstream/handle/10665/259951/WHO-HIS-IER-GPM-2018.1-eng.pdf;jsessionid=47FB126CD095961CAC9D15E3FBF39514?sequence=1" TargetMode="External"/><Relationship Id="rId13" Type="http://schemas.openxmlformats.org/officeDocument/2006/relationships/hyperlink" Target="https://www.gapminder.org/data/" TargetMode="External"/><Relationship Id="rId12" Type="http://schemas.openxmlformats.org/officeDocument/2006/relationships/hyperlink" Target="https://stats.oecd.org/index.aspx?DataSetCode=HEALTH_STAT" TargetMode="External"/><Relationship Id="rId519" Type="http://schemas.openxmlformats.org/officeDocument/2006/relationships/hyperlink" Target="https://interactives.commonwealthfund.org/2018/state-scorecard/files/Radley_State_Scorecard_2018.pdf" TargetMode="External"/><Relationship Id="rId514" Type="http://schemas.openxmlformats.org/officeDocument/2006/relationships/hyperlink" Target="https://www.americashealthrankings.org/explore/annual" TargetMode="External"/><Relationship Id="rId635" Type="http://schemas.openxmlformats.org/officeDocument/2006/relationships/hyperlink" Target="https://www.cms.gov/about-cms/story-page/our-16-strategic-initiatives.html" TargetMode="External"/><Relationship Id="rId513" Type="http://schemas.openxmlformats.org/officeDocument/2006/relationships/hyperlink" Target="https://stats.oecd.org/index.aspx?DataSetCode=HEALTH_STAT" TargetMode="External"/><Relationship Id="rId634" Type="http://schemas.openxmlformats.org/officeDocument/2006/relationships/hyperlink" Target="https://usafacts.org/missions/promote-welfare/12" TargetMode="External"/><Relationship Id="rId512" Type="http://schemas.openxmlformats.org/officeDocument/2006/relationships/hyperlink" Target="https://www.americashealthrankings.org/explore/annual" TargetMode="External"/><Relationship Id="rId633" Type="http://schemas.openxmlformats.org/officeDocument/2006/relationships/hyperlink" Target="https://usafacts.org/missions/promote-welfare/12" TargetMode="External"/><Relationship Id="rId511" Type="http://schemas.openxmlformats.org/officeDocument/2006/relationships/hyperlink" Target="https://stats.oecd.org/index.aspx?DataSetCode=HEALTH_STAT" TargetMode="External"/><Relationship Id="rId632" Type="http://schemas.openxmlformats.org/officeDocument/2006/relationships/hyperlink" Target="https://apps.who.int/iris/bitstream/handle/10665/259951/WHO-HIS-IER-GPM-2018.1-eng.pdf;jsessionid=47FB126CD095961CAC9D15E3FBF39514?sequence=1" TargetMode="External"/><Relationship Id="rId518" Type="http://schemas.openxmlformats.org/officeDocument/2006/relationships/hyperlink" Target="https://www.americashealthrankings.org/explore/annual" TargetMode="External"/><Relationship Id="rId517" Type="http://schemas.openxmlformats.org/officeDocument/2006/relationships/hyperlink" Target="https://interactives.commonwealthfund.org/2018/state-scorecard/files/Radley_State_Scorecard_2018.pdf" TargetMode="External"/><Relationship Id="rId638" Type="http://schemas.openxmlformats.org/officeDocument/2006/relationships/drawing" Target="../drawings/drawing3.xml"/><Relationship Id="rId516" Type="http://schemas.openxmlformats.org/officeDocument/2006/relationships/hyperlink" Target="https://data.worldbank.org/indicator/" TargetMode="External"/><Relationship Id="rId637" Type="http://schemas.openxmlformats.org/officeDocument/2006/relationships/hyperlink" Target="https://www.americashealthrankings.org/explore/annual" TargetMode="External"/><Relationship Id="rId515" Type="http://schemas.openxmlformats.org/officeDocument/2006/relationships/hyperlink" Target="https://apps.who.int/iris/bitstream/handle/10665/259951/WHO-HIS-IER-GPM-2018.1-eng.pdf;jsessionid=47FB126CD095961CAC9D15E3FBF39514?sequence=1" TargetMode="External"/><Relationship Id="rId636" Type="http://schemas.openxmlformats.org/officeDocument/2006/relationships/hyperlink" Target="https://www.cms.gov/Medicare/Quality-Initiatives-Patient-Assessment-Instruments/QualityInitiativesGenInfo/MMF/General-info-Sub-Page.html" TargetMode="External"/><Relationship Id="rId15" Type="http://schemas.openxmlformats.org/officeDocument/2006/relationships/hyperlink" Target="https://www.cdc.gov/nchs/healthy_people/hp2020/hp2020_indicators.htm" TargetMode="External"/><Relationship Id="rId14" Type="http://schemas.openxmlformats.org/officeDocument/2006/relationships/hyperlink" Target="https://www.americashealthrankings.org/explore/annual" TargetMode="External"/><Relationship Id="rId17" Type="http://schemas.openxmlformats.org/officeDocument/2006/relationships/hyperlink" Target="https://stats.oecd.org/index.aspx?DataSetCode=HEALTH_STAT" TargetMode="External"/><Relationship Id="rId16" Type="http://schemas.openxmlformats.org/officeDocument/2006/relationships/hyperlink" Target="https://apps.who.int/iris/bitstream/handle/10665/259951/WHO-HIS-IER-GPM-2018.1-eng.pdf;jsessionid=47FB126CD095961CAC9D15E3FBF39514?sequence=1" TargetMode="External"/><Relationship Id="rId19" Type="http://schemas.openxmlformats.org/officeDocument/2006/relationships/hyperlink" Target="https://www.americashealthrankings.org/explore/annual" TargetMode="External"/><Relationship Id="rId510" Type="http://schemas.openxmlformats.org/officeDocument/2006/relationships/hyperlink" Target="https://www.americashealthrankings.org/explore/annual" TargetMode="External"/><Relationship Id="rId631" Type="http://schemas.openxmlformats.org/officeDocument/2006/relationships/hyperlink" Target="https://apps.who.int/iris/bitstream/handle/10665/259951/WHO-HIS-IER-GPM-2018.1-eng.pdf;jsessionid=47FB126CD095961CAC9D15E3FBF39514?sequence=1" TargetMode="External"/><Relationship Id="rId18" Type="http://schemas.openxmlformats.org/officeDocument/2006/relationships/hyperlink" Target="https://usafacts.org/missions/promote-welfare/12" TargetMode="External"/><Relationship Id="rId630" Type="http://schemas.openxmlformats.org/officeDocument/2006/relationships/hyperlink" Target="https://interactives.commonwealthfund.org/2018/state-scorecard/files/Radley_State_Scorecard_2018.pdf" TargetMode="External"/><Relationship Id="rId84" Type="http://schemas.openxmlformats.org/officeDocument/2006/relationships/hyperlink" Target="https://apps.who.int/iris/bitstream/handle/10665/259951/WHO-HIS-IER-GPM-2018.1-eng.pdf;jsessionid=47FB126CD095961CAC9D15E3FBF39514?sequence=1" TargetMode="External"/><Relationship Id="rId83" Type="http://schemas.openxmlformats.org/officeDocument/2006/relationships/hyperlink" Target="http://www.paho.org/data/index.php/en/indicators/visualization.html" TargetMode="External"/><Relationship Id="rId86" Type="http://schemas.openxmlformats.org/officeDocument/2006/relationships/hyperlink" Target="https://usafacts.org/missions/promote-welfare/12" TargetMode="External"/><Relationship Id="rId85" Type="http://schemas.openxmlformats.org/officeDocument/2006/relationships/hyperlink" Target="https://stats.oecd.org/index.aspx?DataSetCode=HEALTH_STAT" TargetMode="External"/><Relationship Id="rId88" Type="http://schemas.openxmlformats.org/officeDocument/2006/relationships/hyperlink" Target="https://www.americashealthrankings.org/explore/health-of-women-and-children/measure/neonatal_mortality/state/ALL" TargetMode="External"/><Relationship Id="rId87" Type="http://schemas.openxmlformats.org/officeDocument/2006/relationships/hyperlink" Target="https://www.gapminder.org/data/" TargetMode="External"/><Relationship Id="rId89" Type="http://schemas.openxmlformats.org/officeDocument/2006/relationships/hyperlink" Target="https://data.worldbank.org/indicator/" TargetMode="External"/><Relationship Id="rId80" Type="http://schemas.openxmlformats.org/officeDocument/2006/relationships/hyperlink" Target="https://www.americashealthrankings.org/explore/annual" TargetMode="External"/><Relationship Id="rId82" Type="http://schemas.openxmlformats.org/officeDocument/2006/relationships/hyperlink" Target="https://www.cdc.gov/nchs/healthy_people/hp2020/hp2020_indicators.htm" TargetMode="External"/><Relationship Id="rId81" Type="http://schemas.openxmlformats.org/officeDocument/2006/relationships/hyperlink" Target="https://www.cms.gov/about-cms/story-page/our-16-strategic-initiatives.html" TargetMode="External"/><Relationship Id="rId73" Type="http://schemas.openxmlformats.org/officeDocument/2006/relationships/hyperlink" Target="https://apps.who.int/iris/bitstream/handle/10665/259951/WHO-HIS-IER-GPM-2018.1-eng.pdf;jsessionid=47FB126CD095961CAC9D15E3FBF39514?sequence=1" TargetMode="External"/><Relationship Id="rId72" Type="http://schemas.openxmlformats.org/officeDocument/2006/relationships/hyperlink" Target="https://www.cdc.gov/nchs/healthy_people/hp2020/hp2020_indicators.htm" TargetMode="External"/><Relationship Id="rId75" Type="http://schemas.openxmlformats.org/officeDocument/2006/relationships/hyperlink" Target="https://usafacts.org/missions/promote-welfare/12" TargetMode="External"/><Relationship Id="rId74" Type="http://schemas.openxmlformats.org/officeDocument/2006/relationships/hyperlink" Target="https://interactives.commonwealthfund.org/2018/state-scorecard/files/Radley_State_Scorecard_2018.pdf" TargetMode="External"/><Relationship Id="rId77" Type="http://schemas.openxmlformats.org/officeDocument/2006/relationships/hyperlink" Target="https://interactives.commonwealthfund.org/2018/state-scorecard/files/Radley_State_Scorecard_2018.pdf" TargetMode="External"/><Relationship Id="rId76" Type="http://schemas.openxmlformats.org/officeDocument/2006/relationships/hyperlink" Target="https://www.americashealthrankings.org/explore/annual" TargetMode="External"/><Relationship Id="rId79" Type="http://schemas.openxmlformats.org/officeDocument/2006/relationships/hyperlink" Target="https://usafacts.org/missions/promote-welfare/12" TargetMode="External"/><Relationship Id="rId78" Type="http://schemas.openxmlformats.org/officeDocument/2006/relationships/hyperlink" Target="https://stats.oecd.org/index.aspx?DataSetCode=HEALTH_STAT" TargetMode="External"/><Relationship Id="rId71" Type="http://schemas.openxmlformats.org/officeDocument/2006/relationships/hyperlink" Target="https://www.americashealthrankings.org/explore/annual" TargetMode="External"/><Relationship Id="rId70" Type="http://schemas.openxmlformats.org/officeDocument/2006/relationships/hyperlink" Target="https://usafacts.org/missions/promote-welfare/12" TargetMode="External"/><Relationship Id="rId62" Type="http://schemas.openxmlformats.org/officeDocument/2006/relationships/hyperlink" Target="https://stats.oecd.org/index.aspx?DataSetCode=HEALTH_STAT" TargetMode="External"/><Relationship Id="rId61" Type="http://schemas.openxmlformats.org/officeDocument/2006/relationships/hyperlink" Target="https://interactives.commonwealthfund.org/2018/state-scorecard/files/Radley_State_Scorecard_2018.pdf" TargetMode="External"/><Relationship Id="rId64" Type="http://schemas.openxmlformats.org/officeDocument/2006/relationships/hyperlink" Target="https://www.americashealthrankings.org/explore/annual" TargetMode="External"/><Relationship Id="rId63" Type="http://schemas.openxmlformats.org/officeDocument/2006/relationships/hyperlink" Target="https://usafacts.org/missions/promote-welfare/12" TargetMode="External"/><Relationship Id="rId66" Type="http://schemas.openxmlformats.org/officeDocument/2006/relationships/hyperlink" Target="https://www.cms.gov/Medicare/Quality-Initiatives-Patient-Assessment-Instruments/QualityInitiativesGenInfo/MMF/General-info-Sub-Page.html" TargetMode="External"/><Relationship Id="rId65" Type="http://schemas.openxmlformats.org/officeDocument/2006/relationships/hyperlink" Target="https://data.worldbank.org/indicator/" TargetMode="External"/><Relationship Id="rId68" Type="http://schemas.openxmlformats.org/officeDocument/2006/relationships/hyperlink" Target="https://interactives.commonwealthfund.org/2018/state-scorecard/files/Radley_State_Scorecard_2018.pdf" TargetMode="External"/><Relationship Id="rId67" Type="http://schemas.openxmlformats.org/officeDocument/2006/relationships/hyperlink" Target="https://www.cdc.gov/nchs/healthy_people/hp2020/hp2020_indicators.htm" TargetMode="External"/><Relationship Id="rId609" Type="http://schemas.openxmlformats.org/officeDocument/2006/relationships/hyperlink" Target="https://stats.oecd.org/index.aspx?DataSetCode=HEALTH_STAT" TargetMode="External"/><Relationship Id="rId608" Type="http://schemas.openxmlformats.org/officeDocument/2006/relationships/hyperlink" Target="https://apps.who.int/iris/bitstream/handle/10665/259951/WHO-HIS-IER-GPM-2018.1-eng.pdf;jsessionid=47FB126CD095961CAC9D15E3FBF39514?sequence=1" TargetMode="External"/><Relationship Id="rId607" Type="http://schemas.openxmlformats.org/officeDocument/2006/relationships/hyperlink" Target="https://usafacts.org/missions/promote-welfare/12" TargetMode="External"/><Relationship Id="rId60" Type="http://schemas.openxmlformats.org/officeDocument/2006/relationships/hyperlink" Target="https://www.cdc.gov/nchs/healthy_people/hp2020/hp2020_indicators.htm" TargetMode="External"/><Relationship Id="rId602" Type="http://schemas.openxmlformats.org/officeDocument/2006/relationships/hyperlink" Target="https://international.commonwealthfund.org/stats/" TargetMode="External"/><Relationship Id="rId601" Type="http://schemas.openxmlformats.org/officeDocument/2006/relationships/hyperlink" Target="https://international.commonwealthfund.org/stats/" TargetMode="External"/><Relationship Id="rId600" Type="http://schemas.openxmlformats.org/officeDocument/2006/relationships/hyperlink" Target="https://interactives.commonwealthfund.org/2018/state-scorecard/files/Radley_State_Scorecard_2018.pdf" TargetMode="External"/><Relationship Id="rId606" Type="http://schemas.openxmlformats.org/officeDocument/2006/relationships/hyperlink" Target="https://international.commonwealthfund.org/stats/" TargetMode="External"/><Relationship Id="rId605" Type="http://schemas.openxmlformats.org/officeDocument/2006/relationships/hyperlink" Target="https://international.commonwealthfund.org/stats/" TargetMode="External"/><Relationship Id="rId604" Type="http://schemas.openxmlformats.org/officeDocument/2006/relationships/hyperlink" Target="https://international.commonwealthfund.org/stats/" TargetMode="External"/><Relationship Id="rId603" Type="http://schemas.openxmlformats.org/officeDocument/2006/relationships/hyperlink" Target="https://international.commonwealthfund.org/stats/" TargetMode="External"/><Relationship Id="rId69" Type="http://schemas.openxmlformats.org/officeDocument/2006/relationships/hyperlink" Target="https://www.oecd-ilibrary.org/docserver/health_glance-2017-en.pdf?expires=1564008067&amp;id=id&amp;accname=guest&amp;checksum=D0ABDB5402647B576A76E200E17FD74F" TargetMode="External"/><Relationship Id="rId51" Type="http://schemas.openxmlformats.org/officeDocument/2006/relationships/hyperlink" Target="https://apps.who.int/iris/bitstream/handle/10665/259951/WHO-HIS-IER-GPM-2018.1-eng.pdf;jsessionid=47FB126CD095961CAC9D15E3FBF39514?sequence=1" TargetMode="External"/><Relationship Id="rId50" Type="http://schemas.openxmlformats.org/officeDocument/2006/relationships/hyperlink" Target="https://data.worldbank.org/indicator/" TargetMode="External"/><Relationship Id="rId53" Type="http://schemas.openxmlformats.org/officeDocument/2006/relationships/hyperlink" Target="https://usafacts.org/missions/promote-welfare/12" TargetMode="External"/><Relationship Id="rId52" Type="http://schemas.openxmlformats.org/officeDocument/2006/relationships/hyperlink" Target="https://stats.oecd.org/index.aspx?DataSetCode=HEALTH_STAT" TargetMode="External"/><Relationship Id="rId55" Type="http://schemas.openxmlformats.org/officeDocument/2006/relationships/hyperlink" Target="https://data.worldbank.org/indicator/" TargetMode="External"/><Relationship Id="rId54" Type="http://schemas.openxmlformats.org/officeDocument/2006/relationships/hyperlink" Target="https://www.americashealthrankings.org/explore/annual" TargetMode="External"/><Relationship Id="rId57" Type="http://schemas.openxmlformats.org/officeDocument/2006/relationships/hyperlink" Target="https://www.oecd-ilibrary.org/docserver/health_glance-2017-en.pdf?expires=1564008067&amp;id=id&amp;accname=guest&amp;checksum=D0ABDB5402647B576A76E200E17FD74F" TargetMode="External"/><Relationship Id="rId56" Type="http://schemas.openxmlformats.org/officeDocument/2006/relationships/hyperlink" Target="https://interactives.commonwealthfund.org/2018/state-scorecard/files/Radley_State_Scorecard_2018.pdf" TargetMode="External"/><Relationship Id="rId59" Type="http://schemas.openxmlformats.org/officeDocument/2006/relationships/hyperlink" Target="https://www.americashealthrankings.org/explore/annual" TargetMode="External"/><Relationship Id="rId58" Type="http://schemas.openxmlformats.org/officeDocument/2006/relationships/hyperlink" Target="https://usafacts.org/missions/promote-welfare/12" TargetMode="External"/><Relationship Id="rId590" Type="http://schemas.openxmlformats.org/officeDocument/2006/relationships/hyperlink" Target="https://apps.who.int/iris/bitstream/handle/10665/259951/WHO-HIS-IER-GPM-2018.1-eng.pdf;jsessionid=47FB126CD095961CAC9D15E3FBF39514?sequence=1" TargetMode="External"/><Relationship Id="rId107" Type="http://schemas.openxmlformats.org/officeDocument/2006/relationships/hyperlink" Target="https://data.worldbank.org/indicator/" TargetMode="External"/><Relationship Id="rId228" Type="http://schemas.openxmlformats.org/officeDocument/2006/relationships/hyperlink" Target="https://apps.who.int/iris/bitstream/handle/10665/259951/WHO-HIS-IER-GPM-2018.1-eng.pdf;jsessionid=47FB126CD095961CAC9D15E3FBF39514?sequence=1" TargetMode="External"/><Relationship Id="rId349" Type="http://schemas.openxmlformats.org/officeDocument/2006/relationships/hyperlink" Target="https://stats.oecd.org/index.aspx?DataSetCode=HEALTH_STAT" TargetMode="External"/><Relationship Id="rId106" Type="http://schemas.openxmlformats.org/officeDocument/2006/relationships/hyperlink" Target="https://www.americashealthrankings.org/explore/annual" TargetMode="External"/><Relationship Id="rId227" Type="http://schemas.openxmlformats.org/officeDocument/2006/relationships/hyperlink" Target="https://data.worldbank.org/indicator/" TargetMode="External"/><Relationship Id="rId348" Type="http://schemas.openxmlformats.org/officeDocument/2006/relationships/hyperlink" Target="https://stats.oecd.org/index.aspx?DataSetCode=HEALTH_STAT" TargetMode="External"/><Relationship Id="rId469" Type="http://schemas.openxmlformats.org/officeDocument/2006/relationships/hyperlink" Target="https://www.americashealthrankings.org/explore/annual" TargetMode="External"/><Relationship Id="rId105" Type="http://schemas.openxmlformats.org/officeDocument/2006/relationships/hyperlink" Target="https://usafacts.org/missions/promote-welfare/12" TargetMode="External"/><Relationship Id="rId226" Type="http://schemas.openxmlformats.org/officeDocument/2006/relationships/hyperlink" Target="https://www.americashealthrankings.org/explore/annual" TargetMode="External"/><Relationship Id="rId347" Type="http://schemas.openxmlformats.org/officeDocument/2006/relationships/hyperlink" Target="https://www.americashealthrankings.org/explore/annual" TargetMode="External"/><Relationship Id="rId468" Type="http://schemas.openxmlformats.org/officeDocument/2006/relationships/hyperlink" Target="https://apps.who.int/iris/bitstream/handle/10665/259951/WHO-HIS-IER-GPM-2018.1-eng.pdf;jsessionid=47FB126CD095961CAC9D15E3FBF39514?sequence=1" TargetMode="External"/><Relationship Id="rId589" Type="http://schemas.openxmlformats.org/officeDocument/2006/relationships/hyperlink" Target="https://apps.who.int/iris/bitstream/handle/10665/259951/WHO-HIS-IER-GPM-2018.1-eng.pdf;jsessionid=47FB126CD095961CAC9D15E3FBF39514?sequence=1" TargetMode="External"/><Relationship Id="rId104" Type="http://schemas.openxmlformats.org/officeDocument/2006/relationships/hyperlink" Target="https://stats.oecd.org/index.aspx?DataSetCode=HEALTH_STAT" TargetMode="External"/><Relationship Id="rId225" Type="http://schemas.openxmlformats.org/officeDocument/2006/relationships/hyperlink" Target="https://usafacts.org/missions/promote-welfare/12" TargetMode="External"/><Relationship Id="rId346" Type="http://schemas.openxmlformats.org/officeDocument/2006/relationships/hyperlink" Target="https://stats.oecd.org/index.aspx?DataSetCode=HEALTH_STAT" TargetMode="External"/><Relationship Id="rId467" Type="http://schemas.openxmlformats.org/officeDocument/2006/relationships/hyperlink" Target="https://data.worldbank.org/indicator/" TargetMode="External"/><Relationship Id="rId588" Type="http://schemas.openxmlformats.org/officeDocument/2006/relationships/hyperlink" Target="https://apps.who.int/iris/bitstream/handle/10665/259951/WHO-HIS-IER-GPM-2018.1-eng.pdf;jsessionid=47FB126CD095961CAC9D15E3FBF39514?sequence=1" TargetMode="External"/><Relationship Id="rId109" Type="http://schemas.openxmlformats.org/officeDocument/2006/relationships/hyperlink" Target="https://stats.oecd.org/index.aspx?DataSetCode=HEALTH_STAT" TargetMode="External"/><Relationship Id="rId108" Type="http://schemas.openxmlformats.org/officeDocument/2006/relationships/hyperlink" Target="https://apps.who.int/iris/bitstream/handle/10665/259951/WHO-HIS-IER-GPM-2018.1-eng.pdf;jsessionid=47FB126CD095961CAC9D15E3FBF39514?sequence=1" TargetMode="External"/><Relationship Id="rId229" Type="http://schemas.openxmlformats.org/officeDocument/2006/relationships/hyperlink" Target="https://interactives.commonwealthfund.org/2018/state-scorecard/files/Radley_State_Scorecard_2018.pdf" TargetMode="External"/><Relationship Id="rId220" Type="http://schemas.openxmlformats.org/officeDocument/2006/relationships/hyperlink" Target="https://usafacts.org/missions/promote-welfare/12" TargetMode="External"/><Relationship Id="rId341" Type="http://schemas.openxmlformats.org/officeDocument/2006/relationships/hyperlink" Target="https://stats.oecd.org/index.aspx?DataSetCode=HEALTH_STAT" TargetMode="External"/><Relationship Id="rId462" Type="http://schemas.openxmlformats.org/officeDocument/2006/relationships/hyperlink" Target="https://apps.who.int/iris/bitstream/handle/10665/259951/WHO-HIS-IER-GPM-2018.1-eng.pdf;jsessionid=47FB126CD095961CAC9D15E3FBF39514?sequence=1" TargetMode="External"/><Relationship Id="rId583" Type="http://schemas.openxmlformats.org/officeDocument/2006/relationships/hyperlink" Target="https://apps.who.int/iris/bitstream/handle/10665/259951/WHO-HIS-IER-GPM-2018.1-eng.pdf;jsessionid=47FB126CD095961CAC9D15E3FBF39514?sequence=1" TargetMode="External"/><Relationship Id="rId340" Type="http://schemas.openxmlformats.org/officeDocument/2006/relationships/hyperlink" Target="https://stats.oecd.org/index.aspx?DataSetCode=HEALTH_STAT" TargetMode="External"/><Relationship Id="rId461" Type="http://schemas.openxmlformats.org/officeDocument/2006/relationships/hyperlink" Target="https://www.americashealthrankings.org/explore/annual" TargetMode="External"/><Relationship Id="rId582" Type="http://schemas.openxmlformats.org/officeDocument/2006/relationships/hyperlink" Target="https://apps.who.int/iris/bitstream/handle/10665/259951/WHO-HIS-IER-GPM-2018.1-eng.pdf;jsessionid=47FB126CD095961CAC9D15E3FBF39514?sequence=1" TargetMode="External"/><Relationship Id="rId460" Type="http://schemas.openxmlformats.org/officeDocument/2006/relationships/hyperlink" Target="https://apps.who.int/iris/bitstream/handle/10665/259951/WHO-HIS-IER-GPM-2018.1-eng.pdf;jsessionid=47FB126CD095961CAC9D15E3FBF39514?sequence=1" TargetMode="External"/><Relationship Id="rId581" Type="http://schemas.openxmlformats.org/officeDocument/2006/relationships/hyperlink" Target="https://apps.who.int/iris/bitstream/handle/10665/259951/WHO-HIS-IER-GPM-2018.1-eng.pdf;jsessionid=47FB126CD095961CAC9D15E3FBF39514?sequence=1" TargetMode="External"/><Relationship Id="rId580" Type="http://schemas.openxmlformats.org/officeDocument/2006/relationships/hyperlink" Target="https://apps.who.int/iris/bitstream/handle/10665/259951/WHO-HIS-IER-GPM-2018.1-eng.pdf;jsessionid=47FB126CD095961CAC9D15E3FBF39514?sequence=1" TargetMode="External"/><Relationship Id="rId103" Type="http://schemas.openxmlformats.org/officeDocument/2006/relationships/hyperlink" Target="https://apps.who.int/iris/bitstream/handle/10665/259951/WHO-HIS-IER-GPM-2018.1-eng.pdf;jsessionid=47FB126CD095961CAC9D15E3FBF39514?sequence=1" TargetMode="External"/><Relationship Id="rId224" Type="http://schemas.openxmlformats.org/officeDocument/2006/relationships/hyperlink" Target="https://stats.oecd.org/index.aspx?DataSetCode=HEALTH_STAT" TargetMode="External"/><Relationship Id="rId345" Type="http://schemas.openxmlformats.org/officeDocument/2006/relationships/hyperlink" Target="https://interactives.commonwealthfund.org/2018/state-scorecard/files/Radley_State_Scorecard_2018.pdf" TargetMode="External"/><Relationship Id="rId466" Type="http://schemas.openxmlformats.org/officeDocument/2006/relationships/hyperlink" Target="https://apps.who.int/iris/bitstream/handle/10665/259951/WHO-HIS-IER-GPM-2018.1-eng.pdf;jsessionid=47FB126CD095961CAC9D15E3FBF39514?sequence=1" TargetMode="External"/><Relationship Id="rId587" Type="http://schemas.openxmlformats.org/officeDocument/2006/relationships/hyperlink" Target="https://apps.who.int/iris/bitstream/handle/10665/259951/WHO-HIS-IER-GPM-2018.1-eng.pdf;jsessionid=47FB126CD095961CAC9D15E3FBF39514?sequence=1" TargetMode="External"/><Relationship Id="rId102" Type="http://schemas.openxmlformats.org/officeDocument/2006/relationships/hyperlink" Target="https://www.cdc.gov/nchs/fastats/deaths.htm" TargetMode="External"/><Relationship Id="rId223" Type="http://schemas.openxmlformats.org/officeDocument/2006/relationships/hyperlink" Target="https://international.commonwealthfund.org/stats/" TargetMode="External"/><Relationship Id="rId344" Type="http://schemas.openxmlformats.org/officeDocument/2006/relationships/hyperlink" Target="https://www.cms.gov/Medicare/Quality-Initiatives-Patient-Assessment-Instruments/QualityInitiativesGenInfo/MMF/General-info-Sub-Page.html" TargetMode="External"/><Relationship Id="rId465" Type="http://schemas.openxmlformats.org/officeDocument/2006/relationships/hyperlink" Target="https://www.americashealthrankings.org/explore/annual" TargetMode="External"/><Relationship Id="rId586" Type="http://schemas.openxmlformats.org/officeDocument/2006/relationships/hyperlink" Target="https://apps.who.int/iris/bitstream/handle/10665/259951/WHO-HIS-IER-GPM-2018.1-eng.pdf;jsessionid=47FB126CD095961CAC9D15E3FBF39514?sequence=1" TargetMode="External"/><Relationship Id="rId101" Type="http://schemas.openxmlformats.org/officeDocument/2006/relationships/hyperlink" Target="https://www.cdc.gov/nchs/healthy_people/hp2020/hp2020_indicators.htm" TargetMode="External"/><Relationship Id="rId222" Type="http://schemas.openxmlformats.org/officeDocument/2006/relationships/hyperlink" Target="https://data.worldbank.org/indicator/" TargetMode="External"/><Relationship Id="rId343" Type="http://schemas.openxmlformats.org/officeDocument/2006/relationships/hyperlink" Target="https://stats.oecd.org/index.aspx?DataSetCode=HEALTH_STAT" TargetMode="External"/><Relationship Id="rId464" Type="http://schemas.openxmlformats.org/officeDocument/2006/relationships/hyperlink" Target="https://interactives.commonwealthfund.org/2018/state-scorecard/files/Radley_State_Scorecard_2018.pdf" TargetMode="External"/><Relationship Id="rId585" Type="http://schemas.openxmlformats.org/officeDocument/2006/relationships/hyperlink" Target="https://apps.who.int/iris/bitstream/handle/10665/259951/WHO-HIS-IER-GPM-2018.1-eng.pdf;jsessionid=47FB126CD095961CAC9D15E3FBF39514?sequence=1" TargetMode="External"/><Relationship Id="rId100" Type="http://schemas.openxmlformats.org/officeDocument/2006/relationships/hyperlink" Target="https://data.worldbank.org/indicator/" TargetMode="External"/><Relationship Id="rId221" Type="http://schemas.openxmlformats.org/officeDocument/2006/relationships/hyperlink" Target="https://www.americashealthrankings.org/explore/annual" TargetMode="External"/><Relationship Id="rId342" Type="http://schemas.openxmlformats.org/officeDocument/2006/relationships/hyperlink" Target="https://www.cms.gov/Medicare/Quality-Initiatives-Patient-Assessment-Instruments/QualityInitiativesGenInfo/MMF/General-info-Sub-Page.html" TargetMode="External"/><Relationship Id="rId463" Type="http://schemas.openxmlformats.org/officeDocument/2006/relationships/hyperlink" Target="https://www.americashealthrankings.org/explore/annual" TargetMode="External"/><Relationship Id="rId584" Type="http://schemas.openxmlformats.org/officeDocument/2006/relationships/hyperlink" Target="https://apps.who.int/iris/bitstream/handle/10665/259951/WHO-HIS-IER-GPM-2018.1-eng.pdf;jsessionid=47FB126CD095961CAC9D15E3FBF39514?sequence=1" TargetMode="External"/><Relationship Id="rId217" Type="http://schemas.openxmlformats.org/officeDocument/2006/relationships/hyperlink" Target="https://www.cdc.gov/nchs/healthy_people/hp2020/hp2020_indicators.htm" TargetMode="External"/><Relationship Id="rId338" Type="http://schemas.openxmlformats.org/officeDocument/2006/relationships/hyperlink" Target="https://data.worldbank.org/indicator/" TargetMode="External"/><Relationship Id="rId459" Type="http://schemas.openxmlformats.org/officeDocument/2006/relationships/hyperlink" Target="https://usafacts.org/missions/promote-welfare/12" TargetMode="External"/><Relationship Id="rId216" Type="http://schemas.openxmlformats.org/officeDocument/2006/relationships/hyperlink" Target="https://www.americashealthrankings.org/explore/annual" TargetMode="External"/><Relationship Id="rId337" Type="http://schemas.openxmlformats.org/officeDocument/2006/relationships/hyperlink" Target="https://stats.oecd.org/index.aspx?DataSetCode=HEALTH_STAT" TargetMode="External"/><Relationship Id="rId458" Type="http://schemas.openxmlformats.org/officeDocument/2006/relationships/hyperlink" Target="https://interactives.commonwealthfund.org/2018/state-scorecard/files/Radley_State_Scorecard_2018.pdf" TargetMode="External"/><Relationship Id="rId579" Type="http://schemas.openxmlformats.org/officeDocument/2006/relationships/hyperlink" Target="https://apps.who.int/iris/bitstream/handle/10665/259951/WHO-HIS-IER-GPM-2018.1-eng.pdf;jsessionid=47FB126CD095961CAC9D15E3FBF39514?sequence=1" TargetMode="External"/><Relationship Id="rId215" Type="http://schemas.openxmlformats.org/officeDocument/2006/relationships/hyperlink" Target="https://usafacts.org/missions/promote-welfare/12" TargetMode="External"/><Relationship Id="rId336" Type="http://schemas.openxmlformats.org/officeDocument/2006/relationships/hyperlink" Target="https://apps.who.int/iris/bitstream/handle/10665/259951/WHO-HIS-IER-GPM-2018.1-eng.pdf;jsessionid=47FB126CD095961CAC9D15E3FBF39514?sequence=1" TargetMode="External"/><Relationship Id="rId457" Type="http://schemas.openxmlformats.org/officeDocument/2006/relationships/hyperlink" Target="https://apps.who.int/iris/bitstream/handle/10665/259951/WHO-HIS-IER-GPM-2018.1-eng.pdf;jsessionid=47FB126CD095961CAC9D15E3FBF39514?sequence=1" TargetMode="External"/><Relationship Id="rId578" Type="http://schemas.openxmlformats.org/officeDocument/2006/relationships/hyperlink" Target="https://apps.who.int/iris/bitstream/handle/10665/259951/WHO-HIS-IER-GPM-2018.1-eng.pdf;jsessionid=47FB126CD095961CAC9D15E3FBF39514?sequence=1" TargetMode="External"/><Relationship Id="rId214" Type="http://schemas.openxmlformats.org/officeDocument/2006/relationships/hyperlink" Target="https://www.americashealthrankings.org/explore/annual" TargetMode="External"/><Relationship Id="rId335" Type="http://schemas.openxmlformats.org/officeDocument/2006/relationships/hyperlink" Target="https://www.gapminder.org/data/" TargetMode="External"/><Relationship Id="rId456" Type="http://schemas.openxmlformats.org/officeDocument/2006/relationships/hyperlink" Target="https://wwwn.cdc.gov/psr/NationalSummary/NationalSummary.aspx" TargetMode="External"/><Relationship Id="rId577" Type="http://schemas.openxmlformats.org/officeDocument/2006/relationships/hyperlink" Target="https://apps.who.int/iris/bitstream/handle/10665/259951/WHO-HIS-IER-GPM-2018.1-eng.pdf;jsessionid=47FB126CD095961CAC9D15E3FBF39514?sequence=1" TargetMode="External"/><Relationship Id="rId219" Type="http://schemas.openxmlformats.org/officeDocument/2006/relationships/hyperlink" Target="https://stats.oecd.org/index.aspx?DataSetCode=HEALTH_STAT" TargetMode="External"/><Relationship Id="rId218" Type="http://schemas.openxmlformats.org/officeDocument/2006/relationships/hyperlink" Target="https://international.commonwealthfund.org/stats/" TargetMode="External"/><Relationship Id="rId339" Type="http://schemas.openxmlformats.org/officeDocument/2006/relationships/hyperlink" Target="https://apps.who.int/iris/bitstream/handle/10665/259951/WHO-HIS-IER-GPM-2018.1-eng.pdf;jsessionid=47FB126CD095961CAC9D15E3FBF39514?sequence=1" TargetMode="External"/><Relationship Id="rId330" Type="http://schemas.openxmlformats.org/officeDocument/2006/relationships/hyperlink" Target="https://stats.oecd.org/index.aspx?DataSetCode=HEALTH_STAT" TargetMode="External"/><Relationship Id="rId451" Type="http://schemas.openxmlformats.org/officeDocument/2006/relationships/hyperlink" Target="https://apps.who.int/iris/bitstream/handle/10665/259951/WHO-HIS-IER-GPM-2018.1-eng.pdf;jsessionid=47FB126CD095961CAC9D15E3FBF39514?sequence=1" TargetMode="External"/><Relationship Id="rId572" Type="http://schemas.openxmlformats.org/officeDocument/2006/relationships/hyperlink" Target="https://www.americashealthrankings.org/explore/annual" TargetMode="External"/><Relationship Id="rId450" Type="http://schemas.openxmlformats.org/officeDocument/2006/relationships/hyperlink" Target="https://data.worldbank.org/indicator/" TargetMode="External"/><Relationship Id="rId571" Type="http://schemas.openxmlformats.org/officeDocument/2006/relationships/hyperlink" Target="https://www.americashealthrankings.org/explore/annual" TargetMode="External"/><Relationship Id="rId570" Type="http://schemas.openxmlformats.org/officeDocument/2006/relationships/hyperlink" Target="https://www.cdc.gov/nchs/healthy_people/hp2020/hp2020_indicators.htm" TargetMode="External"/><Relationship Id="rId213" Type="http://schemas.openxmlformats.org/officeDocument/2006/relationships/hyperlink" Target="https://apps.who.int/iris/bitstream/handle/10665/259951/WHO-HIS-IER-GPM-2018.1-eng.pdf;jsessionid=47FB126CD095961CAC9D15E3FBF39514?sequence=1" TargetMode="External"/><Relationship Id="rId334" Type="http://schemas.openxmlformats.org/officeDocument/2006/relationships/hyperlink" Target="https://stats.oecd.org/index.aspx?DataSetCode=HEALTH_STAT" TargetMode="External"/><Relationship Id="rId455" Type="http://schemas.openxmlformats.org/officeDocument/2006/relationships/hyperlink" Target="https://apps.who.int/iris/bitstream/handle/10665/259951/WHO-HIS-IER-GPM-2018.1-eng.pdf;jsessionid=47FB126CD095961CAC9D15E3FBF39514?sequence=1" TargetMode="External"/><Relationship Id="rId576" Type="http://schemas.openxmlformats.org/officeDocument/2006/relationships/hyperlink" Target="https://apps.who.int/iris/bitstream/handle/10665/259951/WHO-HIS-IER-GPM-2018.1-eng.pdf;jsessionid=47FB126CD095961CAC9D15E3FBF39514?sequence=1" TargetMode="External"/><Relationship Id="rId212" Type="http://schemas.openxmlformats.org/officeDocument/2006/relationships/hyperlink" Target="https://data.worldbank.org/indicator/" TargetMode="External"/><Relationship Id="rId333" Type="http://schemas.openxmlformats.org/officeDocument/2006/relationships/hyperlink" Target="https://apps.who.int/iris/bitstream/handle/10665/259951/WHO-HIS-IER-GPM-2018.1-eng.pdf;jsessionid=47FB126CD095961CAC9D15E3FBF39514?sequence=1" TargetMode="External"/><Relationship Id="rId454" Type="http://schemas.openxmlformats.org/officeDocument/2006/relationships/hyperlink" Target="https://data.worldbank.org/indicator/" TargetMode="External"/><Relationship Id="rId575" Type="http://schemas.openxmlformats.org/officeDocument/2006/relationships/hyperlink" Target="https://apps.who.int/iris/bitstream/handle/10665/259951/WHO-HIS-IER-GPM-2018.1-eng.pdf;jsessionid=47FB126CD095961CAC9D15E3FBF39514?sequence=1" TargetMode="External"/><Relationship Id="rId211" Type="http://schemas.openxmlformats.org/officeDocument/2006/relationships/hyperlink" Target="https://www.americashealthrankings.org/explore/annual" TargetMode="External"/><Relationship Id="rId332" Type="http://schemas.openxmlformats.org/officeDocument/2006/relationships/hyperlink" Target="http://www.paho.org/data/index.php/en/indicators/visualization.html" TargetMode="External"/><Relationship Id="rId453" Type="http://schemas.openxmlformats.org/officeDocument/2006/relationships/hyperlink" Target="https://apps.who.int/iris/bitstream/handle/10665/259951/WHO-HIS-IER-GPM-2018.1-eng.pdf;jsessionid=47FB126CD095961CAC9D15E3FBF39514?sequence=1" TargetMode="External"/><Relationship Id="rId574" Type="http://schemas.openxmlformats.org/officeDocument/2006/relationships/hyperlink" Target="https://apps.who.int/iris/bitstream/handle/10665/259951/WHO-HIS-IER-GPM-2018.1-eng.pdf;jsessionid=47FB126CD095961CAC9D15E3FBF39514?sequence=1" TargetMode="External"/><Relationship Id="rId210" Type="http://schemas.openxmlformats.org/officeDocument/2006/relationships/hyperlink" Target="https://www.gapminder.org/data/" TargetMode="External"/><Relationship Id="rId331" Type="http://schemas.openxmlformats.org/officeDocument/2006/relationships/hyperlink" Target="https://data.worldbank.org/indicator/" TargetMode="External"/><Relationship Id="rId452" Type="http://schemas.openxmlformats.org/officeDocument/2006/relationships/hyperlink" Target="https://data.worldbank.org/indicator/" TargetMode="External"/><Relationship Id="rId573" Type="http://schemas.openxmlformats.org/officeDocument/2006/relationships/hyperlink" Target="https://apps.who.int/iris/bitstream/handle/10665/259951/WHO-HIS-IER-GPM-2018.1-eng.pdf;jsessionid=47FB126CD095961CAC9D15E3FBF39514?sequence=1" TargetMode="External"/><Relationship Id="rId370" Type="http://schemas.openxmlformats.org/officeDocument/2006/relationships/hyperlink" Target="https://www.cdc.gov/nchs/healthy_people/hp2020/hp2020_indicators.htm" TargetMode="External"/><Relationship Id="rId491" Type="http://schemas.openxmlformats.org/officeDocument/2006/relationships/hyperlink" Target="https://www.americashealthrankings.org/explore/annual" TargetMode="External"/><Relationship Id="rId490" Type="http://schemas.openxmlformats.org/officeDocument/2006/relationships/hyperlink" Target="https://interactives.commonwealthfund.org/2018/state-scorecard/files/Radley_State_Scorecard_2018.pdf" TargetMode="External"/><Relationship Id="rId129" Type="http://schemas.openxmlformats.org/officeDocument/2006/relationships/hyperlink" Target="https://www.americashealthrankings.org/explore/annual" TargetMode="External"/><Relationship Id="rId128" Type="http://schemas.openxmlformats.org/officeDocument/2006/relationships/hyperlink" Target="https://usafacts.org/missions/promote-welfare/12" TargetMode="External"/><Relationship Id="rId249" Type="http://schemas.openxmlformats.org/officeDocument/2006/relationships/hyperlink" Target="https://stats.oecd.org/index.aspx?DataSetCode=HEALTH_STAT" TargetMode="External"/><Relationship Id="rId127" Type="http://schemas.openxmlformats.org/officeDocument/2006/relationships/hyperlink" Target="https://apps.who.int/iris/bitstream/handle/10665/259951/WHO-HIS-IER-GPM-2018.1-eng.pdf;jsessionid=47FB126CD095961CAC9D15E3FBF39514?sequence=1" TargetMode="External"/><Relationship Id="rId248" Type="http://schemas.openxmlformats.org/officeDocument/2006/relationships/hyperlink" Target="http://www.paho.org/data/index.php/en/indicators/visualization.html" TargetMode="External"/><Relationship Id="rId369" Type="http://schemas.openxmlformats.org/officeDocument/2006/relationships/hyperlink" Target="https://www.gapminder.org/data/" TargetMode="External"/><Relationship Id="rId126" Type="http://schemas.openxmlformats.org/officeDocument/2006/relationships/hyperlink" Target="https://www.cdc.gov/nchs/healthy_people/hp2020/hp2020_indicators.htm" TargetMode="External"/><Relationship Id="rId247" Type="http://schemas.openxmlformats.org/officeDocument/2006/relationships/hyperlink" Target="http://www.paho.org/data/index.php/en/indicators/visualization.html" TargetMode="External"/><Relationship Id="rId368" Type="http://schemas.openxmlformats.org/officeDocument/2006/relationships/hyperlink" Target="https://stats.oecd.org/index.aspx?DataSetCode=HEALTH_STAT" TargetMode="External"/><Relationship Id="rId489" Type="http://schemas.openxmlformats.org/officeDocument/2006/relationships/hyperlink" Target="https://www.cms.gov/Medicare/Quality-Initiatives-Patient-Assessment-Instruments/QualityInitiativesGenInfo/MMF/General-info-Sub-Page.html" TargetMode="External"/><Relationship Id="rId121" Type="http://schemas.openxmlformats.org/officeDocument/2006/relationships/hyperlink" Target="https://data.worldbank.org/indicator/" TargetMode="External"/><Relationship Id="rId242" Type="http://schemas.openxmlformats.org/officeDocument/2006/relationships/hyperlink" Target="https://apps.who.int/iris/bitstream/handle/10665/259951/WHO-HIS-IER-GPM-2018.1-eng.pdf;jsessionid=47FB126CD095961CAC9D15E3FBF39514?sequence=1" TargetMode="External"/><Relationship Id="rId363" Type="http://schemas.openxmlformats.org/officeDocument/2006/relationships/hyperlink" Target="https://apps.who.int/iris/bitstream/handle/10665/259951/WHO-HIS-IER-GPM-2018.1-eng.pdf;jsessionid=47FB126CD095961CAC9D15E3FBF39514?sequence=1" TargetMode="External"/><Relationship Id="rId484" Type="http://schemas.openxmlformats.org/officeDocument/2006/relationships/hyperlink" Target="https://international.commonwealthfund.org/stats/" TargetMode="External"/><Relationship Id="rId120" Type="http://schemas.openxmlformats.org/officeDocument/2006/relationships/hyperlink" Target="https://www.gapminder.org/data/" TargetMode="External"/><Relationship Id="rId241" Type="http://schemas.openxmlformats.org/officeDocument/2006/relationships/hyperlink" Target="https://data.worldbank.org/indicator/" TargetMode="External"/><Relationship Id="rId362" Type="http://schemas.openxmlformats.org/officeDocument/2006/relationships/hyperlink" Target="https://www.gapminder.org/data/" TargetMode="External"/><Relationship Id="rId483" Type="http://schemas.openxmlformats.org/officeDocument/2006/relationships/hyperlink" Target="https://www.cms.gov/Medicare/Quality-Initiatives-Patient-Assessment-Instruments/QualityInitiativesGenInfo/MMF/General-info-Sub-Page.html" TargetMode="External"/><Relationship Id="rId240" Type="http://schemas.openxmlformats.org/officeDocument/2006/relationships/hyperlink" Target="https://usafacts.org/missions/promote-welfare/12" TargetMode="External"/><Relationship Id="rId361" Type="http://schemas.openxmlformats.org/officeDocument/2006/relationships/hyperlink" Target="https://stats.oecd.org/index.aspx?DataSetCode=HEALTH_STAT" TargetMode="External"/><Relationship Id="rId482" Type="http://schemas.openxmlformats.org/officeDocument/2006/relationships/hyperlink" Target="https://international.commonwealthfund.org/stats/" TargetMode="External"/><Relationship Id="rId360" Type="http://schemas.openxmlformats.org/officeDocument/2006/relationships/hyperlink" Target="https://apps.who.int/iris/bitstream/handle/10665/259951/WHO-HIS-IER-GPM-2018.1-eng.pdf;jsessionid=47FB126CD095961CAC9D15E3FBF39514?sequence=1" TargetMode="External"/><Relationship Id="rId481" Type="http://schemas.openxmlformats.org/officeDocument/2006/relationships/hyperlink" Target="https://www.cms.gov/Medicare/Quality-Initiatives-Patient-Assessment-Instruments/QualityInitiativesGenInfo/MMF/General-info-Sub-Page.html" TargetMode="External"/><Relationship Id="rId125" Type="http://schemas.openxmlformats.org/officeDocument/2006/relationships/hyperlink" Target="https://www.americashealthrankings.org/explore/annual" TargetMode="External"/><Relationship Id="rId246" Type="http://schemas.openxmlformats.org/officeDocument/2006/relationships/hyperlink" Target="https://www.gapminder.org/data/" TargetMode="External"/><Relationship Id="rId367" Type="http://schemas.openxmlformats.org/officeDocument/2006/relationships/hyperlink" Target="https://wwwn.cdc.gov/psr/NationalSummary/NationalSummary.aspx" TargetMode="External"/><Relationship Id="rId488" Type="http://schemas.openxmlformats.org/officeDocument/2006/relationships/hyperlink" Target="https://international.commonwealthfund.org/stats/" TargetMode="External"/><Relationship Id="rId124" Type="http://schemas.openxmlformats.org/officeDocument/2006/relationships/hyperlink" Target="https://www.oecd-ilibrary.org/social-issues-migration-health/health-at-a-glance-2017_health_glance-2017-en" TargetMode="External"/><Relationship Id="rId245" Type="http://schemas.openxmlformats.org/officeDocument/2006/relationships/hyperlink" Target="https://usafacts.org/missions/promote-welfare/12" TargetMode="External"/><Relationship Id="rId366" Type="http://schemas.openxmlformats.org/officeDocument/2006/relationships/hyperlink" Target="https://apps.who.int/iris/bitstream/handle/10665/259951/WHO-HIS-IER-GPM-2018.1-eng.pdf;jsessionid=47FB126CD095961CAC9D15E3FBF39514?sequence=1" TargetMode="External"/><Relationship Id="rId487" Type="http://schemas.openxmlformats.org/officeDocument/2006/relationships/hyperlink" Target="https://www.cms.gov/Medicare/Quality-Initiatives-Patient-Assessment-Instruments/QualityInitiativesGenInfo/MMF/General-info-Sub-Page.html" TargetMode="External"/><Relationship Id="rId123" Type="http://schemas.openxmlformats.org/officeDocument/2006/relationships/hyperlink" Target="https://apps.who.int/iris/bitstream/handle/10665/259951/WHO-HIS-IER-GPM-2018.1-eng.pdf;jsessionid=47FB126CD095961CAC9D15E3FBF39514?sequence=1" TargetMode="External"/><Relationship Id="rId244" Type="http://schemas.openxmlformats.org/officeDocument/2006/relationships/hyperlink" Target="https://stats.oecd.org/index.aspx?DataSetCode=HEALTH_STAT" TargetMode="External"/><Relationship Id="rId365" Type="http://schemas.openxmlformats.org/officeDocument/2006/relationships/hyperlink" Target="https://www.gapminder.org/data/" TargetMode="External"/><Relationship Id="rId486" Type="http://schemas.openxmlformats.org/officeDocument/2006/relationships/hyperlink" Target="https://international.commonwealthfund.org/stats/" TargetMode="External"/><Relationship Id="rId122" Type="http://schemas.openxmlformats.org/officeDocument/2006/relationships/hyperlink" Target="https://wwwn.cdc.gov/psr/NationalSummary/NationalSummary.aspx" TargetMode="External"/><Relationship Id="rId243" Type="http://schemas.openxmlformats.org/officeDocument/2006/relationships/hyperlink" Target="https://international.commonwealthfund.org/stats/" TargetMode="External"/><Relationship Id="rId364" Type="http://schemas.openxmlformats.org/officeDocument/2006/relationships/hyperlink" Target="https://stats.oecd.org/index.aspx?DataSetCode=HEALTH_STAT" TargetMode="External"/><Relationship Id="rId485" Type="http://schemas.openxmlformats.org/officeDocument/2006/relationships/hyperlink" Target="https://www.cms.gov/Medicare/Quality-Initiatives-Patient-Assessment-Instruments/QualityInitiativesGenInfo/MMF/General-info-Sub-Page.html" TargetMode="External"/><Relationship Id="rId95" Type="http://schemas.openxmlformats.org/officeDocument/2006/relationships/hyperlink" Target="https://www.cdc.gov/ncbddd/stillbirth/data.html" TargetMode="External"/><Relationship Id="rId94" Type="http://schemas.openxmlformats.org/officeDocument/2006/relationships/hyperlink" Target="https://www.americashealthrankings.org/explore/annual" TargetMode="External"/><Relationship Id="rId97" Type="http://schemas.openxmlformats.org/officeDocument/2006/relationships/hyperlink" Target="https://stats.oecd.org/index.aspx?DataSetCode=HEALTH_STAT" TargetMode="External"/><Relationship Id="rId96" Type="http://schemas.openxmlformats.org/officeDocument/2006/relationships/hyperlink" Target="https://apps.who.int/iris/bitstream/handle/10665/259951/WHO-HIS-IER-GPM-2018.1-eng.pdf;jsessionid=47FB126CD095961CAC9D15E3FBF39514?sequence=1" TargetMode="External"/><Relationship Id="rId99" Type="http://schemas.openxmlformats.org/officeDocument/2006/relationships/hyperlink" Target="https://www.americashealthrankings.org/explore/annual" TargetMode="External"/><Relationship Id="rId480" Type="http://schemas.openxmlformats.org/officeDocument/2006/relationships/hyperlink" Target="https://www.cms.gov/about-cms/story-page/our-16-strategic-initiatives.html" TargetMode="External"/><Relationship Id="rId98" Type="http://schemas.openxmlformats.org/officeDocument/2006/relationships/hyperlink" Target="https://www.gapminder.org/data/" TargetMode="External"/><Relationship Id="rId91" Type="http://schemas.openxmlformats.org/officeDocument/2006/relationships/hyperlink" Target="https://apps.who.int/iris/bitstream/handle/10665/259951/WHO-HIS-IER-GPM-2018.1-eng.pdf;jsessionid=47FB126CD095961CAC9D15E3FBF39514?sequence=1" TargetMode="External"/><Relationship Id="rId90" Type="http://schemas.openxmlformats.org/officeDocument/2006/relationships/hyperlink" Target="https://www.cdc.gov/nchs/healthy_people/hp2020/hp2020_indicators.htm" TargetMode="External"/><Relationship Id="rId93" Type="http://schemas.openxmlformats.org/officeDocument/2006/relationships/hyperlink" Target="https://usafacts.org/missions/promote-welfare/12" TargetMode="External"/><Relationship Id="rId92" Type="http://schemas.openxmlformats.org/officeDocument/2006/relationships/hyperlink" Target="https://www.oecd-ilibrary.org/docserver/health_glance-2017-en.pdf?expires=1564008067&amp;id=id&amp;accname=guest&amp;checksum=D0ABDB5402647B576A76E200E17FD74F" TargetMode="External"/><Relationship Id="rId118" Type="http://schemas.openxmlformats.org/officeDocument/2006/relationships/hyperlink" Target="https://stats.oecd.org/index.aspx?DataSetCode=HEALTH_STAT" TargetMode="External"/><Relationship Id="rId239" Type="http://schemas.openxmlformats.org/officeDocument/2006/relationships/hyperlink" Target="https://stats.oecd.org/index.aspx?DataSetCode=HEALTH_STAT" TargetMode="External"/><Relationship Id="rId117" Type="http://schemas.openxmlformats.org/officeDocument/2006/relationships/hyperlink" Target="https://apps.who.int/iris/bitstream/handle/10665/259951/WHO-HIS-IER-GPM-2018.1-eng.pdf;jsessionid=47FB126CD095961CAC9D15E3FBF39514?sequence=1" TargetMode="External"/><Relationship Id="rId238" Type="http://schemas.openxmlformats.org/officeDocument/2006/relationships/hyperlink" Target="https://international.commonwealthfund.org/stats/" TargetMode="External"/><Relationship Id="rId359" Type="http://schemas.openxmlformats.org/officeDocument/2006/relationships/hyperlink" Target="https://www.cdc.gov/nchs/healthy_people/hp2020/hp2020_indicators.htm" TargetMode="External"/><Relationship Id="rId116" Type="http://schemas.openxmlformats.org/officeDocument/2006/relationships/hyperlink" Target="https://wwwn.cdc.gov/psr/NationalSummary/NationalSummary.aspx" TargetMode="External"/><Relationship Id="rId237" Type="http://schemas.openxmlformats.org/officeDocument/2006/relationships/hyperlink" Target="https://apps.who.int/iris/bitstream/handle/10665/259951/WHO-HIS-IER-GPM-2018.1-eng.pdf;jsessionid=47FB126CD095961CAC9D15E3FBF39514?sequence=1" TargetMode="External"/><Relationship Id="rId358" Type="http://schemas.openxmlformats.org/officeDocument/2006/relationships/hyperlink" Target="https://stats.oecd.org/index.aspx?DataSetCode=HEALTH_STAT" TargetMode="External"/><Relationship Id="rId479" Type="http://schemas.openxmlformats.org/officeDocument/2006/relationships/hyperlink" Target="https://international.commonwealthfund.org/stats/" TargetMode="External"/><Relationship Id="rId115" Type="http://schemas.openxmlformats.org/officeDocument/2006/relationships/hyperlink" Target="https://data.worldbank.org/indicator/" TargetMode="External"/><Relationship Id="rId236" Type="http://schemas.openxmlformats.org/officeDocument/2006/relationships/hyperlink" Target="https://www.cdc.gov/nchs/healthy_people/hp2020/hp2020_indicators.htm" TargetMode="External"/><Relationship Id="rId357" Type="http://schemas.openxmlformats.org/officeDocument/2006/relationships/hyperlink" Target="https://apps.who.int/iris/bitstream/handle/10665/259951/WHO-HIS-IER-GPM-2018.1-eng.pdf;jsessionid=47FB126CD095961CAC9D15E3FBF39514?sequence=1" TargetMode="External"/><Relationship Id="rId478" Type="http://schemas.openxmlformats.org/officeDocument/2006/relationships/hyperlink" Target="https://apps.who.int/iris/bitstream/handle/10665/259951/WHO-HIS-IER-GPM-2018.1-eng.pdf;jsessionid=47FB126CD095961CAC9D15E3FBF39514?sequence=1" TargetMode="External"/><Relationship Id="rId599" Type="http://schemas.openxmlformats.org/officeDocument/2006/relationships/hyperlink" Target="https://interactives.commonwealthfund.org/2018/state-scorecard/files/Radley_State_Scorecard_2018.pdf" TargetMode="External"/><Relationship Id="rId119" Type="http://schemas.openxmlformats.org/officeDocument/2006/relationships/hyperlink" Target="https://usafacts.org/missions/promote-welfare/12" TargetMode="External"/><Relationship Id="rId110" Type="http://schemas.openxmlformats.org/officeDocument/2006/relationships/hyperlink" Target="https://data.worldbank.org/indicator/" TargetMode="External"/><Relationship Id="rId231" Type="http://schemas.openxmlformats.org/officeDocument/2006/relationships/hyperlink" Target="https://www.cms.gov/Medicare/Quality-Initiatives-Patient-Assessment-Instruments/QualityInitiativesGenInfo/MMF/General-info-Sub-Page.html" TargetMode="External"/><Relationship Id="rId352" Type="http://schemas.openxmlformats.org/officeDocument/2006/relationships/hyperlink" Target="https://stats.oecd.org/index.aspx?DataSetCode=HEALTH_STAT" TargetMode="External"/><Relationship Id="rId473" Type="http://schemas.openxmlformats.org/officeDocument/2006/relationships/hyperlink" Target="https://wwwn.cdc.gov/psr/NationalSummary/NationalSummary.aspx" TargetMode="External"/><Relationship Id="rId594" Type="http://schemas.openxmlformats.org/officeDocument/2006/relationships/hyperlink" Target="https://apps.who.int/iris/bitstream/handle/10665/259951/WHO-HIS-IER-GPM-2018.1-eng.pdf;jsessionid=47FB126CD095961CAC9D15E3FBF39514?sequence=1" TargetMode="External"/><Relationship Id="rId230" Type="http://schemas.openxmlformats.org/officeDocument/2006/relationships/hyperlink" Target="https://stats.oecd.org/index.aspx?DataSetCode=HEALTH_STAT" TargetMode="External"/><Relationship Id="rId351" Type="http://schemas.openxmlformats.org/officeDocument/2006/relationships/hyperlink" Target="https://interactives.commonwealthfund.org/2018/state-scorecard/files/Radley_State_Scorecard_2018.pdf" TargetMode="External"/><Relationship Id="rId472" Type="http://schemas.openxmlformats.org/officeDocument/2006/relationships/hyperlink" Target="https://apps.who.int/iris/bitstream/handle/10665/259951/WHO-HIS-IER-GPM-2018.1-eng.pdf;jsessionid=47FB126CD095961CAC9D15E3FBF39514?sequence=1" TargetMode="External"/><Relationship Id="rId593" Type="http://schemas.openxmlformats.org/officeDocument/2006/relationships/hyperlink" Target="https://apps.who.int/iris/bitstream/handle/10665/259951/WHO-HIS-IER-GPM-2018.1-eng.pdf;jsessionid=47FB126CD095961CAC9D15E3FBF39514?sequence=1" TargetMode="External"/><Relationship Id="rId350" Type="http://schemas.openxmlformats.org/officeDocument/2006/relationships/hyperlink" Target="https://data.worldbank.org/indicator/" TargetMode="External"/><Relationship Id="rId471" Type="http://schemas.openxmlformats.org/officeDocument/2006/relationships/hyperlink" Target="https://www.gapminder.org/data/" TargetMode="External"/><Relationship Id="rId592" Type="http://schemas.openxmlformats.org/officeDocument/2006/relationships/hyperlink" Target="https://apps.who.int/iris/bitstream/handle/10665/259951/WHO-HIS-IER-GPM-2018.1-eng.pdf;jsessionid=47FB126CD095961CAC9D15E3FBF39514?sequence=1" TargetMode="External"/><Relationship Id="rId470" Type="http://schemas.openxmlformats.org/officeDocument/2006/relationships/hyperlink" Target="https://apps.who.int/iris/bitstream/handle/10665/259951/WHO-HIS-IER-GPM-2018.1-eng.pdf;jsessionid=47FB126CD095961CAC9D15E3FBF39514?sequence=1" TargetMode="External"/><Relationship Id="rId591" Type="http://schemas.openxmlformats.org/officeDocument/2006/relationships/hyperlink" Target="https://apps.who.int/iris/bitstream/handle/10665/259951/WHO-HIS-IER-GPM-2018.1-eng.pdf;jsessionid=47FB126CD095961CAC9D15E3FBF39514?sequence=1" TargetMode="External"/><Relationship Id="rId114" Type="http://schemas.openxmlformats.org/officeDocument/2006/relationships/hyperlink" Target="https://www.gapminder.org/data/" TargetMode="External"/><Relationship Id="rId235" Type="http://schemas.openxmlformats.org/officeDocument/2006/relationships/hyperlink" Target="https://www.cms.gov/Medicare/Quality-Initiatives-Patient-Assessment-Instruments/QualityInitiativesGenInfo/MMF/General-info-Sub-Page.html" TargetMode="External"/><Relationship Id="rId356" Type="http://schemas.openxmlformats.org/officeDocument/2006/relationships/hyperlink" Target="https://www.americashealthrankings.org/explore/annual" TargetMode="External"/><Relationship Id="rId477" Type="http://schemas.openxmlformats.org/officeDocument/2006/relationships/hyperlink" Target="https://stats.oecd.org/index.aspx?DataSetCode=HEALTH_STAT" TargetMode="External"/><Relationship Id="rId598" Type="http://schemas.openxmlformats.org/officeDocument/2006/relationships/hyperlink" Target="https://interactives.commonwealthfund.org/2018/state-scorecard/files/Radley_State_Scorecard_2018.pdf" TargetMode="External"/><Relationship Id="rId113" Type="http://schemas.openxmlformats.org/officeDocument/2006/relationships/hyperlink" Target="https://usafacts.org/missions/promote-welfare/12" TargetMode="External"/><Relationship Id="rId234" Type="http://schemas.openxmlformats.org/officeDocument/2006/relationships/hyperlink" Target="https://www.americashealthrankings.org/explore/annual" TargetMode="External"/><Relationship Id="rId355" Type="http://schemas.openxmlformats.org/officeDocument/2006/relationships/hyperlink" Target="https://stats.oecd.org/index.aspx?DataSetCode=HEALTH_STAT" TargetMode="External"/><Relationship Id="rId476" Type="http://schemas.openxmlformats.org/officeDocument/2006/relationships/hyperlink" Target="https://interactives.commonwealthfund.org/2018/state-scorecard/files/Radley_State_Scorecard_2018.pdf" TargetMode="External"/><Relationship Id="rId597" Type="http://schemas.openxmlformats.org/officeDocument/2006/relationships/hyperlink" Target="https://www.cms.gov/Medicare/Quality-Initiatives-Patient-Assessment-Instruments/QualityInitiativesGenInfo/MMF/General-info-Sub-Page.html" TargetMode="External"/><Relationship Id="rId112" Type="http://schemas.openxmlformats.org/officeDocument/2006/relationships/hyperlink" Target="https://stats.oecd.org/index.aspx?DataSetCode=HEALTH_STAT" TargetMode="External"/><Relationship Id="rId233" Type="http://schemas.openxmlformats.org/officeDocument/2006/relationships/hyperlink" Target="https://stats.oecd.org/index.aspx?DataSetCode=HEALTH_STAT" TargetMode="External"/><Relationship Id="rId354" Type="http://schemas.openxmlformats.org/officeDocument/2006/relationships/hyperlink" Target="https://interactives.commonwealthfund.org/2018/state-scorecard/files/Radley_State_Scorecard_2018.pdf" TargetMode="External"/><Relationship Id="rId475" Type="http://schemas.openxmlformats.org/officeDocument/2006/relationships/hyperlink" Target="https://www.cdc.gov/nchs/healthy_people/hp2020/hp2020_indicators.htm" TargetMode="External"/><Relationship Id="rId596" Type="http://schemas.openxmlformats.org/officeDocument/2006/relationships/hyperlink" Target="https://apps.who.int/iris/bitstream/handle/10665/259951/WHO-HIS-IER-GPM-2018.1-eng.pdf;jsessionid=47FB126CD095961CAC9D15E3FBF39514?sequence=1" TargetMode="External"/><Relationship Id="rId111" Type="http://schemas.openxmlformats.org/officeDocument/2006/relationships/hyperlink" Target="https://apps.who.int/iris/bitstream/handle/10665/259951/WHO-HIS-IER-GPM-2018.1-eng.pdf;jsessionid=47FB126CD095961CAC9D15E3FBF39514?sequence=1" TargetMode="External"/><Relationship Id="rId232" Type="http://schemas.openxmlformats.org/officeDocument/2006/relationships/hyperlink" Target="https://interactives.commonwealthfund.org/2018/state-scorecard/files/Radley_State_Scorecard_2018.pdf" TargetMode="External"/><Relationship Id="rId353" Type="http://schemas.openxmlformats.org/officeDocument/2006/relationships/hyperlink" Target="https://www.americashealthrankings.org/explore/annual" TargetMode="External"/><Relationship Id="rId474" Type="http://schemas.openxmlformats.org/officeDocument/2006/relationships/hyperlink" Target="https://www.cms.gov/Medicare/Quality-Initiatives-Patient-Assessment-Instruments/QualityInitiativesGenInfo/MMF/General-info-Sub-Page.html" TargetMode="External"/><Relationship Id="rId595" Type="http://schemas.openxmlformats.org/officeDocument/2006/relationships/hyperlink" Target="https://apps.who.int/iris/bitstream/handle/10665/259951/WHO-HIS-IER-GPM-2018.1-eng.pdf;jsessionid=47FB126CD095961CAC9D15E3FBF39514?sequence=1" TargetMode="External"/><Relationship Id="rId305" Type="http://schemas.openxmlformats.org/officeDocument/2006/relationships/hyperlink" Target="https://apps.who.int/iris/bitstream/handle/10665/259951/WHO-HIS-IER-GPM-2018.1-eng.pdf;jsessionid=47FB126CD095961CAC9D15E3FBF39514?sequence=1" TargetMode="External"/><Relationship Id="rId426" Type="http://schemas.openxmlformats.org/officeDocument/2006/relationships/hyperlink" Target="https://stats.oecd.org/index.aspx?DataSetCode=HEALTH_STAT" TargetMode="External"/><Relationship Id="rId547" Type="http://schemas.openxmlformats.org/officeDocument/2006/relationships/hyperlink" Target="https://stats.oecd.org/index.aspx?DataSetCode=HEALTH_STAT" TargetMode="External"/><Relationship Id="rId304" Type="http://schemas.openxmlformats.org/officeDocument/2006/relationships/hyperlink" Target="https://www.cdc.gov/nchs/healthy_people/hp2020/hp2020_indicators.htm" TargetMode="External"/><Relationship Id="rId425" Type="http://schemas.openxmlformats.org/officeDocument/2006/relationships/hyperlink" Target="https://www.cms.gov/Medicare/Quality-Initiatives-Patient-Assessment-Instruments/QualityInitiativesGenInfo/MMF/General-info-Sub-Page.html" TargetMode="External"/><Relationship Id="rId546" Type="http://schemas.openxmlformats.org/officeDocument/2006/relationships/hyperlink" Target="https://stats.oecd.org/index.aspx?DataSetCode=HEALTH_STAT" TargetMode="External"/><Relationship Id="rId303" Type="http://schemas.openxmlformats.org/officeDocument/2006/relationships/hyperlink" Target="https://www.americashealthrankings.org/explore/annual" TargetMode="External"/><Relationship Id="rId424" Type="http://schemas.openxmlformats.org/officeDocument/2006/relationships/hyperlink" Target="https://stats.oecd.org/index.aspx?DataSetCode=HEALTH_STAT" TargetMode="External"/><Relationship Id="rId545" Type="http://schemas.openxmlformats.org/officeDocument/2006/relationships/hyperlink" Target="https://usafacts.org/missions/promote-welfare/12" TargetMode="External"/><Relationship Id="rId302" Type="http://schemas.openxmlformats.org/officeDocument/2006/relationships/hyperlink" Target="https://interactives.commonwealthfund.org/2018/state-scorecard/files/Radley_State_Scorecard_2018.pdf" TargetMode="External"/><Relationship Id="rId423" Type="http://schemas.openxmlformats.org/officeDocument/2006/relationships/hyperlink" Target="https://stats.oecd.org/index.aspx?DataSetCode=HEALTH_STAT" TargetMode="External"/><Relationship Id="rId544" Type="http://schemas.openxmlformats.org/officeDocument/2006/relationships/hyperlink" Target="https://data.worldbank.org/indicator/" TargetMode="External"/><Relationship Id="rId309" Type="http://schemas.openxmlformats.org/officeDocument/2006/relationships/hyperlink" Target="https://stats.oecd.org/index.aspx?DataSetCode=HEALTH_STAT" TargetMode="External"/><Relationship Id="rId308" Type="http://schemas.openxmlformats.org/officeDocument/2006/relationships/hyperlink" Target="https://international.commonwealthfund.org/stats/" TargetMode="External"/><Relationship Id="rId429" Type="http://schemas.openxmlformats.org/officeDocument/2006/relationships/hyperlink" Target="https://wwwn.cdc.gov/psr/NationalSummary/NationalSummary.aspx" TargetMode="External"/><Relationship Id="rId307" Type="http://schemas.openxmlformats.org/officeDocument/2006/relationships/hyperlink" Target="https://apps.who.int/iris/bitstream/handle/10665/259951/WHO-HIS-IER-GPM-2018.1-eng.pdf;jsessionid=47FB126CD095961CAC9D15E3FBF39514?sequence=1" TargetMode="External"/><Relationship Id="rId428" Type="http://schemas.openxmlformats.org/officeDocument/2006/relationships/hyperlink" Target="https://stats.oecd.org/index.aspx?DataSetCode=HEALTH_STAT" TargetMode="External"/><Relationship Id="rId549" Type="http://schemas.openxmlformats.org/officeDocument/2006/relationships/hyperlink" Target="https://stats.oecd.org/index.aspx?DataSetCode=HEALTH_STAT" TargetMode="External"/><Relationship Id="rId306" Type="http://schemas.openxmlformats.org/officeDocument/2006/relationships/hyperlink" Target="https://stats.oecd.org/index.aspx?DataSetCode=HEALTH_STAT" TargetMode="External"/><Relationship Id="rId427" Type="http://schemas.openxmlformats.org/officeDocument/2006/relationships/hyperlink" Target="https://www.cms.gov/Medicare/Quality-Initiatives-Patient-Assessment-Instruments/QualityInitiativesGenInfo/MMF/General-info-Sub-Page.html" TargetMode="External"/><Relationship Id="rId548" Type="http://schemas.openxmlformats.org/officeDocument/2006/relationships/hyperlink" Target="https://stats.oecd.org/index.aspx?DataSetCode=HEALTH_STAT" TargetMode="External"/><Relationship Id="rId301" Type="http://schemas.openxmlformats.org/officeDocument/2006/relationships/hyperlink" Target="https://www.cdc.gov/nchs/healthy_people/hp2020/hp2020_indicators.htm" TargetMode="External"/><Relationship Id="rId422" Type="http://schemas.openxmlformats.org/officeDocument/2006/relationships/hyperlink" Target="https://apps.who.int/iris/bitstream/handle/10665/259951/WHO-HIS-IER-GPM-2018.1-eng.pdf;jsessionid=47FB126CD095961CAC9D15E3FBF39514?sequence=1" TargetMode="External"/><Relationship Id="rId543" Type="http://schemas.openxmlformats.org/officeDocument/2006/relationships/hyperlink" Target="https://data.worldbank.org/indicator/" TargetMode="External"/><Relationship Id="rId300" Type="http://schemas.openxmlformats.org/officeDocument/2006/relationships/hyperlink" Target="https://www.americashealthrankings.org/explore/annual" TargetMode="External"/><Relationship Id="rId421" Type="http://schemas.openxmlformats.org/officeDocument/2006/relationships/hyperlink" Target="https://stats.oecd.org/index.aspx?DataSetCode=HEALTH_STAT" TargetMode="External"/><Relationship Id="rId542" Type="http://schemas.openxmlformats.org/officeDocument/2006/relationships/hyperlink" Target="https://www.americashealthrankings.org/explore/annual" TargetMode="External"/><Relationship Id="rId420" Type="http://schemas.openxmlformats.org/officeDocument/2006/relationships/hyperlink" Target="https://apps.who.int/iris/bitstream/handle/10665/259951/WHO-HIS-IER-GPM-2018.1-eng.pdf;jsessionid=47FB126CD095961CAC9D15E3FBF39514?sequence=1" TargetMode="External"/><Relationship Id="rId541" Type="http://schemas.openxmlformats.org/officeDocument/2006/relationships/hyperlink" Target="https://www.americashealthrankings.org/explore/annual" TargetMode="External"/><Relationship Id="rId540" Type="http://schemas.openxmlformats.org/officeDocument/2006/relationships/hyperlink" Target="https://www.americashealthrankings.org/explore/annual" TargetMode="External"/><Relationship Id="rId415" Type="http://schemas.openxmlformats.org/officeDocument/2006/relationships/hyperlink" Target="http://www.paho.org/data/index.php/en/indicators/visualization.html" TargetMode="External"/><Relationship Id="rId536" Type="http://schemas.openxmlformats.org/officeDocument/2006/relationships/hyperlink" Target="http://www.paho.org/data/index.php/en/indicators/visualization.html" TargetMode="External"/><Relationship Id="rId414" Type="http://schemas.openxmlformats.org/officeDocument/2006/relationships/hyperlink" Target="https://www.americashealthrankings.org/explore/annual" TargetMode="External"/><Relationship Id="rId535" Type="http://schemas.openxmlformats.org/officeDocument/2006/relationships/hyperlink" Target="https://www.americashealthrankings.org/explore/annual" TargetMode="External"/><Relationship Id="rId413" Type="http://schemas.openxmlformats.org/officeDocument/2006/relationships/hyperlink" Target="http://www.paho.org/data/index.php/en/indicators/visualization.html" TargetMode="External"/><Relationship Id="rId534" Type="http://schemas.openxmlformats.org/officeDocument/2006/relationships/hyperlink" Target="http://www.paho.org/data/index.php/en/indicators/visualization.html" TargetMode="External"/><Relationship Id="rId412" Type="http://schemas.openxmlformats.org/officeDocument/2006/relationships/hyperlink" Target="http://www.paho.org/data/index.php/en/indicators/visualization.html" TargetMode="External"/><Relationship Id="rId533" Type="http://schemas.openxmlformats.org/officeDocument/2006/relationships/hyperlink" Target="http://www.paho.org/data/index.php/en/indicators/visualization.html" TargetMode="External"/><Relationship Id="rId419" Type="http://schemas.openxmlformats.org/officeDocument/2006/relationships/hyperlink" Target="https://stats.oecd.org/index.aspx?DataSetCode=HEALTH_STAT" TargetMode="External"/><Relationship Id="rId418" Type="http://schemas.openxmlformats.org/officeDocument/2006/relationships/hyperlink" Target="https://www.americashealthrankings.org/explore/annual" TargetMode="External"/><Relationship Id="rId539" Type="http://schemas.openxmlformats.org/officeDocument/2006/relationships/hyperlink" Target="https://www.americashealthrankings.org/explore/annual" TargetMode="External"/><Relationship Id="rId417" Type="http://schemas.openxmlformats.org/officeDocument/2006/relationships/hyperlink" Target="https://www.americashealthrankings.org/explore/annual" TargetMode="External"/><Relationship Id="rId538" Type="http://schemas.openxmlformats.org/officeDocument/2006/relationships/hyperlink" Target="https://data.worldbank.org/indicator/" TargetMode="External"/><Relationship Id="rId416" Type="http://schemas.openxmlformats.org/officeDocument/2006/relationships/hyperlink" Target="http://www.paho.org/data/index.php/en/indicators/visualization.html" TargetMode="External"/><Relationship Id="rId537" Type="http://schemas.openxmlformats.org/officeDocument/2006/relationships/hyperlink" Target="http://www.paho.org/data/index.php/en/indicators/visualization.html" TargetMode="External"/><Relationship Id="rId411" Type="http://schemas.openxmlformats.org/officeDocument/2006/relationships/hyperlink" Target="https://www.americashealthrankings.org/explore/annual" TargetMode="External"/><Relationship Id="rId532" Type="http://schemas.openxmlformats.org/officeDocument/2006/relationships/hyperlink" Target="http://www.paho.org/data/index.php/en/indicators/visualization.html" TargetMode="External"/><Relationship Id="rId410" Type="http://schemas.openxmlformats.org/officeDocument/2006/relationships/hyperlink" Target="https://data.worldbank.org/indicator/" TargetMode="External"/><Relationship Id="rId531" Type="http://schemas.openxmlformats.org/officeDocument/2006/relationships/hyperlink" Target="http://www.paho.org/data/index.php/en/indicators/visualization.html" TargetMode="External"/><Relationship Id="rId530" Type="http://schemas.openxmlformats.org/officeDocument/2006/relationships/hyperlink" Target="https://usafacts.org/missions/promote-welfare/12" TargetMode="External"/><Relationship Id="rId206" Type="http://schemas.openxmlformats.org/officeDocument/2006/relationships/hyperlink" Target="https://www.gapminder.org/data/" TargetMode="External"/><Relationship Id="rId327" Type="http://schemas.openxmlformats.org/officeDocument/2006/relationships/hyperlink" Target="https://www.americashealthrankings.org/explore/annual" TargetMode="External"/><Relationship Id="rId448" Type="http://schemas.openxmlformats.org/officeDocument/2006/relationships/hyperlink" Target="https://www.cms.gov/Medicare/Quality-Initiatives-Patient-Assessment-Instruments/QualityInitiativesGenInfo/MMF/General-info-Sub-Page.html" TargetMode="External"/><Relationship Id="rId569" Type="http://schemas.openxmlformats.org/officeDocument/2006/relationships/hyperlink" Target="https://www.cdc.gov/nchs/healthy_people/hp2020/hp2020_indicators.htm" TargetMode="External"/><Relationship Id="rId205" Type="http://schemas.openxmlformats.org/officeDocument/2006/relationships/hyperlink" Target="https://stats.oecd.org/index.aspx?DataSetCode=HEALTH_STAT" TargetMode="External"/><Relationship Id="rId326" Type="http://schemas.openxmlformats.org/officeDocument/2006/relationships/hyperlink" Target="https://usafacts.org/missions/promote-welfare/12" TargetMode="External"/><Relationship Id="rId447" Type="http://schemas.openxmlformats.org/officeDocument/2006/relationships/hyperlink" Target="https://www.americashealthrankings.org/explore/annual" TargetMode="External"/><Relationship Id="rId568" Type="http://schemas.openxmlformats.org/officeDocument/2006/relationships/hyperlink" Target="https://interactives.commonwealthfund.org/2018/state-scorecard/files/Radley_State_Scorecard_2018.pdf" TargetMode="External"/><Relationship Id="rId204" Type="http://schemas.openxmlformats.org/officeDocument/2006/relationships/hyperlink" Target="https://apps.who.int/iris/bitstream/handle/10665/259951/WHO-HIS-IER-GPM-2018.1-eng.pdf;jsessionid=47FB126CD095961CAC9D15E3FBF39514?sequence=1" TargetMode="External"/><Relationship Id="rId325" Type="http://schemas.openxmlformats.org/officeDocument/2006/relationships/hyperlink" Target="https://www.oecd-ilibrary.org/social-issues-migration-health/health-at-a-glance-2017_health_glance-2017-en" TargetMode="External"/><Relationship Id="rId446" Type="http://schemas.openxmlformats.org/officeDocument/2006/relationships/hyperlink" Target="https://stats.oecd.org/index.aspx?DataSetCode=HEALTH_STAT" TargetMode="External"/><Relationship Id="rId567" Type="http://schemas.openxmlformats.org/officeDocument/2006/relationships/hyperlink" Target="https://www.americashealthrankings.org/explore/annual" TargetMode="External"/><Relationship Id="rId203" Type="http://schemas.openxmlformats.org/officeDocument/2006/relationships/hyperlink" Target="https://www.cdc.gov/nchs/healthy_people/hp2020/hp2020_indicators.htm" TargetMode="External"/><Relationship Id="rId324" Type="http://schemas.openxmlformats.org/officeDocument/2006/relationships/hyperlink" Target="https://www.gapminder.org/data/" TargetMode="External"/><Relationship Id="rId445" Type="http://schemas.openxmlformats.org/officeDocument/2006/relationships/hyperlink" Target="https://stats.oecd.org/index.aspx?DataSetCode=HEALTH_STAT" TargetMode="External"/><Relationship Id="rId566" Type="http://schemas.openxmlformats.org/officeDocument/2006/relationships/hyperlink" Target="https://apps.who.int/iris/bitstream/handle/10665/259951/WHO-HIS-IER-GPM-2018.1-eng.pdf;jsessionid=47FB126CD095961CAC9D15E3FBF39514?sequence=1" TargetMode="External"/><Relationship Id="rId209" Type="http://schemas.openxmlformats.org/officeDocument/2006/relationships/hyperlink" Target="https://usafacts.org/missions/promote-welfare/12" TargetMode="External"/><Relationship Id="rId208" Type="http://schemas.openxmlformats.org/officeDocument/2006/relationships/hyperlink" Target="https://stats.oecd.org/index.aspx?DataSetCode=HEALTH_STAT" TargetMode="External"/><Relationship Id="rId329" Type="http://schemas.openxmlformats.org/officeDocument/2006/relationships/hyperlink" Target="https://apps.who.int/iris/bitstream/handle/10665/259951/WHO-HIS-IER-GPM-2018.1-eng.pdf;jsessionid=47FB126CD095961CAC9D15E3FBF39514?sequence=1" TargetMode="External"/><Relationship Id="rId207" Type="http://schemas.openxmlformats.org/officeDocument/2006/relationships/hyperlink" Target="https://www.americashealthrankings.org/explore/annual" TargetMode="External"/><Relationship Id="rId328" Type="http://schemas.openxmlformats.org/officeDocument/2006/relationships/hyperlink" Target="https://www.cdc.gov/tb/statistics/default.htm" TargetMode="External"/><Relationship Id="rId449" Type="http://schemas.openxmlformats.org/officeDocument/2006/relationships/hyperlink" Target="https://apps.who.int/iris/bitstream/handle/10665/259951/WHO-HIS-IER-GPM-2018.1-eng.pdf;jsessionid=47FB126CD095961CAC9D15E3FBF39514?sequence=1" TargetMode="External"/><Relationship Id="rId440" Type="http://schemas.openxmlformats.org/officeDocument/2006/relationships/hyperlink" Target="https://apps.who.int/iris/bitstream/handle/10665/259951/WHO-HIS-IER-GPM-2018.1-eng.pdf;jsessionid=47FB126CD095961CAC9D15E3FBF39514?sequence=1" TargetMode="External"/><Relationship Id="rId561" Type="http://schemas.openxmlformats.org/officeDocument/2006/relationships/hyperlink" Target="https://www.americashealthrankings.org/explore/annual" TargetMode="External"/><Relationship Id="rId560" Type="http://schemas.openxmlformats.org/officeDocument/2006/relationships/hyperlink" Target="https://apps.who.int/iris/bitstream/handle/10665/259951/WHO-HIS-IER-GPM-2018.1-eng.pdf;jsessionid=47FB126CD095961CAC9D15E3FBF39514?sequence=1" TargetMode="External"/><Relationship Id="rId202" Type="http://schemas.openxmlformats.org/officeDocument/2006/relationships/hyperlink" Target="https://data.worldbank.org/indicator/" TargetMode="External"/><Relationship Id="rId323" Type="http://schemas.openxmlformats.org/officeDocument/2006/relationships/hyperlink" Target="https://usafacts.org/missions/promote-welfare/12" TargetMode="External"/><Relationship Id="rId444" Type="http://schemas.openxmlformats.org/officeDocument/2006/relationships/hyperlink" Target="https://apps.who.int/iris/bitstream/handle/10665/259951/WHO-HIS-IER-GPM-2018.1-eng.pdf;jsessionid=47FB126CD095961CAC9D15E3FBF39514?sequence=1" TargetMode="External"/><Relationship Id="rId565" Type="http://schemas.openxmlformats.org/officeDocument/2006/relationships/hyperlink" Target="https://apps.who.int/iris/bitstream/handle/10665/259951/WHO-HIS-IER-GPM-2018.1-eng.pdf;jsessionid=47FB126CD095961CAC9D15E3FBF39514?sequence=1" TargetMode="External"/><Relationship Id="rId201" Type="http://schemas.openxmlformats.org/officeDocument/2006/relationships/hyperlink" Target="https://www.americashealthrankings.org/explore/annual" TargetMode="External"/><Relationship Id="rId322" Type="http://schemas.openxmlformats.org/officeDocument/2006/relationships/hyperlink" Target="https://www.oecd-ilibrary.org/social-issues-migration-health/health-at-a-glance-2017_health_glance-2017-en" TargetMode="External"/><Relationship Id="rId443" Type="http://schemas.openxmlformats.org/officeDocument/2006/relationships/hyperlink" Target="https://stats.oecd.org/index.aspx?DataSetCode=HEALTH_STAT" TargetMode="External"/><Relationship Id="rId564" Type="http://schemas.openxmlformats.org/officeDocument/2006/relationships/hyperlink" Target="https://apps.who.int/iris/bitstream/handle/10665/259951/WHO-HIS-IER-GPM-2018.1-eng.pdf;jsessionid=47FB126CD095961CAC9D15E3FBF39514?sequence=1" TargetMode="External"/><Relationship Id="rId200" Type="http://schemas.openxmlformats.org/officeDocument/2006/relationships/hyperlink" Target="https://stats.oecd.org/index.aspx?DataSetCode=HEALTH_STAT" TargetMode="External"/><Relationship Id="rId321" Type="http://schemas.openxmlformats.org/officeDocument/2006/relationships/hyperlink" Target="https://international.commonwealthfund.org/stats/" TargetMode="External"/><Relationship Id="rId442" Type="http://schemas.openxmlformats.org/officeDocument/2006/relationships/hyperlink" Target="https://apps.who.int/iris/bitstream/handle/10665/259951/WHO-HIS-IER-GPM-2018.1-eng.pdf;jsessionid=47FB126CD095961CAC9D15E3FBF39514?sequence=1" TargetMode="External"/><Relationship Id="rId563" Type="http://schemas.openxmlformats.org/officeDocument/2006/relationships/hyperlink" Target="https://usafacts.org/missions/promote-welfare/12" TargetMode="External"/><Relationship Id="rId320" Type="http://schemas.openxmlformats.org/officeDocument/2006/relationships/hyperlink" Target="https://data.worldbank.org/indicator/" TargetMode="External"/><Relationship Id="rId441" Type="http://schemas.openxmlformats.org/officeDocument/2006/relationships/hyperlink" Target="https://stats.oecd.org/index.aspx?DataSetCode=HEALTH_STAT" TargetMode="External"/><Relationship Id="rId562" Type="http://schemas.openxmlformats.org/officeDocument/2006/relationships/hyperlink" Target="https://www.americashealthrankings.org/explore/annual" TargetMode="External"/><Relationship Id="rId316" Type="http://schemas.openxmlformats.org/officeDocument/2006/relationships/hyperlink" Target="https://interactives.commonwealthfund.org/2018/state-scorecard/files/Radley_State_Scorecard_2018.pdf" TargetMode="External"/><Relationship Id="rId437" Type="http://schemas.openxmlformats.org/officeDocument/2006/relationships/hyperlink" Target="https://stats.oecd.org/index.aspx?DataSetCode=HEALTH_STAT" TargetMode="External"/><Relationship Id="rId558" Type="http://schemas.openxmlformats.org/officeDocument/2006/relationships/hyperlink" Target="https://apps.who.int/iris/bitstream/handle/10665/259951/WHO-HIS-IER-GPM-2018.1-eng.pdf;jsessionid=47FB126CD095961CAC9D15E3FBF39514?sequence=1" TargetMode="External"/><Relationship Id="rId315" Type="http://schemas.openxmlformats.org/officeDocument/2006/relationships/hyperlink" Target="https://apps.who.int/iris/bitstream/handle/10665/259951/WHO-HIS-IER-GPM-2018.1-eng.pdf;jsessionid=47FB126CD095961CAC9D15E3FBF39514?sequence=1" TargetMode="External"/><Relationship Id="rId436" Type="http://schemas.openxmlformats.org/officeDocument/2006/relationships/hyperlink" Target="https://apps.who.int/iris/bitstream/handle/10665/259951/WHO-HIS-IER-GPM-2018.1-eng.pdf;jsessionid=47FB126CD095961CAC9D15E3FBF39514?sequence=1" TargetMode="External"/><Relationship Id="rId557" Type="http://schemas.openxmlformats.org/officeDocument/2006/relationships/hyperlink" Target="https://apps.who.int/iris/bitstream/handle/10665/259951/WHO-HIS-IER-GPM-2018.1-eng.pdf;jsessionid=47FB126CD095961CAC9D15E3FBF39514?sequence=1" TargetMode="External"/><Relationship Id="rId314" Type="http://schemas.openxmlformats.org/officeDocument/2006/relationships/hyperlink" Target="https://www.gapminder.org/data/" TargetMode="External"/><Relationship Id="rId435" Type="http://schemas.openxmlformats.org/officeDocument/2006/relationships/hyperlink" Target="https://stats.oecd.org/index.aspx?DataSetCode=HEALTH_STAT" TargetMode="External"/><Relationship Id="rId556" Type="http://schemas.openxmlformats.org/officeDocument/2006/relationships/hyperlink" Target="https://stats.oecd.org/index.aspx?DataSetCode=HEALTH_STAT" TargetMode="External"/><Relationship Id="rId313" Type="http://schemas.openxmlformats.org/officeDocument/2006/relationships/hyperlink" Target="https://usafacts.org/missions/promote-welfare/12" TargetMode="External"/><Relationship Id="rId434" Type="http://schemas.openxmlformats.org/officeDocument/2006/relationships/hyperlink" Target="https://apps.who.int/iris/bitstream/handle/10665/259951/WHO-HIS-IER-GPM-2018.1-eng.pdf;jsessionid=47FB126CD095961CAC9D15E3FBF39514?sequence=1" TargetMode="External"/><Relationship Id="rId555" Type="http://schemas.openxmlformats.org/officeDocument/2006/relationships/hyperlink" Target="https://www.americashealthrankings.org/explore/annual" TargetMode="External"/><Relationship Id="rId319" Type="http://schemas.openxmlformats.org/officeDocument/2006/relationships/hyperlink" Target="https://interactives.commonwealthfund.org/2018/state-scorecard/files/Radley_State_Scorecard_2018.pdf" TargetMode="External"/><Relationship Id="rId318" Type="http://schemas.openxmlformats.org/officeDocument/2006/relationships/hyperlink" Target="https://apps.who.int/iris/bitstream/handle/10665/259951/WHO-HIS-IER-GPM-2018.1-eng.pdf;jsessionid=47FB126CD095961CAC9D15E3FBF39514?sequence=1" TargetMode="External"/><Relationship Id="rId439" Type="http://schemas.openxmlformats.org/officeDocument/2006/relationships/hyperlink" Target="https://stats.oecd.org/index.aspx?DataSetCode=HEALTH_STAT" TargetMode="External"/><Relationship Id="rId317" Type="http://schemas.openxmlformats.org/officeDocument/2006/relationships/hyperlink" Target="https://data.worldbank.org/indicator/" TargetMode="External"/><Relationship Id="rId438" Type="http://schemas.openxmlformats.org/officeDocument/2006/relationships/hyperlink" Target="https://apps.who.int/iris/bitstream/handle/10665/259951/WHO-HIS-IER-GPM-2018.1-eng.pdf;jsessionid=47FB126CD095961CAC9D15E3FBF39514?sequence=1" TargetMode="External"/><Relationship Id="rId559" Type="http://schemas.openxmlformats.org/officeDocument/2006/relationships/hyperlink" Target="https://apps.who.int/iris/bitstream/handle/10665/259951/WHO-HIS-IER-GPM-2018.1-eng.pdf;jsessionid=47FB126CD095961CAC9D15E3FBF39514?sequence=1" TargetMode="External"/><Relationship Id="rId550" Type="http://schemas.openxmlformats.org/officeDocument/2006/relationships/hyperlink" Target="https://usafacts.org/missions/promote-welfare/12" TargetMode="External"/><Relationship Id="rId312" Type="http://schemas.openxmlformats.org/officeDocument/2006/relationships/hyperlink" Target="https://www.oecd-ilibrary.org/docserver/health_glance-2017-en.pdf?expires=1564008067&amp;id=id&amp;accname=guest&amp;checksum=D0ABDB5402647B576A76E200E17FD74F" TargetMode="External"/><Relationship Id="rId433" Type="http://schemas.openxmlformats.org/officeDocument/2006/relationships/hyperlink" Target="https://stats.oecd.org/index.aspx?DataSetCode=HEALTH_STAT" TargetMode="External"/><Relationship Id="rId554" Type="http://schemas.openxmlformats.org/officeDocument/2006/relationships/hyperlink" Target="https://www.americashealthrankings.org/explore/annual" TargetMode="External"/><Relationship Id="rId311" Type="http://schemas.openxmlformats.org/officeDocument/2006/relationships/hyperlink" Target="https://apps.who.int/iris/bitstream/handle/10665/259951/WHO-HIS-IER-GPM-2018.1-eng.pdf;jsessionid=47FB126CD095961CAC9D15E3FBF39514?sequence=1" TargetMode="External"/><Relationship Id="rId432" Type="http://schemas.openxmlformats.org/officeDocument/2006/relationships/hyperlink" Target="https://apps.who.int/iris/bitstream/handle/10665/259951/WHO-HIS-IER-GPM-2018.1-eng.pdf;jsessionid=47FB126CD095961CAC9D15E3FBF39514?sequence=1" TargetMode="External"/><Relationship Id="rId553" Type="http://schemas.openxmlformats.org/officeDocument/2006/relationships/hyperlink" Target="https://interactives.commonwealthfund.org/2018/state-scorecard/files/Radley_State_Scorecard_2018.pdf" TargetMode="External"/><Relationship Id="rId310" Type="http://schemas.openxmlformats.org/officeDocument/2006/relationships/hyperlink" Target="https://usafacts.org/missions/promote-welfare/12" TargetMode="External"/><Relationship Id="rId431" Type="http://schemas.openxmlformats.org/officeDocument/2006/relationships/hyperlink" Target="https://stats.oecd.org/index.aspx?DataSetCode=HEALTH_STAT" TargetMode="External"/><Relationship Id="rId552" Type="http://schemas.openxmlformats.org/officeDocument/2006/relationships/hyperlink" Target="https://interactives.commonwealthfund.org/2018/state-scorecard/files/Radley_State_Scorecard_2018.pdf" TargetMode="External"/><Relationship Id="rId430" Type="http://schemas.openxmlformats.org/officeDocument/2006/relationships/hyperlink" Target="https://apps.who.int/iris/bitstream/handle/10665/259951/WHO-HIS-IER-GPM-2018.1-eng.pdf;jsessionid=47FB126CD095961CAC9D15E3FBF39514?sequence=1" TargetMode="External"/><Relationship Id="rId551" Type="http://schemas.openxmlformats.org/officeDocument/2006/relationships/hyperlink" Target="https://www.oecd-ilibrary.org/docserver/health_glance-2017-en.pdf?expires=1564008067&amp;id=id&amp;accname=guest&amp;checksum=D0ABDB5402647B576A76E200E17FD74F"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usafacts.org/missions/promote-welfare/12" TargetMode="External"/><Relationship Id="rId194" Type="http://schemas.openxmlformats.org/officeDocument/2006/relationships/hyperlink" Target="https://stats.oecd.org/index.aspx?DataSetCode=HEALTH_STAT" TargetMode="External"/><Relationship Id="rId193" Type="http://schemas.openxmlformats.org/officeDocument/2006/relationships/hyperlink" Target="https://interactives.commonwealthfund.org/2018/state-scorecard/files/Radley_State_Scorecard_2018.pdf" TargetMode="External"/><Relationship Id="rId192" Type="http://schemas.openxmlformats.org/officeDocument/2006/relationships/hyperlink" Target="https://apps.who.int/iris/bitstream/handle/10665/259951/WHO-HIS-IER-GPM-2018.1-eng.pdf;jsessionid=47FB126CD095961CAC9D15E3FBF39514?sequence=1" TargetMode="External"/><Relationship Id="rId191" Type="http://schemas.openxmlformats.org/officeDocument/2006/relationships/hyperlink" Target="https://www.americashealthrankings.org/explore/annual" TargetMode="External"/><Relationship Id="rId187" Type="http://schemas.openxmlformats.org/officeDocument/2006/relationships/hyperlink" Target="https://international.commonwealthfund.org/stats/" TargetMode="External"/><Relationship Id="rId186" Type="http://schemas.openxmlformats.org/officeDocument/2006/relationships/hyperlink" Target="https://apps.who.int/iris/bitstream/handle/10665/259951/WHO-HIS-IER-GPM-2018.1-eng.pdf;jsessionid=47FB126CD095961CAC9D15E3FBF39514?sequence=1" TargetMode="External"/><Relationship Id="rId185" Type="http://schemas.openxmlformats.org/officeDocument/2006/relationships/hyperlink" Target="https://www.americashealthrankings.org/explore/annual" TargetMode="External"/><Relationship Id="rId184" Type="http://schemas.openxmlformats.org/officeDocument/2006/relationships/hyperlink" Target="https://apps.who.int/iris/bitstream/handle/10665/259951/WHO-HIS-IER-GPM-2018.1-eng.pdf;jsessionid=47FB126CD095961CAC9D15E3FBF39514?sequence=1" TargetMode="External"/><Relationship Id="rId189" Type="http://schemas.openxmlformats.org/officeDocument/2006/relationships/hyperlink" Target="https://stats.oecd.org/index.aspx?DataSetCode=HEALTH_STAT" TargetMode="External"/><Relationship Id="rId188" Type="http://schemas.openxmlformats.org/officeDocument/2006/relationships/hyperlink" Target="https://interactives.commonwealthfund.org/2018/state-scorecard/files/Radley_State_Scorecard_2018.pdf" TargetMode="External"/><Relationship Id="rId183" Type="http://schemas.openxmlformats.org/officeDocument/2006/relationships/hyperlink" Target="https://apps.who.int/iris/bitstream/handle/10665/259951/WHO-HIS-IER-GPM-2018.1-eng.pdf;jsessionid=47FB126CD095961CAC9D15E3FBF39514?sequence=1" TargetMode="External"/><Relationship Id="rId182" Type="http://schemas.openxmlformats.org/officeDocument/2006/relationships/hyperlink" Target="https://apps.who.int/iris/bitstream/handle/10665/259951/WHO-HIS-IER-GPM-2018.1-eng.pdf;jsessionid=47FB126CD095961CAC9D15E3FBF39514?sequence=1" TargetMode="External"/><Relationship Id="rId181" Type="http://schemas.openxmlformats.org/officeDocument/2006/relationships/hyperlink" Target="https://www.cdc.gov/nchs/healthy_people/hp2020/hp2020_indicators.htm" TargetMode="External"/><Relationship Id="rId180" Type="http://schemas.openxmlformats.org/officeDocument/2006/relationships/hyperlink" Target="https://www.cms.gov/Medicare/Quality-Initiatives-Patient-Assessment-Instruments/QualityInitiativesGenInfo/MMF/General-info-Sub-Page.html" TargetMode="External"/><Relationship Id="rId176" Type="http://schemas.openxmlformats.org/officeDocument/2006/relationships/hyperlink" Target="https://apps.who.int/iris/bitstream/handle/10665/259951/WHO-HIS-IER-GPM-2018.1-eng.pdf;jsessionid=47FB126CD095961CAC9D15E3FBF39514?sequence=1" TargetMode="External"/><Relationship Id="rId175" Type="http://schemas.openxmlformats.org/officeDocument/2006/relationships/hyperlink" Target="https://data.worldbank.org/indicator/" TargetMode="External"/><Relationship Id="rId174" Type="http://schemas.openxmlformats.org/officeDocument/2006/relationships/hyperlink" Target="https://apps.who.int/iris/bitstream/handle/10665/259951/WHO-HIS-IER-GPM-2018.1-eng.pdf;jsessionid=47FB126CD095961CAC9D15E3FBF39514?sequence=1" TargetMode="External"/><Relationship Id="rId173" Type="http://schemas.openxmlformats.org/officeDocument/2006/relationships/hyperlink" Target="https://www.cdc.gov/nchs/healthy_people/hp2020/hp2020_indicators.htm" TargetMode="External"/><Relationship Id="rId179" Type="http://schemas.openxmlformats.org/officeDocument/2006/relationships/hyperlink" Target="https://data.worldbank.org/indicator/" TargetMode="External"/><Relationship Id="rId178" Type="http://schemas.openxmlformats.org/officeDocument/2006/relationships/hyperlink" Target="https://apps.who.int/iris/bitstream/handle/10665/259951/WHO-HIS-IER-GPM-2018.1-eng.pdf;jsessionid=47FB126CD095961CAC9D15E3FBF39514?sequence=1" TargetMode="External"/><Relationship Id="rId177" Type="http://schemas.openxmlformats.org/officeDocument/2006/relationships/hyperlink" Target="https://data.worldbank.org/indicator/" TargetMode="External"/><Relationship Id="rId198" Type="http://schemas.openxmlformats.org/officeDocument/2006/relationships/hyperlink" Target="https://stats.oecd.org/index.aspx?DataSetCode=HEALTH_STAT" TargetMode="External"/><Relationship Id="rId197" Type="http://schemas.openxmlformats.org/officeDocument/2006/relationships/hyperlink" Target="https://apps.who.int/iris/bitstream/handle/10665/259951/WHO-HIS-IER-GPM-2018.1-eng.pdf;jsessionid=47FB126CD095961CAC9D15E3FBF39514?sequence=1" TargetMode="External"/><Relationship Id="rId196" Type="http://schemas.openxmlformats.org/officeDocument/2006/relationships/hyperlink" Target="https://www.americashealthrankings.org/explore/annual" TargetMode="External"/><Relationship Id="rId195" Type="http://schemas.openxmlformats.org/officeDocument/2006/relationships/hyperlink" Target="https://usafacts.org/missions/promote-welfare/12" TargetMode="External"/><Relationship Id="rId199" Type="http://schemas.openxmlformats.org/officeDocument/2006/relationships/hyperlink" Target="https://usafacts.org/missions/promote-welfare/12" TargetMode="External"/><Relationship Id="rId150" Type="http://schemas.openxmlformats.org/officeDocument/2006/relationships/hyperlink" Target="https://usafacts.org/missions/promote-welfare/12" TargetMode="External"/><Relationship Id="rId392" Type="http://schemas.openxmlformats.org/officeDocument/2006/relationships/hyperlink" Target="https://usafacts.org/missions/promote-welfare/12" TargetMode="External"/><Relationship Id="rId391" Type="http://schemas.openxmlformats.org/officeDocument/2006/relationships/hyperlink" Target="https://www.oecd-ilibrary.org/docserver/health_glance-2017-en.pdf?expires=1564008067&amp;id=id&amp;accname=guest&amp;checksum=D0ABDB5402647B576A76E200E17FD74F" TargetMode="External"/><Relationship Id="rId390" Type="http://schemas.openxmlformats.org/officeDocument/2006/relationships/hyperlink" Target="https://apps.who.int/iris/bitstream/handle/10665/259951/WHO-HIS-IER-GPM-2018.1-eng.pdf;jsessionid=47FB126CD095961CAC9D15E3FBF39514?sequence=1" TargetMode="External"/><Relationship Id="rId1" Type="http://schemas.openxmlformats.org/officeDocument/2006/relationships/hyperlink" Target="https://www.americashealthrankings.org/explore/health-of-women-and-children/measure/IMR_MCH/state/ALL" TargetMode="External"/><Relationship Id="rId2" Type="http://schemas.openxmlformats.org/officeDocument/2006/relationships/hyperlink" Target="https://apps.who.int/iris/bitstream/handle/10665/259951/WHO-HIS-IER-GPM-2018.1-eng.pdf;jsessionid=47FB126CD095961CAC9D15E3FBF39514?sequence=1" TargetMode="External"/><Relationship Id="rId3" Type="http://schemas.openxmlformats.org/officeDocument/2006/relationships/hyperlink" Target="https://interactives.commonwealthfund.org/2018/state-scorecard/files/Radley_State_Scorecard_2018.pdf" TargetMode="External"/><Relationship Id="rId149" Type="http://schemas.openxmlformats.org/officeDocument/2006/relationships/hyperlink" Target="https://stats.oecd.org/index.aspx?DataSetCode=HEALTH_STAT" TargetMode="External"/><Relationship Id="rId4" Type="http://schemas.openxmlformats.org/officeDocument/2006/relationships/hyperlink" Target="https://stats.oecd.org/index.aspx?DataSetCode=HEALTH_STAT" TargetMode="External"/><Relationship Id="rId148" Type="http://schemas.openxmlformats.org/officeDocument/2006/relationships/hyperlink" Target="https://wwwn.cdc.gov/psr/NationalSummary/NationalSummary.aspx" TargetMode="External"/><Relationship Id="rId1090" Type="http://schemas.openxmlformats.org/officeDocument/2006/relationships/hyperlink" Target="https://data.worldbank.org/indicator/" TargetMode="External"/><Relationship Id="rId1091" Type="http://schemas.openxmlformats.org/officeDocument/2006/relationships/hyperlink" Target="https://apps.who.int/iris/bitstream/handle/10665/259951/WHO-HIS-IER-GPM-2018.1-eng.pdf;jsessionid=47FB126CD095961CAC9D15E3FBF39514?sequence=1" TargetMode="External"/><Relationship Id="rId1092" Type="http://schemas.openxmlformats.org/officeDocument/2006/relationships/hyperlink" Target="https://apps.who.int/iris/bitstream/handle/10665/259951/WHO-HIS-IER-GPM-2018.1-eng.pdf;jsessionid=47FB126CD095961CAC9D15E3FBF39514?sequence=1" TargetMode="External"/><Relationship Id="rId1093" Type="http://schemas.openxmlformats.org/officeDocument/2006/relationships/hyperlink" Target="https://apps.who.int/iris/bitstream/handle/10665/259951/WHO-HIS-IER-GPM-2018.1-eng.pdf;jsessionid=47FB126CD095961CAC9D15E3FBF39514?sequence=1" TargetMode="External"/><Relationship Id="rId1094" Type="http://schemas.openxmlformats.org/officeDocument/2006/relationships/hyperlink" Target="https://international.commonwealthfund.org/stats/" TargetMode="External"/><Relationship Id="rId9" Type="http://schemas.openxmlformats.org/officeDocument/2006/relationships/hyperlink" Target="https://www.cdc.gov/nchs/healthy_people/hp2020/hp2020_indicators.htm" TargetMode="External"/><Relationship Id="rId143" Type="http://schemas.openxmlformats.org/officeDocument/2006/relationships/hyperlink" Target="https://www.americashealthrankings.org/explore/annual" TargetMode="External"/><Relationship Id="rId385" Type="http://schemas.openxmlformats.org/officeDocument/2006/relationships/hyperlink" Target="https://stats.oecd.org/index.aspx?DataSetCode=HEALTH_STAT" TargetMode="External"/><Relationship Id="rId1095" Type="http://schemas.openxmlformats.org/officeDocument/2006/relationships/hyperlink" Target="https://stats.oecd.org/index.aspx?DataSetCode=HEALTH_STAT" TargetMode="External"/><Relationship Id="rId142" Type="http://schemas.openxmlformats.org/officeDocument/2006/relationships/hyperlink" Target="https://stats.oecd.org/index.aspx?DataSetCode=HEALTH_STAT" TargetMode="External"/><Relationship Id="rId384" Type="http://schemas.openxmlformats.org/officeDocument/2006/relationships/hyperlink" Target="https://interactives.commonwealthfund.org/2018/state-scorecard/files/Radley_State_Scorecard_2018.pdf" TargetMode="External"/><Relationship Id="rId1096" Type="http://schemas.openxmlformats.org/officeDocument/2006/relationships/hyperlink" Target="https://usafacts.org/missions/promote-welfare/12" TargetMode="External"/><Relationship Id="rId141" Type="http://schemas.openxmlformats.org/officeDocument/2006/relationships/hyperlink" Target="https://www.americashealthrankings.org/explore/annual" TargetMode="External"/><Relationship Id="rId383" Type="http://schemas.openxmlformats.org/officeDocument/2006/relationships/hyperlink" Target="https://interactives.commonwealthfund.org/2018/state-scorecard/files/Radley_State_Scorecard_2018.pdf" TargetMode="External"/><Relationship Id="rId1097" Type="http://schemas.openxmlformats.org/officeDocument/2006/relationships/hyperlink" Target="https://apps.who.int/iris/bitstream/handle/10665/259951/WHO-HIS-IER-GPM-2018.1-eng.pdf;jsessionid=47FB126CD095961CAC9D15E3FBF39514?sequence=1" TargetMode="External"/><Relationship Id="rId140" Type="http://schemas.openxmlformats.org/officeDocument/2006/relationships/hyperlink" Target="https://usafacts.org/missions/promote-welfare/12" TargetMode="External"/><Relationship Id="rId382" Type="http://schemas.openxmlformats.org/officeDocument/2006/relationships/hyperlink" Target="https://international.commonwealthfund.org/stats/" TargetMode="External"/><Relationship Id="rId1098" Type="http://schemas.openxmlformats.org/officeDocument/2006/relationships/hyperlink" Target="https://data.worldbank.org/indicator/" TargetMode="External"/><Relationship Id="rId5" Type="http://schemas.openxmlformats.org/officeDocument/2006/relationships/hyperlink" Target="https://usafacts.org/missions/promote-welfare/12" TargetMode="External"/><Relationship Id="rId147" Type="http://schemas.openxmlformats.org/officeDocument/2006/relationships/hyperlink" Target="https://data.worldbank.org/indicator/" TargetMode="External"/><Relationship Id="rId389" Type="http://schemas.openxmlformats.org/officeDocument/2006/relationships/hyperlink" Target="https://www.cdc.gov/nchs/healthy_people/hp2020/hp2020_indicators.htm" TargetMode="External"/><Relationship Id="rId1099" Type="http://schemas.openxmlformats.org/officeDocument/2006/relationships/hyperlink" Target="https://apps.who.int/iris/bitstream/handle/10665/259951/WHO-HIS-IER-GPM-2018.1-eng.pdf;jsessionid=47FB126CD095961CAC9D15E3FBF39514?sequence=1" TargetMode="External"/><Relationship Id="rId6" Type="http://schemas.openxmlformats.org/officeDocument/2006/relationships/hyperlink" Target="https://www.gapminder.org/data/" TargetMode="External"/><Relationship Id="rId146" Type="http://schemas.openxmlformats.org/officeDocument/2006/relationships/hyperlink" Target="https://stats.oecd.org/index.aspx?DataSetCode=HEALTH_STAT" TargetMode="External"/><Relationship Id="rId388" Type="http://schemas.openxmlformats.org/officeDocument/2006/relationships/hyperlink" Target="https://www.cms.gov/about-cms/story-page/our-16-strategic-initiatives.html" TargetMode="External"/><Relationship Id="rId7" Type="http://schemas.openxmlformats.org/officeDocument/2006/relationships/hyperlink" Target="https://www.americashealthrankings.org/explore/health-of-women-and-children/measure/IMR_MCH/state/ALL" TargetMode="External"/><Relationship Id="rId145" Type="http://schemas.openxmlformats.org/officeDocument/2006/relationships/hyperlink" Target="https://wwwn.cdc.gov/psr/NationalSummary/NationalSummary.aspx" TargetMode="External"/><Relationship Id="rId387" Type="http://schemas.openxmlformats.org/officeDocument/2006/relationships/hyperlink" Target="https://www.americashealthrankings.org/explore/annual" TargetMode="External"/><Relationship Id="rId8" Type="http://schemas.openxmlformats.org/officeDocument/2006/relationships/hyperlink" Target="https://data.worldbank.org/indicator/" TargetMode="External"/><Relationship Id="rId144" Type="http://schemas.openxmlformats.org/officeDocument/2006/relationships/hyperlink" Target="https://www.cms.gov/Medicare/Quality-Initiatives-Patient-Assessment-Instruments/QualityInitiativesGenInfo/MMF/General-info-Sub-Page.html" TargetMode="External"/><Relationship Id="rId386" Type="http://schemas.openxmlformats.org/officeDocument/2006/relationships/hyperlink" Target="https://usafacts.org/missions/promote-welfare/12" TargetMode="External"/><Relationship Id="rId381" Type="http://schemas.openxmlformats.org/officeDocument/2006/relationships/hyperlink" Target="https://international.commonwealthfund.org/stats/" TargetMode="External"/><Relationship Id="rId380" Type="http://schemas.openxmlformats.org/officeDocument/2006/relationships/hyperlink" Target="https://international.commonwealthfund.org/stats/" TargetMode="External"/><Relationship Id="rId139" Type="http://schemas.openxmlformats.org/officeDocument/2006/relationships/hyperlink" Target="https://apps.who.int/iris/bitstream/handle/10665/259951/WHO-HIS-IER-GPM-2018.1-eng.pdf;jsessionid=47FB126CD095961CAC9D15E3FBF39514?sequence=1" TargetMode="External"/><Relationship Id="rId138" Type="http://schemas.openxmlformats.org/officeDocument/2006/relationships/hyperlink" Target="https://www.americashealthrankings.org/explore/annual" TargetMode="External"/><Relationship Id="rId137" Type="http://schemas.openxmlformats.org/officeDocument/2006/relationships/hyperlink" Target="https://usafacts.org/missions/promote-welfare/12" TargetMode="External"/><Relationship Id="rId379" Type="http://schemas.openxmlformats.org/officeDocument/2006/relationships/hyperlink" Target="https://international.commonwealthfund.org/stats/" TargetMode="External"/><Relationship Id="rId1080" Type="http://schemas.openxmlformats.org/officeDocument/2006/relationships/hyperlink" Target="https://apps.who.int/iris/bitstream/handle/10665/259951/WHO-HIS-IER-GPM-2018.1-eng.pdf;jsessionid=47FB126CD095961CAC9D15E3FBF39514?sequence=1" TargetMode="External"/><Relationship Id="rId1081" Type="http://schemas.openxmlformats.org/officeDocument/2006/relationships/hyperlink" Target="https://stats.oecd.org/index.aspx?DataSetCode=HEALTH_STAT" TargetMode="External"/><Relationship Id="rId1082" Type="http://schemas.openxmlformats.org/officeDocument/2006/relationships/hyperlink" Target="https://interactives.commonwealthfund.org/2018/state-scorecard/files/Radley_State_Scorecard_2018.pdf" TargetMode="External"/><Relationship Id="rId1083" Type="http://schemas.openxmlformats.org/officeDocument/2006/relationships/hyperlink" Target="https://www.americashealthrankings.org/explore/annual" TargetMode="External"/><Relationship Id="rId132" Type="http://schemas.openxmlformats.org/officeDocument/2006/relationships/hyperlink" Target="https://stats.oecd.org/index.aspx?DataSetCode=HEALTH_STAT" TargetMode="External"/><Relationship Id="rId374" Type="http://schemas.openxmlformats.org/officeDocument/2006/relationships/hyperlink" Target="https://apps.who.int/iris/bitstream/handle/10665/259951/WHO-HIS-IER-GPM-2018.1-eng.pdf;jsessionid=47FB126CD095961CAC9D15E3FBF39514?sequence=1" TargetMode="External"/><Relationship Id="rId1084" Type="http://schemas.openxmlformats.org/officeDocument/2006/relationships/hyperlink" Target="https://www.cms.gov/Medicare/Quality-Initiatives-Patient-Assessment-Instruments/QualityInitiativesGenInfo/MMF/General-info-Sub-Page.html" TargetMode="External"/><Relationship Id="rId131" Type="http://schemas.openxmlformats.org/officeDocument/2006/relationships/hyperlink" Target="https://apps.who.int/iris/bitstream/handle/10665/259951/WHO-HIS-IER-GPM-2018.1-eng.pdf;jsessionid=47FB126CD095961CAC9D15E3FBF39514?sequence=1" TargetMode="External"/><Relationship Id="rId373" Type="http://schemas.openxmlformats.org/officeDocument/2006/relationships/hyperlink" Target="https://apps.who.int/iris/bitstream/handle/10665/259951/WHO-HIS-IER-GPM-2018.1-eng.pdf;jsessionid=47FB126CD095961CAC9D15E3FBF39514?sequence=1" TargetMode="External"/><Relationship Id="rId1085" Type="http://schemas.openxmlformats.org/officeDocument/2006/relationships/hyperlink" Target="https://international.commonwealthfund.org/stats/" TargetMode="External"/><Relationship Id="rId130" Type="http://schemas.openxmlformats.org/officeDocument/2006/relationships/hyperlink" Target="https://data.worldbank.org/indicator/" TargetMode="External"/><Relationship Id="rId372" Type="http://schemas.openxmlformats.org/officeDocument/2006/relationships/hyperlink" Target="https://apps.who.int/iris/bitstream/handle/10665/259951/WHO-HIS-IER-GPM-2018.1-eng.pdf;jsessionid=47FB126CD095961CAC9D15E3FBF39514?sequence=1" TargetMode="External"/><Relationship Id="rId1086" Type="http://schemas.openxmlformats.org/officeDocument/2006/relationships/hyperlink" Target="https://stats.oecd.org/index.aspx?DataSetCode=HEALTH_STAT" TargetMode="External"/><Relationship Id="rId371" Type="http://schemas.openxmlformats.org/officeDocument/2006/relationships/hyperlink" Target="https://apps.who.int/iris/bitstream/handle/10665/259951/WHO-HIS-IER-GPM-2018.1-eng.pdf;jsessionid=47FB126CD095961CAC9D15E3FBF39514?sequence=1" TargetMode="External"/><Relationship Id="rId1087" Type="http://schemas.openxmlformats.org/officeDocument/2006/relationships/hyperlink" Target="https://usafacts.org/missions/promote-welfare/12" TargetMode="External"/><Relationship Id="rId136" Type="http://schemas.openxmlformats.org/officeDocument/2006/relationships/hyperlink" Target="https://apps.who.int/iris/bitstream/handle/10665/259951/WHO-HIS-IER-GPM-2018.1-eng.pdf;jsessionid=47FB126CD095961CAC9D15E3FBF39514?sequence=1" TargetMode="External"/><Relationship Id="rId378" Type="http://schemas.openxmlformats.org/officeDocument/2006/relationships/hyperlink" Target="https://interactives.commonwealthfund.org/2018/state-scorecard/files/Radley_State_Scorecard_2018.pdf" TargetMode="External"/><Relationship Id="rId1088" Type="http://schemas.openxmlformats.org/officeDocument/2006/relationships/hyperlink" Target="https://apps.who.int/iris/bitstream/handle/10665/259951/WHO-HIS-IER-GPM-2018.1-eng.pdf;jsessionid=47FB126CD095961CAC9D15E3FBF39514?sequence=1" TargetMode="External"/><Relationship Id="rId135" Type="http://schemas.openxmlformats.org/officeDocument/2006/relationships/hyperlink" Target="https://data.worldbank.org/indicator/" TargetMode="External"/><Relationship Id="rId377" Type="http://schemas.openxmlformats.org/officeDocument/2006/relationships/hyperlink" Target="https://apps.who.int/iris/bitstream/handle/10665/259951/WHO-HIS-IER-GPM-2018.1-eng.pdf;jsessionid=47FB126CD095961CAC9D15E3FBF39514?sequence=1" TargetMode="External"/><Relationship Id="rId1089" Type="http://schemas.openxmlformats.org/officeDocument/2006/relationships/hyperlink" Target="https://stats.oecd.org/index.aspx?DataSetCode=HEALTH_STAT" TargetMode="External"/><Relationship Id="rId134" Type="http://schemas.openxmlformats.org/officeDocument/2006/relationships/hyperlink" Target="https://www.americashealthrankings.org/explore/annual" TargetMode="External"/><Relationship Id="rId376" Type="http://schemas.openxmlformats.org/officeDocument/2006/relationships/hyperlink" Target="https://apps.who.int/iris/bitstream/handle/10665/259951/WHO-HIS-IER-GPM-2018.1-eng.pdf;jsessionid=47FB126CD095961CAC9D15E3FBF39514?sequence=1" TargetMode="External"/><Relationship Id="rId133" Type="http://schemas.openxmlformats.org/officeDocument/2006/relationships/hyperlink" Target="https://usafacts.org/missions/promote-welfare/12" TargetMode="External"/><Relationship Id="rId375" Type="http://schemas.openxmlformats.org/officeDocument/2006/relationships/hyperlink" Target="https://apps.who.int/iris/bitstream/handle/10665/259951/WHO-HIS-IER-GPM-2018.1-eng.pdf;jsessionid=47FB126CD095961CAC9D15E3FBF39514?sequence=1" TargetMode="External"/><Relationship Id="rId172" Type="http://schemas.openxmlformats.org/officeDocument/2006/relationships/hyperlink" Target="https://www.gapminder.org/data/" TargetMode="External"/><Relationship Id="rId171" Type="http://schemas.openxmlformats.org/officeDocument/2006/relationships/hyperlink" Target="https://stats.oecd.org/index.aspx?DataSetCode=HEALTH_STAT" TargetMode="External"/><Relationship Id="rId170" Type="http://schemas.openxmlformats.org/officeDocument/2006/relationships/hyperlink" Target="https://wwwn.cdc.gov/psr/NationalSummary/NationalSummary.aspx" TargetMode="External"/><Relationship Id="rId165" Type="http://schemas.openxmlformats.org/officeDocument/2006/relationships/hyperlink" Target="https://www.cdc.gov/nchs/healthy_people/hp2020/hp2020_indicators.htm" TargetMode="External"/><Relationship Id="rId164" Type="http://schemas.openxmlformats.org/officeDocument/2006/relationships/hyperlink" Target="https://www.cms.gov/Medicare/Quality-Initiatives-Patient-Assessment-Instruments/QualityInitiativesGenInfo/MMF/General-info-Sub-Page.html" TargetMode="External"/><Relationship Id="rId163" Type="http://schemas.openxmlformats.org/officeDocument/2006/relationships/hyperlink" Target="https://stats.oecd.org/index.aspx?DataSetCode=HEALTH_STAT" TargetMode="External"/><Relationship Id="rId162" Type="http://schemas.openxmlformats.org/officeDocument/2006/relationships/hyperlink" Target="https://interactives.commonwealthfund.org/2018/state-scorecard/files/Radley_State_Scorecard_2018.pdf" TargetMode="External"/><Relationship Id="rId169" Type="http://schemas.openxmlformats.org/officeDocument/2006/relationships/hyperlink" Target="https://apps.who.int/iris/bitstream/handle/10665/259951/WHO-HIS-IER-GPM-2018.1-eng.pdf;jsessionid=47FB126CD095961CAC9D15E3FBF39514?sequence=1" TargetMode="External"/><Relationship Id="rId168" Type="http://schemas.openxmlformats.org/officeDocument/2006/relationships/hyperlink" Target="https://www.cms.gov/Medicare/Quality-Initiatives-Patient-Assessment-Instruments/QualityInitiativesGenInfo/MMF/General-info-Sub-Page.html" TargetMode="External"/><Relationship Id="rId167" Type="http://schemas.openxmlformats.org/officeDocument/2006/relationships/hyperlink" Target="https://stats.oecd.org/index.aspx?DataSetCode=HEALTH_STAT" TargetMode="External"/><Relationship Id="rId166" Type="http://schemas.openxmlformats.org/officeDocument/2006/relationships/hyperlink" Target="https://interactives.commonwealthfund.org/2018/state-scorecard/files/Radley_State_Scorecard_2018.pdf" TargetMode="External"/><Relationship Id="rId161" Type="http://schemas.openxmlformats.org/officeDocument/2006/relationships/hyperlink" Target="https://wwwn.cdc.gov/psr/NationalSummary/NationalSummary.aspx" TargetMode="External"/><Relationship Id="rId160" Type="http://schemas.openxmlformats.org/officeDocument/2006/relationships/hyperlink" Target="https://apps.who.int/iris/bitstream/handle/10665/259951/WHO-HIS-IER-GPM-2018.1-eng.pdf;jsessionid=47FB126CD095961CAC9D15E3FBF39514?sequence=1" TargetMode="External"/><Relationship Id="rId159" Type="http://schemas.openxmlformats.org/officeDocument/2006/relationships/hyperlink" Target="https://www.cdc.gov/nchs/healthy_people/hp2020/hp2020_indicators.htm" TargetMode="External"/><Relationship Id="rId154" Type="http://schemas.openxmlformats.org/officeDocument/2006/relationships/hyperlink" Target="https://apps.who.int/iris/bitstream/handle/10665/259951/WHO-HIS-IER-GPM-2018.1-eng.pdf;jsessionid=47FB126CD095961CAC9D15E3FBF39514?sequence=1" TargetMode="External"/><Relationship Id="rId396" Type="http://schemas.openxmlformats.org/officeDocument/2006/relationships/hyperlink" Target="https://usafacts.org/missions/promote-welfare/12" TargetMode="External"/><Relationship Id="rId153" Type="http://schemas.openxmlformats.org/officeDocument/2006/relationships/hyperlink" Target="https://data.worldbank.org/indicator/" TargetMode="External"/><Relationship Id="rId395" Type="http://schemas.openxmlformats.org/officeDocument/2006/relationships/hyperlink" Target="https://stats.oecd.org/index.aspx?DataSetCode=HEALTH_STAT" TargetMode="External"/><Relationship Id="rId152" Type="http://schemas.openxmlformats.org/officeDocument/2006/relationships/hyperlink" Target="https://www.americashealthrankings.org/explore/annual" TargetMode="External"/><Relationship Id="rId394" Type="http://schemas.openxmlformats.org/officeDocument/2006/relationships/hyperlink" Target="https://apps.who.int/iris/bitstream/handle/10665/259951/WHO-HIS-IER-GPM-2018.1-eng.pdf;jsessionid=47FB126CD095961CAC9D15E3FBF39514?sequence=1" TargetMode="External"/><Relationship Id="rId151" Type="http://schemas.openxmlformats.org/officeDocument/2006/relationships/hyperlink" Target="https://www.gapminder.org/data/" TargetMode="External"/><Relationship Id="rId393" Type="http://schemas.openxmlformats.org/officeDocument/2006/relationships/hyperlink" Target="https://www.americashealthrankings.org/explore/annual" TargetMode="External"/><Relationship Id="rId158" Type="http://schemas.openxmlformats.org/officeDocument/2006/relationships/hyperlink" Target="https://www.cms.gov/Medicare/Quality-Initiatives-Patient-Assessment-Instruments/QualityInitiativesGenInfo/MMF/General-info-Sub-Page.html" TargetMode="External"/><Relationship Id="rId157" Type="http://schemas.openxmlformats.org/officeDocument/2006/relationships/hyperlink" Target="https://www.americashealthrankings.org/explore/annual" TargetMode="External"/><Relationship Id="rId399" Type="http://schemas.openxmlformats.org/officeDocument/2006/relationships/hyperlink" Target="https://www.cdc.gov/nchs/healthy_people/hp2020/hp2020_indicators.htm" TargetMode="External"/><Relationship Id="rId156" Type="http://schemas.openxmlformats.org/officeDocument/2006/relationships/hyperlink" Target="https://stats.oecd.org/index.aspx?DataSetCode=HEALTH_STAT" TargetMode="External"/><Relationship Id="rId398" Type="http://schemas.openxmlformats.org/officeDocument/2006/relationships/hyperlink" Target="https://data.worldbank.org/indicator/" TargetMode="External"/><Relationship Id="rId155" Type="http://schemas.openxmlformats.org/officeDocument/2006/relationships/hyperlink" Target="https://www.americashealthrankings.org/explore/annual" TargetMode="External"/><Relationship Id="rId397" Type="http://schemas.openxmlformats.org/officeDocument/2006/relationships/hyperlink" Target="https://www.americashealthrankings.org/explore/annual" TargetMode="External"/><Relationship Id="rId808" Type="http://schemas.openxmlformats.org/officeDocument/2006/relationships/hyperlink" Target="https://www.cms.gov/about-cms/story-page/our-16-strategic-initiatives.html" TargetMode="External"/><Relationship Id="rId807" Type="http://schemas.openxmlformats.org/officeDocument/2006/relationships/hyperlink" Target="https://apps.who.int/iris/bitstream/handle/10665/259951/WHO-HIS-IER-GPM-2018.1-eng.pdf;jsessionid=47FB126CD095961CAC9D15E3FBF39514?sequence=1" TargetMode="External"/><Relationship Id="rId806" Type="http://schemas.openxmlformats.org/officeDocument/2006/relationships/hyperlink" Target="https://international.commonwealthfund.org/stats/" TargetMode="External"/><Relationship Id="rId805" Type="http://schemas.openxmlformats.org/officeDocument/2006/relationships/hyperlink" Target="https://www.cms.gov/about-cms/story-page/our-16-strategic-initiatives.html" TargetMode="External"/><Relationship Id="rId809" Type="http://schemas.openxmlformats.org/officeDocument/2006/relationships/hyperlink" Target="https://www.cms.gov/about-cms/story-page/our-16-strategic-initiatives.html" TargetMode="External"/><Relationship Id="rId800" Type="http://schemas.openxmlformats.org/officeDocument/2006/relationships/hyperlink" Target="https://data.worldbank.org/indicator/" TargetMode="External"/><Relationship Id="rId804" Type="http://schemas.openxmlformats.org/officeDocument/2006/relationships/hyperlink" Target="https://apps.who.int/iris/bitstream/handle/10665/259951/WHO-HIS-IER-GPM-2018.1-eng.pdf;jsessionid=47FB126CD095961CAC9D15E3FBF39514?sequence=1" TargetMode="External"/><Relationship Id="rId803" Type="http://schemas.openxmlformats.org/officeDocument/2006/relationships/hyperlink" Target="https://www.cms.gov/about-cms/story-page/our-16-strategic-initiatives.html" TargetMode="External"/><Relationship Id="rId802" Type="http://schemas.openxmlformats.org/officeDocument/2006/relationships/hyperlink" Target="https://www.cms.gov/about-cms/story-page/our-16-strategic-initiatives.html" TargetMode="External"/><Relationship Id="rId801" Type="http://schemas.openxmlformats.org/officeDocument/2006/relationships/hyperlink" Target="https://international.commonwealthfund.org/stats/" TargetMode="External"/><Relationship Id="rId40" Type="http://schemas.openxmlformats.org/officeDocument/2006/relationships/hyperlink" Target="https://www.americashealthrankings.org/explore/annual" TargetMode="External"/><Relationship Id="rId42" Type="http://schemas.openxmlformats.org/officeDocument/2006/relationships/hyperlink" Target="https://apps.who.int/iris/bitstream/handle/10665/259951/WHO-HIS-IER-GPM-2018.1-eng.pdf;jsessionid=47FB126CD095961CAC9D15E3FBF39514?sequence=1" TargetMode="External"/><Relationship Id="rId41" Type="http://schemas.openxmlformats.org/officeDocument/2006/relationships/hyperlink" Target="http://www.paho.org/data/index.php/en/indicators/visualization.html" TargetMode="External"/><Relationship Id="rId44" Type="http://schemas.openxmlformats.org/officeDocument/2006/relationships/hyperlink" Target="https://www.americashealthrankings.org/explore/annual" TargetMode="External"/><Relationship Id="rId43" Type="http://schemas.openxmlformats.org/officeDocument/2006/relationships/hyperlink" Target="https://stats.oecd.org/index.aspx?DataSetCode=HEALTH_STAT" TargetMode="External"/><Relationship Id="rId46" Type="http://schemas.openxmlformats.org/officeDocument/2006/relationships/hyperlink" Target="https://apps.who.int/iris/bitstream/handle/10665/259951/WHO-HIS-IER-GPM-2018.1-eng.pdf;jsessionid=47FB126CD095961CAC9D15E3FBF39514?sequence=1" TargetMode="External"/><Relationship Id="rId45" Type="http://schemas.openxmlformats.org/officeDocument/2006/relationships/hyperlink" Target="https://data.worldbank.org/indicator/" TargetMode="External"/><Relationship Id="rId509" Type="http://schemas.openxmlformats.org/officeDocument/2006/relationships/hyperlink" Target="https://data.worldbank.org/indicator/" TargetMode="External"/><Relationship Id="rId508" Type="http://schemas.openxmlformats.org/officeDocument/2006/relationships/hyperlink" Target="https://www.americashealthrankings.org/explore/health-of-women-and-children/measure/maternal_mortality/state/ALL" TargetMode="External"/><Relationship Id="rId503" Type="http://schemas.openxmlformats.org/officeDocument/2006/relationships/hyperlink" Target="https://www.cdc.gov/nchs/healthy_people/hp2020/hp2020_indicators.htm" TargetMode="External"/><Relationship Id="rId745" Type="http://schemas.openxmlformats.org/officeDocument/2006/relationships/hyperlink" Target="https://www.americashealthrankings.org/explore/annual" TargetMode="External"/><Relationship Id="rId987" Type="http://schemas.openxmlformats.org/officeDocument/2006/relationships/hyperlink" Target="https://usafacts.org/missions/promote-welfare/12" TargetMode="External"/><Relationship Id="rId502" Type="http://schemas.openxmlformats.org/officeDocument/2006/relationships/hyperlink" Target="https://www.americashealthrankings.org/explore/annual" TargetMode="External"/><Relationship Id="rId744" Type="http://schemas.openxmlformats.org/officeDocument/2006/relationships/hyperlink" Target="https://www.americashealthrankings.org/explore/annual" TargetMode="External"/><Relationship Id="rId986" Type="http://schemas.openxmlformats.org/officeDocument/2006/relationships/hyperlink" Target="https://stats.oecd.org/index.aspx?DataSetCode=HEALTH_STAT" TargetMode="External"/><Relationship Id="rId501" Type="http://schemas.openxmlformats.org/officeDocument/2006/relationships/hyperlink" Target="https://www.gapminder.org/data/" TargetMode="External"/><Relationship Id="rId743" Type="http://schemas.openxmlformats.org/officeDocument/2006/relationships/hyperlink" Target="https://interactives.commonwealthfund.org/2018/state-scorecard/files/Radley_State_Scorecard_2018.pdf" TargetMode="External"/><Relationship Id="rId985" Type="http://schemas.openxmlformats.org/officeDocument/2006/relationships/hyperlink" Target="https://international.commonwealthfund.org/stats/" TargetMode="External"/><Relationship Id="rId500" Type="http://schemas.openxmlformats.org/officeDocument/2006/relationships/hyperlink" Target="https://stats.oecd.org/index.aspx?DataSetCode=HEALTH_STAT" TargetMode="External"/><Relationship Id="rId742" Type="http://schemas.openxmlformats.org/officeDocument/2006/relationships/hyperlink" Target="https://interactives.commonwealthfund.org/2018/state-scorecard/files/Radley_State_Scorecard_2018.pdf" TargetMode="External"/><Relationship Id="rId984" Type="http://schemas.openxmlformats.org/officeDocument/2006/relationships/hyperlink" Target="https://apps.who.int/iris/bitstream/handle/10665/259951/WHO-HIS-IER-GPM-2018.1-eng.pdf;jsessionid=47FB126CD095961CAC9D15E3FBF39514?sequence=1" TargetMode="External"/><Relationship Id="rId507" Type="http://schemas.openxmlformats.org/officeDocument/2006/relationships/hyperlink" Target="https://www.gapminder.org/data/" TargetMode="External"/><Relationship Id="rId749" Type="http://schemas.openxmlformats.org/officeDocument/2006/relationships/hyperlink" Target="https://international.commonwealthfund.org/stats/" TargetMode="External"/><Relationship Id="rId506" Type="http://schemas.openxmlformats.org/officeDocument/2006/relationships/hyperlink" Target="https://stats.oecd.org/index.aspx?DataSetCode=HEALTH_STAT" TargetMode="External"/><Relationship Id="rId748" Type="http://schemas.openxmlformats.org/officeDocument/2006/relationships/hyperlink" Target="https://interactives.commonwealthfund.org/2018/state-scorecard/files/Radley_State_Scorecard_2018.pdf" TargetMode="External"/><Relationship Id="rId505" Type="http://schemas.openxmlformats.org/officeDocument/2006/relationships/hyperlink" Target="https://apps.who.int/iris/bitstream/handle/10665/259951/WHO-HIS-IER-GPM-2018.1-eng.pdf;jsessionid=47FB126CD095961CAC9D15E3FBF39514?sequence=1" TargetMode="External"/><Relationship Id="rId747" Type="http://schemas.openxmlformats.org/officeDocument/2006/relationships/hyperlink" Target="https://www.cms.gov/Medicare/Quality-Initiatives-Patient-Assessment-Instruments/QualityInitiativesGenInfo/MMF/General-info-Sub-Page.html" TargetMode="External"/><Relationship Id="rId989" Type="http://schemas.openxmlformats.org/officeDocument/2006/relationships/hyperlink" Target="https://apps.who.int/iris/bitstream/handle/10665/259951/WHO-HIS-IER-GPM-2018.1-eng.pdf;jsessionid=47FB126CD095961CAC9D15E3FBF39514?sequence=1" TargetMode="External"/><Relationship Id="rId504" Type="http://schemas.openxmlformats.org/officeDocument/2006/relationships/hyperlink" Target="https://www.americashealthrankings.org/explore/health-of-women-and-children/measure/maternal_mortality/state/ALL" TargetMode="External"/><Relationship Id="rId746" Type="http://schemas.openxmlformats.org/officeDocument/2006/relationships/hyperlink" Target="https://apps.who.int/iris/bitstream/handle/10665/259951/WHO-HIS-IER-GPM-2018.1-eng.pdf;jsessionid=47FB126CD095961CAC9D15E3FBF39514?sequence=1" TargetMode="External"/><Relationship Id="rId988" Type="http://schemas.openxmlformats.org/officeDocument/2006/relationships/hyperlink" Target="https://data.worldbank.org/indicator/" TargetMode="External"/><Relationship Id="rId48" Type="http://schemas.openxmlformats.org/officeDocument/2006/relationships/hyperlink" Target="https://data.worldbank.org/indicator/" TargetMode="External"/><Relationship Id="rId47" Type="http://schemas.openxmlformats.org/officeDocument/2006/relationships/hyperlink" Target="https://usafacts.org/missions/promote-welfare/12" TargetMode="External"/><Relationship Id="rId49" Type="http://schemas.openxmlformats.org/officeDocument/2006/relationships/hyperlink" Target="https://wwwn.cdc.gov/psr/NationalSummary/NationalSummary.aspx" TargetMode="External"/><Relationship Id="rId741" Type="http://schemas.openxmlformats.org/officeDocument/2006/relationships/hyperlink" Target="https://www.oecd-ilibrary.org/docserver/health_glance-2017-en.pdf?expires=1564008067&amp;id=id&amp;accname=guest&amp;checksum=D0ABDB5402647B576A76E200E17FD74F" TargetMode="External"/><Relationship Id="rId983" Type="http://schemas.openxmlformats.org/officeDocument/2006/relationships/hyperlink" Target="https://www.cdc.gov/nchs/healthy_people/hp2020/hp2020_indicators.htm" TargetMode="External"/><Relationship Id="rId740" Type="http://schemas.openxmlformats.org/officeDocument/2006/relationships/hyperlink" Target="https://usafacts.org/missions/promote-welfare/12" TargetMode="External"/><Relationship Id="rId982" Type="http://schemas.openxmlformats.org/officeDocument/2006/relationships/hyperlink" Target="https://www.cms.gov/Medicare/Quality-Initiatives-Patient-Assessment-Instruments/QualityInitiativesGenInfo/MMF/General-info-Sub-Page.html" TargetMode="External"/><Relationship Id="rId981" Type="http://schemas.openxmlformats.org/officeDocument/2006/relationships/hyperlink" Target="https://www.americashealthrankings.org/explore/annual" TargetMode="External"/><Relationship Id="rId980" Type="http://schemas.openxmlformats.org/officeDocument/2006/relationships/hyperlink" Target="https://stats.oecd.org/index.aspx?DataSetCode=HEALTH_STAT" TargetMode="External"/><Relationship Id="rId31" Type="http://schemas.openxmlformats.org/officeDocument/2006/relationships/hyperlink" Target="https://www.americashealthrankings.org/explore/health-of-women-and-children/measure/child_mortality/state/ALL" TargetMode="External"/><Relationship Id="rId30" Type="http://schemas.openxmlformats.org/officeDocument/2006/relationships/hyperlink" Target="https://www.cdc.gov/nchs/healthy_people/hp2020/hp2020_indicators.htm" TargetMode="External"/><Relationship Id="rId33" Type="http://schemas.openxmlformats.org/officeDocument/2006/relationships/hyperlink" Target="https://stats.oecd.org/index.aspx?DataSetCode=HEALTH_STAT" TargetMode="External"/><Relationship Id="rId32" Type="http://schemas.openxmlformats.org/officeDocument/2006/relationships/hyperlink" Target="https://apps.who.int/iris/bitstream/handle/10665/259951/WHO-HIS-IER-GPM-2018.1-eng.pdf;jsessionid=47FB126CD095961CAC9D15E3FBF39514?sequence=1" TargetMode="External"/><Relationship Id="rId35" Type="http://schemas.openxmlformats.org/officeDocument/2006/relationships/hyperlink" Target="https://www.americashealthrankings.org/explore/health-of-women-and-children/measure/child_mortality/state/ALL" TargetMode="External"/><Relationship Id="rId34" Type="http://schemas.openxmlformats.org/officeDocument/2006/relationships/hyperlink" Target="https://usafacts.org/missions/promote-welfare/12" TargetMode="External"/><Relationship Id="rId739" Type="http://schemas.openxmlformats.org/officeDocument/2006/relationships/hyperlink" Target="https://data.worldbank.org/indicator/" TargetMode="External"/><Relationship Id="rId734" Type="http://schemas.openxmlformats.org/officeDocument/2006/relationships/hyperlink" Target="https://www.americashealthrankings.org/explore/annual" TargetMode="External"/><Relationship Id="rId976" Type="http://schemas.openxmlformats.org/officeDocument/2006/relationships/hyperlink" Target="https://international.commonwealthfund.org/stats/" TargetMode="External"/><Relationship Id="rId733" Type="http://schemas.openxmlformats.org/officeDocument/2006/relationships/hyperlink" Target="https://interactives.commonwealthfund.org/2018/state-scorecard/files/Radley_State_Scorecard_2018.pdf" TargetMode="External"/><Relationship Id="rId975" Type="http://schemas.openxmlformats.org/officeDocument/2006/relationships/hyperlink" Target="https://apps.who.int/iris/bitstream/handle/10665/259951/WHO-HIS-IER-GPM-2018.1-eng.pdf;jsessionid=47FB126CD095961CAC9D15E3FBF39514?sequence=1" TargetMode="External"/><Relationship Id="rId732" Type="http://schemas.openxmlformats.org/officeDocument/2006/relationships/hyperlink" Target="https://www.americashealthrankings.org/explore/annual" TargetMode="External"/><Relationship Id="rId974" Type="http://schemas.openxmlformats.org/officeDocument/2006/relationships/hyperlink" Target="https://www.cdc.gov/nchs/healthy_people/hp2020/hp2020_indicators.htm" TargetMode="External"/><Relationship Id="rId731" Type="http://schemas.openxmlformats.org/officeDocument/2006/relationships/hyperlink" Target="https://interactives.commonwealthfund.org/2018/state-scorecard/files/Radley_State_Scorecard_2018.pdf" TargetMode="External"/><Relationship Id="rId973" Type="http://schemas.openxmlformats.org/officeDocument/2006/relationships/hyperlink" Target="https://www.cms.gov/Medicare/Quality-Initiatives-Patient-Assessment-Instruments/QualityInitiativesGenInfo/MMF/General-info-Sub-Page.html" TargetMode="External"/><Relationship Id="rId738" Type="http://schemas.openxmlformats.org/officeDocument/2006/relationships/hyperlink" Target="https://usafacts.org/missions/promote-welfare/12" TargetMode="External"/><Relationship Id="rId737" Type="http://schemas.openxmlformats.org/officeDocument/2006/relationships/hyperlink" Target="https://stats.oecd.org/index.aspx?DataSetCode=HEALTH_STAT" TargetMode="External"/><Relationship Id="rId979" Type="http://schemas.openxmlformats.org/officeDocument/2006/relationships/hyperlink" Target="https://interactives.commonwealthfund.org/2018/state-scorecard/files/Radley_State_Scorecard_2018.pdf" TargetMode="External"/><Relationship Id="rId736" Type="http://schemas.openxmlformats.org/officeDocument/2006/relationships/hyperlink" Target="https://www.americashealthrankings.org/explore/annual" TargetMode="External"/><Relationship Id="rId978" Type="http://schemas.openxmlformats.org/officeDocument/2006/relationships/hyperlink" Target="https://www.gapminder.org/data/" TargetMode="External"/><Relationship Id="rId735" Type="http://schemas.openxmlformats.org/officeDocument/2006/relationships/hyperlink" Target="https://interactives.commonwealthfund.org/2018/state-scorecard/files/Radley_State_Scorecard_2018.pdf" TargetMode="External"/><Relationship Id="rId977" Type="http://schemas.openxmlformats.org/officeDocument/2006/relationships/hyperlink" Target="https://stats.oecd.org/index.aspx?DataSetCode=HEALTH_STAT" TargetMode="External"/><Relationship Id="rId37" Type="http://schemas.openxmlformats.org/officeDocument/2006/relationships/hyperlink" Target="https://apps.who.int/iris/bitstream/handle/10665/259951/WHO-HIS-IER-GPM-2018.1-eng.pdf;jsessionid=47FB126CD095961CAC9D15E3FBF39514?sequence=1" TargetMode="External"/><Relationship Id="rId36" Type="http://schemas.openxmlformats.org/officeDocument/2006/relationships/hyperlink" Target="https://data.worldbank.org/indicator/" TargetMode="External"/><Relationship Id="rId39" Type="http://schemas.openxmlformats.org/officeDocument/2006/relationships/hyperlink" Target="https://www.gapminder.org/data/" TargetMode="External"/><Relationship Id="rId38" Type="http://schemas.openxmlformats.org/officeDocument/2006/relationships/hyperlink" Target="https://stats.oecd.org/index.aspx?DataSetCode=HEALTH_STAT" TargetMode="External"/><Relationship Id="rId730" Type="http://schemas.openxmlformats.org/officeDocument/2006/relationships/hyperlink" Target="https://www.americashealthrankings.org/explore/annual" TargetMode="External"/><Relationship Id="rId972" Type="http://schemas.openxmlformats.org/officeDocument/2006/relationships/hyperlink" Target="https://www.americashealthrankings.org/explore/annual" TargetMode="External"/><Relationship Id="rId971" Type="http://schemas.openxmlformats.org/officeDocument/2006/relationships/hyperlink" Target="https://stats.oecd.org/index.aspx?DataSetCode=HEALTH_STAT" TargetMode="External"/><Relationship Id="rId970" Type="http://schemas.openxmlformats.org/officeDocument/2006/relationships/hyperlink" Target="https://interactives.commonwealthfund.org/2018/state-scorecard/files/Radley_State_Scorecard_2018.pdf" TargetMode="External"/><Relationship Id="rId1114" Type="http://schemas.openxmlformats.org/officeDocument/2006/relationships/hyperlink" Target="https://stats.oecd.org/index.aspx?DataSetCode=HEALTH_STAT" TargetMode="External"/><Relationship Id="rId1115" Type="http://schemas.openxmlformats.org/officeDocument/2006/relationships/hyperlink" Target="https://international.commonwealthfund.org/stats/" TargetMode="External"/><Relationship Id="rId20" Type="http://schemas.openxmlformats.org/officeDocument/2006/relationships/hyperlink" Target="https://www.gapminder.org/data/" TargetMode="External"/><Relationship Id="rId1116" Type="http://schemas.openxmlformats.org/officeDocument/2006/relationships/hyperlink" Target="https://stats.oecd.org/index.aspx?DataSetCode=HEALTH_STAT" TargetMode="External"/><Relationship Id="rId1117" Type="http://schemas.openxmlformats.org/officeDocument/2006/relationships/hyperlink" Target="https://interactives.commonwealthfund.org/2018/state-scorecard/files/Radley_State_Scorecard_2018.pdf" TargetMode="External"/><Relationship Id="rId22" Type="http://schemas.openxmlformats.org/officeDocument/2006/relationships/hyperlink" Target="https://data.worldbank.org/indicator/" TargetMode="External"/><Relationship Id="rId1118" Type="http://schemas.openxmlformats.org/officeDocument/2006/relationships/hyperlink" Target="https://www.americashealthrankings.org/explore/annual" TargetMode="External"/><Relationship Id="rId21" Type="http://schemas.openxmlformats.org/officeDocument/2006/relationships/hyperlink" Target="https://www.americashealthrankings.org/explore/health-of-women-and-children/measure/neonatal_mortality/state/ALL" TargetMode="External"/><Relationship Id="rId1119" Type="http://schemas.openxmlformats.org/officeDocument/2006/relationships/hyperlink" Target="https://interactives.commonwealthfund.org/2018/state-scorecard/files/Radley_State_Scorecard_2018.pdf" TargetMode="External"/><Relationship Id="rId24" Type="http://schemas.openxmlformats.org/officeDocument/2006/relationships/hyperlink" Target="https://www.cdc.gov/ncbddd/stillbirth/data.html" TargetMode="External"/><Relationship Id="rId23" Type="http://schemas.openxmlformats.org/officeDocument/2006/relationships/hyperlink" Target="https://www.cdc.gov/nchs/healthy_people/hp2020/hp2020_indicators.htm" TargetMode="External"/><Relationship Id="rId525" Type="http://schemas.openxmlformats.org/officeDocument/2006/relationships/hyperlink" Target="https://stats.oecd.org/index.aspx?DataSetCode=HEALTH_STAT" TargetMode="External"/><Relationship Id="rId767" Type="http://schemas.openxmlformats.org/officeDocument/2006/relationships/hyperlink" Target="https://www.americashealthrankings.org/explore/annual" TargetMode="External"/><Relationship Id="rId524" Type="http://schemas.openxmlformats.org/officeDocument/2006/relationships/hyperlink" Target="https://apps.who.int/iris/bitstream/handle/10665/259951/WHO-HIS-IER-GPM-2018.1-eng.pdf;jsessionid=47FB126CD095961CAC9D15E3FBF39514?sequence=1" TargetMode="External"/><Relationship Id="rId766" Type="http://schemas.openxmlformats.org/officeDocument/2006/relationships/hyperlink" Target="https://usafacts.org/missions/promote-welfare/12" TargetMode="External"/><Relationship Id="rId523" Type="http://schemas.openxmlformats.org/officeDocument/2006/relationships/hyperlink" Target="http://www.paho.org/data/index.php/en/indicators/visualization.html" TargetMode="External"/><Relationship Id="rId765" Type="http://schemas.openxmlformats.org/officeDocument/2006/relationships/hyperlink" Target="https://stats.oecd.org/index.aspx?DataSetCode=HEALTH_STAT" TargetMode="External"/><Relationship Id="rId522" Type="http://schemas.openxmlformats.org/officeDocument/2006/relationships/hyperlink" Target="https://data.worldbank.org/indicator/" TargetMode="External"/><Relationship Id="rId764" Type="http://schemas.openxmlformats.org/officeDocument/2006/relationships/hyperlink" Target="https://interactives.commonwealthfund.org/2018/state-scorecard/files/Radley_State_Scorecard_2018.pdf" TargetMode="External"/><Relationship Id="rId529" Type="http://schemas.openxmlformats.org/officeDocument/2006/relationships/hyperlink" Target="https://apps.who.int/iris/bitstream/handle/10665/259951/WHO-HIS-IER-GPM-2018.1-eng.pdf;jsessionid=47FB126CD095961CAC9D15E3FBF39514?sequence=1" TargetMode="External"/><Relationship Id="rId528" Type="http://schemas.openxmlformats.org/officeDocument/2006/relationships/hyperlink" Target="https://www.americashealthrankings.org/explore/health-of-women-and-children/measure/child_mortality/state/ALL" TargetMode="External"/><Relationship Id="rId527" Type="http://schemas.openxmlformats.org/officeDocument/2006/relationships/hyperlink" Target="https://data.worldbank.org/indicator/" TargetMode="External"/><Relationship Id="rId769" Type="http://schemas.openxmlformats.org/officeDocument/2006/relationships/hyperlink" Target="https://interactives.commonwealthfund.org/2018/state-scorecard/files/Radley_State_Scorecard_2018.pdf" TargetMode="External"/><Relationship Id="rId526" Type="http://schemas.openxmlformats.org/officeDocument/2006/relationships/hyperlink" Target="https://usafacts.org/missions/promote-welfare/12" TargetMode="External"/><Relationship Id="rId768" Type="http://schemas.openxmlformats.org/officeDocument/2006/relationships/hyperlink" Target="https://apps.who.int/iris/bitstream/handle/10665/259951/WHO-HIS-IER-GPM-2018.1-eng.pdf;jsessionid=47FB126CD095961CAC9D15E3FBF39514?sequence=1" TargetMode="External"/><Relationship Id="rId26" Type="http://schemas.openxmlformats.org/officeDocument/2006/relationships/hyperlink" Target="https://stats.oecd.org/index.aspx?DataSetCode=HEALTH_STAT" TargetMode="External"/><Relationship Id="rId25" Type="http://schemas.openxmlformats.org/officeDocument/2006/relationships/hyperlink" Target="https://apps.who.int/iris/bitstream/handle/10665/259951/WHO-HIS-IER-GPM-2018.1-eng.pdf;jsessionid=47FB126CD095961CAC9D15E3FBF39514?sequence=1" TargetMode="External"/><Relationship Id="rId28" Type="http://schemas.openxmlformats.org/officeDocument/2006/relationships/hyperlink" Target="https://www.americashealthrankings.org/explore/annual" TargetMode="External"/><Relationship Id="rId27" Type="http://schemas.openxmlformats.org/officeDocument/2006/relationships/hyperlink" Target="https://www.gapminder.org/data/" TargetMode="External"/><Relationship Id="rId521" Type="http://schemas.openxmlformats.org/officeDocument/2006/relationships/hyperlink" Target="https://stats.oecd.org/index.aspx?DataSetCode=HEALTH_STAT" TargetMode="External"/><Relationship Id="rId763" Type="http://schemas.openxmlformats.org/officeDocument/2006/relationships/hyperlink" Target="https://www.cdc.gov/nchs/healthy_people/hp2020/hp2020_indicators.htm" TargetMode="External"/><Relationship Id="rId1110" Type="http://schemas.openxmlformats.org/officeDocument/2006/relationships/hyperlink" Target="https://www.americashealthrankings.org/explore/annual" TargetMode="External"/><Relationship Id="rId29" Type="http://schemas.openxmlformats.org/officeDocument/2006/relationships/hyperlink" Target="https://data.worldbank.org/indicator/" TargetMode="External"/><Relationship Id="rId520" Type="http://schemas.openxmlformats.org/officeDocument/2006/relationships/hyperlink" Target="https://apps.who.int/iris/bitstream/handle/10665/259951/WHO-HIS-IER-GPM-2018.1-eng.pdf;jsessionid=47FB126CD095961CAC9D15E3FBF39514?sequence=1" TargetMode="External"/><Relationship Id="rId762" Type="http://schemas.openxmlformats.org/officeDocument/2006/relationships/hyperlink" Target="https://www.americashealthrankings.org/explore/annual" TargetMode="External"/><Relationship Id="rId1111" Type="http://schemas.openxmlformats.org/officeDocument/2006/relationships/hyperlink" Target="https://international.commonwealthfund.org/stats/" TargetMode="External"/><Relationship Id="rId761" Type="http://schemas.openxmlformats.org/officeDocument/2006/relationships/hyperlink" Target="https://www.gapminder.org/data/" TargetMode="External"/><Relationship Id="rId1112" Type="http://schemas.openxmlformats.org/officeDocument/2006/relationships/hyperlink" Target="https://stats.oecd.org/index.aspx?DataSetCode=HEALTH_STAT" TargetMode="External"/><Relationship Id="rId760" Type="http://schemas.openxmlformats.org/officeDocument/2006/relationships/hyperlink" Target="https://stats.oecd.org/index.aspx?DataSetCode=HEALTH_STAT" TargetMode="External"/><Relationship Id="rId1113" Type="http://schemas.openxmlformats.org/officeDocument/2006/relationships/hyperlink" Target="https://international.commonwealthfund.org/stats/" TargetMode="External"/><Relationship Id="rId1103" Type="http://schemas.openxmlformats.org/officeDocument/2006/relationships/hyperlink" Target="https://international.commonwealthfund.org/stats/" TargetMode="External"/><Relationship Id="rId1104" Type="http://schemas.openxmlformats.org/officeDocument/2006/relationships/hyperlink" Target="https://www.cms.gov/Medicare/Quality-Initiatives-Patient-Assessment-Instruments/QualityInitiativesGenInfo/MMF/General-info-Sub-Page.html" TargetMode="External"/><Relationship Id="rId1105" Type="http://schemas.openxmlformats.org/officeDocument/2006/relationships/hyperlink" Target="https://international.commonwealthfund.org/stats/" TargetMode="External"/><Relationship Id="rId1106" Type="http://schemas.openxmlformats.org/officeDocument/2006/relationships/hyperlink" Target="https://www.cms.gov/Medicare/Quality-Initiatives-Patient-Assessment-Instruments/QualityInitiativesGenInfo/MMF/General-info-Sub-Page.html" TargetMode="External"/><Relationship Id="rId11" Type="http://schemas.openxmlformats.org/officeDocument/2006/relationships/hyperlink" Target="https://apps.who.int/iris/bitstream/handle/10665/259951/WHO-HIS-IER-GPM-2018.1-eng.pdf;jsessionid=47FB126CD095961CAC9D15E3FBF39514?sequence=1" TargetMode="External"/><Relationship Id="rId1107" Type="http://schemas.openxmlformats.org/officeDocument/2006/relationships/hyperlink" Target="https://interactives.commonwealthfund.org/2018/state-scorecard/files/Radley_State_Scorecard_2018.pdf" TargetMode="External"/><Relationship Id="rId10" Type="http://schemas.openxmlformats.org/officeDocument/2006/relationships/hyperlink" Target="https://www.americashealthrankings.org/explore/health-of-women-and-children/measure/maternal_mortality/state/ALL" TargetMode="External"/><Relationship Id="rId1108" Type="http://schemas.openxmlformats.org/officeDocument/2006/relationships/hyperlink" Target="https://www.americashealthrankings.org/explore/annual" TargetMode="External"/><Relationship Id="rId13" Type="http://schemas.openxmlformats.org/officeDocument/2006/relationships/hyperlink" Target="https://www.gapminder.org/data/" TargetMode="External"/><Relationship Id="rId1109" Type="http://schemas.openxmlformats.org/officeDocument/2006/relationships/hyperlink" Target="https://interactives.commonwealthfund.org/2018/state-scorecard/files/Radley_State_Scorecard_2018.pdf" TargetMode="External"/><Relationship Id="rId12" Type="http://schemas.openxmlformats.org/officeDocument/2006/relationships/hyperlink" Target="https://stats.oecd.org/index.aspx?DataSetCode=HEALTH_STAT" TargetMode="External"/><Relationship Id="rId519" Type="http://schemas.openxmlformats.org/officeDocument/2006/relationships/hyperlink" Target="https://data.worldbank.org/indicator/" TargetMode="External"/><Relationship Id="rId514" Type="http://schemas.openxmlformats.org/officeDocument/2006/relationships/hyperlink" Target="https://www.cdc.gov/nchs/fastats/deaths.htm" TargetMode="External"/><Relationship Id="rId756" Type="http://schemas.openxmlformats.org/officeDocument/2006/relationships/hyperlink" Target="https://international.commonwealthfund.org/stats/" TargetMode="External"/><Relationship Id="rId998" Type="http://schemas.openxmlformats.org/officeDocument/2006/relationships/hyperlink" Target="https://apps.who.int/iris/bitstream/handle/10665/259951/WHO-HIS-IER-GPM-2018.1-eng.pdf;jsessionid=47FB126CD095961CAC9D15E3FBF39514?sequence=1" TargetMode="External"/><Relationship Id="rId513" Type="http://schemas.openxmlformats.org/officeDocument/2006/relationships/hyperlink" Target="https://www.americashealthrankings.org/explore/annual" TargetMode="External"/><Relationship Id="rId755" Type="http://schemas.openxmlformats.org/officeDocument/2006/relationships/hyperlink" Target="https://www.oecd-ilibrary.org/docserver/health_glance-2017-en.pdf?expires=1564008067&amp;id=id&amp;accname=guest&amp;checksum=D0ABDB5402647B576A76E200E17FD74F" TargetMode="External"/><Relationship Id="rId997" Type="http://schemas.openxmlformats.org/officeDocument/2006/relationships/hyperlink" Target="https://stats.oecd.org/index.aspx?DataSetCode=HEALTH_STAT" TargetMode="External"/><Relationship Id="rId512" Type="http://schemas.openxmlformats.org/officeDocument/2006/relationships/hyperlink" Target="https://usafacts.org/missions/promote-welfare/12" TargetMode="External"/><Relationship Id="rId754" Type="http://schemas.openxmlformats.org/officeDocument/2006/relationships/hyperlink" Target="https://usafacts.org/missions/promote-welfare/12" TargetMode="External"/><Relationship Id="rId996" Type="http://schemas.openxmlformats.org/officeDocument/2006/relationships/hyperlink" Target="https://apps.who.int/iris/bitstream/handle/10665/259951/WHO-HIS-IER-GPM-2018.1-eng.pdf;jsessionid=47FB126CD095961CAC9D15E3FBF39514?sequence=1" TargetMode="External"/><Relationship Id="rId511" Type="http://schemas.openxmlformats.org/officeDocument/2006/relationships/hyperlink" Target="https://stats.oecd.org/index.aspx?DataSetCode=HEALTH_STAT" TargetMode="External"/><Relationship Id="rId753" Type="http://schemas.openxmlformats.org/officeDocument/2006/relationships/hyperlink" Target="https://www.oecd-ilibrary.org/docserver/health_glance-2017-en.pdf?expires=1564008067&amp;id=id&amp;accname=guest&amp;checksum=D0ABDB5402647B576A76E200E17FD74F" TargetMode="External"/><Relationship Id="rId995" Type="http://schemas.openxmlformats.org/officeDocument/2006/relationships/hyperlink" Target="https://www.cdc.gov/nchs/healthy_people/hp2020/hp2020_indicators.htm" TargetMode="External"/><Relationship Id="rId518" Type="http://schemas.openxmlformats.org/officeDocument/2006/relationships/hyperlink" Target="https://www.americashealthrankings.org/explore/annual" TargetMode="External"/><Relationship Id="rId517" Type="http://schemas.openxmlformats.org/officeDocument/2006/relationships/hyperlink" Target="https://usafacts.org/missions/promote-welfare/12" TargetMode="External"/><Relationship Id="rId759" Type="http://schemas.openxmlformats.org/officeDocument/2006/relationships/hyperlink" Target="https://interactives.commonwealthfund.org/2018/state-scorecard/files/Radley_State_Scorecard_2018.pdf" TargetMode="External"/><Relationship Id="rId516" Type="http://schemas.openxmlformats.org/officeDocument/2006/relationships/hyperlink" Target="https://stats.oecd.org/index.aspx?DataSetCode=HEALTH_STAT" TargetMode="External"/><Relationship Id="rId758" Type="http://schemas.openxmlformats.org/officeDocument/2006/relationships/hyperlink" Target="https://apps.who.int/iris/bitstream/handle/10665/259951/WHO-HIS-IER-GPM-2018.1-eng.pdf;jsessionid=47FB126CD095961CAC9D15E3FBF39514?sequence=1" TargetMode="External"/><Relationship Id="rId515" Type="http://schemas.openxmlformats.org/officeDocument/2006/relationships/hyperlink" Target="https://apps.who.int/iris/bitstream/handle/10665/259951/WHO-HIS-IER-GPM-2018.1-eng.pdf;jsessionid=47FB126CD095961CAC9D15E3FBF39514?sequence=1" TargetMode="External"/><Relationship Id="rId757" Type="http://schemas.openxmlformats.org/officeDocument/2006/relationships/hyperlink" Target="https://www.cms.gov/Medicare/Quality-Initiatives-Patient-Assessment-Instruments/QualityInitiativesGenInfo/MMF/General-info-Sub-Page.html" TargetMode="External"/><Relationship Id="rId999" Type="http://schemas.openxmlformats.org/officeDocument/2006/relationships/hyperlink" Target="https://stats.oecd.org/index.aspx?DataSetCode=HEALTH_STAT" TargetMode="External"/><Relationship Id="rId15" Type="http://schemas.openxmlformats.org/officeDocument/2006/relationships/hyperlink" Target="https://data.worldbank.org/indicator/" TargetMode="External"/><Relationship Id="rId990" Type="http://schemas.openxmlformats.org/officeDocument/2006/relationships/hyperlink" Target="https://www.gapminder.org/data/" TargetMode="External"/><Relationship Id="rId14" Type="http://schemas.openxmlformats.org/officeDocument/2006/relationships/hyperlink" Target="https://www.americashealthrankings.org/explore/health-of-women-and-children/measure/maternal_mortality/state/ALL" TargetMode="External"/><Relationship Id="rId17" Type="http://schemas.openxmlformats.org/officeDocument/2006/relationships/hyperlink" Target="https://apps.who.int/iris/bitstream/handle/10665/259951/WHO-HIS-IER-GPM-2018.1-eng.pdf;jsessionid=47FB126CD095961CAC9D15E3FBF39514?sequence=1" TargetMode="External"/><Relationship Id="rId16" Type="http://schemas.openxmlformats.org/officeDocument/2006/relationships/hyperlink" Target="http://www.paho.org/data/index.php/en/indicators/visualization.html" TargetMode="External"/><Relationship Id="rId19" Type="http://schemas.openxmlformats.org/officeDocument/2006/relationships/hyperlink" Target="https://usafacts.org/missions/promote-welfare/12" TargetMode="External"/><Relationship Id="rId510" Type="http://schemas.openxmlformats.org/officeDocument/2006/relationships/hyperlink" Target="https://interactives.commonwealthfund.org/2018/state-scorecard/files/Radley_State_Scorecard_2018.pdf" TargetMode="External"/><Relationship Id="rId752" Type="http://schemas.openxmlformats.org/officeDocument/2006/relationships/hyperlink" Target="https://stats.oecd.org/index.aspx?DataSetCode=HEALTH_STAT" TargetMode="External"/><Relationship Id="rId994" Type="http://schemas.openxmlformats.org/officeDocument/2006/relationships/hyperlink" Target="https://www.americashealthrankings.org/explore/annual" TargetMode="External"/><Relationship Id="rId18" Type="http://schemas.openxmlformats.org/officeDocument/2006/relationships/hyperlink" Target="https://stats.oecd.org/index.aspx?DataSetCode=HEALTH_STAT" TargetMode="External"/><Relationship Id="rId751" Type="http://schemas.openxmlformats.org/officeDocument/2006/relationships/hyperlink" Target="https://stats.oecd.org/index.aspx?DataSetCode=HEALTH_STAT" TargetMode="External"/><Relationship Id="rId993" Type="http://schemas.openxmlformats.org/officeDocument/2006/relationships/hyperlink" Target="https://interactives.commonwealthfund.org/2018/state-scorecard/files/Radley_State_Scorecard_2018.pdf" TargetMode="External"/><Relationship Id="rId1100" Type="http://schemas.openxmlformats.org/officeDocument/2006/relationships/hyperlink" Target="https://data.worldbank.org/indicator/" TargetMode="External"/><Relationship Id="rId750" Type="http://schemas.openxmlformats.org/officeDocument/2006/relationships/hyperlink" Target="https://usafacts.org/missions/promote-welfare/12" TargetMode="External"/><Relationship Id="rId992" Type="http://schemas.openxmlformats.org/officeDocument/2006/relationships/hyperlink" Target="https://www.cdc.gov/nchs/healthy_people/hp2020/hp2020_indicators.htm" TargetMode="External"/><Relationship Id="rId1101" Type="http://schemas.openxmlformats.org/officeDocument/2006/relationships/hyperlink" Target="https://international.commonwealthfund.org/stats/" TargetMode="External"/><Relationship Id="rId991" Type="http://schemas.openxmlformats.org/officeDocument/2006/relationships/hyperlink" Target="https://data.worldbank.org/indicator/" TargetMode="External"/><Relationship Id="rId1102" Type="http://schemas.openxmlformats.org/officeDocument/2006/relationships/hyperlink" Target="https://www.cms.gov/about-cms/story-page/our-16-strategic-initiatives.html" TargetMode="External"/><Relationship Id="rId84" Type="http://schemas.openxmlformats.org/officeDocument/2006/relationships/hyperlink" Target="https://apps.who.int/iris/bitstream/handle/10665/259951/WHO-HIS-IER-GPM-2018.1-eng.pdf;jsessionid=47FB126CD095961CAC9D15E3FBF39514?sequence=1" TargetMode="External"/><Relationship Id="rId83" Type="http://schemas.openxmlformats.org/officeDocument/2006/relationships/hyperlink" Target="https://apps.who.int/iris/bitstream/handle/10665/259951/WHO-HIS-IER-GPM-2018.1-eng.pdf;jsessionid=47FB126CD095961CAC9D15E3FBF39514?sequence=1" TargetMode="External"/><Relationship Id="rId86" Type="http://schemas.openxmlformats.org/officeDocument/2006/relationships/hyperlink" Target="https://apps.who.int/iris/bitstream/handle/10665/259951/WHO-HIS-IER-GPM-2018.1-eng.pdf;jsessionid=47FB126CD095961CAC9D15E3FBF39514?sequence=1" TargetMode="External"/><Relationship Id="rId85" Type="http://schemas.openxmlformats.org/officeDocument/2006/relationships/hyperlink" Target="https://apps.who.int/iris/bitstream/handle/10665/259951/WHO-HIS-IER-GPM-2018.1-eng.pdf;jsessionid=47FB126CD095961CAC9D15E3FBF39514?sequence=1" TargetMode="External"/><Relationship Id="rId88" Type="http://schemas.openxmlformats.org/officeDocument/2006/relationships/hyperlink" Target="https://interactives.commonwealthfund.org/2018/state-scorecard/files/Radley_State_Scorecard_2018.pdf" TargetMode="External"/><Relationship Id="rId87" Type="http://schemas.openxmlformats.org/officeDocument/2006/relationships/hyperlink" Target="https://apps.who.int/iris/bitstream/handle/10665/259951/WHO-HIS-IER-GPM-2018.1-eng.pdf;jsessionid=47FB126CD095961CAC9D15E3FBF39514?sequence=1" TargetMode="External"/><Relationship Id="rId89" Type="http://schemas.openxmlformats.org/officeDocument/2006/relationships/hyperlink" Target="https://stats.oecd.org/index.aspx?DataSetCode=HEALTH_STAT" TargetMode="External"/><Relationship Id="rId709" Type="http://schemas.openxmlformats.org/officeDocument/2006/relationships/hyperlink" Target="https://stats.oecd.org/index.aspx?DataSetCode=HEALTH_STAT" TargetMode="External"/><Relationship Id="rId708" Type="http://schemas.openxmlformats.org/officeDocument/2006/relationships/hyperlink" Target="https://international.commonwealthfund.org/stats/" TargetMode="External"/><Relationship Id="rId707" Type="http://schemas.openxmlformats.org/officeDocument/2006/relationships/hyperlink" Target="https://www.cdc.gov/nchs/healthy_people/hp2020/hp2020_indicators.htm" TargetMode="External"/><Relationship Id="rId949" Type="http://schemas.openxmlformats.org/officeDocument/2006/relationships/hyperlink" Target="https://interactives.commonwealthfund.org/2018/state-scorecard/files/Radley_State_Scorecard_2018.pdf" TargetMode="External"/><Relationship Id="rId706" Type="http://schemas.openxmlformats.org/officeDocument/2006/relationships/hyperlink" Target="https://www.americashealthrankings.org/explore/annual" TargetMode="External"/><Relationship Id="rId948" Type="http://schemas.openxmlformats.org/officeDocument/2006/relationships/hyperlink" Target="https://interactives.commonwealthfund.org/2018/state-scorecard/files/Radley_State_Scorecard_2018.pdf" TargetMode="External"/><Relationship Id="rId80" Type="http://schemas.openxmlformats.org/officeDocument/2006/relationships/hyperlink" Target="https://apps.who.int/iris/bitstream/handle/10665/259951/WHO-HIS-IER-GPM-2018.1-eng.pdf;jsessionid=47FB126CD095961CAC9D15E3FBF39514?sequence=1" TargetMode="External"/><Relationship Id="rId82" Type="http://schemas.openxmlformats.org/officeDocument/2006/relationships/hyperlink" Target="https://apps.who.int/iris/bitstream/handle/10665/259951/WHO-HIS-IER-GPM-2018.1-eng.pdf;jsessionid=47FB126CD095961CAC9D15E3FBF39514?sequence=1" TargetMode="External"/><Relationship Id="rId81" Type="http://schemas.openxmlformats.org/officeDocument/2006/relationships/hyperlink" Target="https://apps.who.int/iris/bitstream/handle/10665/259951/WHO-HIS-IER-GPM-2018.1-eng.pdf;jsessionid=47FB126CD095961CAC9D15E3FBF39514?sequence=1" TargetMode="External"/><Relationship Id="rId701" Type="http://schemas.openxmlformats.org/officeDocument/2006/relationships/hyperlink" Target="http://www.paho.org/data/index.php/en/indicators/visualization.html" TargetMode="External"/><Relationship Id="rId943" Type="http://schemas.openxmlformats.org/officeDocument/2006/relationships/hyperlink" Target="https://www.cms.gov/about-cms/story-page/our-16-strategic-initiatives.html" TargetMode="External"/><Relationship Id="rId700" Type="http://schemas.openxmlformats.org/officeDocument/2006/relationships/hyperlink" Target="http://www.paho.org/data/index.php/en/indicators/visualization.html" TargetMode="External"/><Relationship Id="rId942" Type="http://schemas.openxmlformats.org/officeDocument/2006/relationships/hyperlink" Target="https://international.commonwealthfund.org/stats/" TargetMode="External"/><Relationship Id="rId941" Type="http://schemas.openxmlformats.org/officeDocument/2006/relationships/hyperlink" Target="https://apps.who.int/iris/bitstream/handle/10665/259951/WHO-HIS-IER-GPM-2018.1-eng.pdf;jsessionid=47FB126CD095961CAC9D15E3FBF39514?sequence=1" TargetMode="External"/><Relationship Id="rId940" Type="http://schemas.openxmlformats.org/officeDocument/2006/relationships/hyperlink" Target="https://apps.who.int/iris/bitstream/handle/10665/259951/WHO-HIS-IER-GPM-2018.1-eng.pdf;jsessionid=47FB126CD095961CAC9D15E3FBF39514?sequence=1" TargetMode="External"/><Relationship Id="rId705" Type="http://schemas.openxmlformats.org/officeDocument/2006/relationships/hyperlink" Target="https://usafacts.org/missions/promote-welfare/12" TargetMode="External"/><Relationship Id="rId947" Type="http://schemas.openxmlformats.org/officeDocument/2006/relationships/hyperlink" Target="https://interactives.commonwealthfund.org/2018/state-scorecard/files/Radley_State_Scorecard_2018.pdf" TargetMode="External"/><Relationship Id="rId704" Type="http://schemas.openxmlformats.org/officeDocument/2006/relationships/hyperlink" Target="https://data.worldbank.org/indicator/" TargetMode="External"/><Relationship Id="rId946" Type="http://schemas.openxmlformats.org/officeDocument/2006/relationships/hyperlink" Target="https://www.cms.gov/Medicare/Quality-Initiatives-Patient-Assessment-Instruments/QualityInitiativesGenInfo/MMF/General-info-Sub-Page.html" TargetMode="External"/><Relationship Id="rId703" Type="http://schemas.openxmlformats.org/officeDocument/2006/relationships/hyperlink" Target="https://stats.oecd.org/index.aspx?DataSetCode=HEALTH_STAT" TargetMode="External"/><Relationship Id="rId945" Type="http://schemas.openxmlformats.org/officeDocument/2006/relationships/hyperlink" Target="https://www.cms.gov/about-cms/story-page/our-16-strategic-initiatives.html" TargetMode="External"/><Relationship Id="rId702" Type="http://schemas.openxmlformats.org/officeDocument/2006/relationships/hyperlink" Target="https://international.commonwealthfund.org/stats/" TargetMode="External"/><Relationship Id="rId944" Type="http://schemas.openxmlformats.org/officeDocument/2006/relationships/hyperlink" Target="https://www.cms.gov/about-cms/story-page/our-16-strategic-initiatives.html" TargetMode="External"/><Relationship Id="rId73" Type="http://schemas.openxmlformats.org/officeDocument/2006/relationships/hyperlink" Target="https://apps.who.int/iris/bitstream/handle/10665/259951/WHO-HIS-IER-GPM-2018.1-eng.pdf;jsessionid=47FB126CD095961CAC9D15E3FBF39514?sequence=1" TargetMode="External"/><Relationship Id="rId72" Type="http://schemas.openxmlformats.org/officeDocument/2006/relationships/hyperlink" Target="https://www.americashealthrankings.org/explore/annual" TargetMode="External"/><Relationship Id="rId75" Type="http://schemas.openxmlformats.org/officeDocument/2006/relationships/hyperlink" Target="https://apps.who.int/iris/bitstream/handle/10665/259951/WHO-HIS-IER-GPM-2018.1-eng.pdf;jsessionid=47FB126CD095961CAC9D15E3FBF39514?sequence=1" TargetMode="External"/><Relationship Id="rId74" Type="http://schemas.openxmlformats.org/officeDocument/2006/relationships/hyperlink" Target="https://www.gapminder.org/data/" TargetMode="External"/><Relationship Id="rId77" Type="http://schemas.openxmlformats.org/officeDocument/2006/relationships/hyperlink" Target="https://usafacts.org/missions/promote-welfare/12" TargetMode="External"/><Relationship Id="rId76" Type="http://schemas.openxmlformats.org/officeDocument/2006/relationships/hyperlink" Target="https://data.worldbank.org/indicator/" TargetMode="External"/><Relationship Id="rId79" Type="http://schemas.openxmlformats.org/officeDocument/2006/relationships/hyperlink" Target="https://apps.who.int/iris/bitstream/handle/10665/259951/WHO-HIS-IER-GPM-2018.1-eng.pdf;jsessionid=47FB126CD095961CAC9D15E3FBF39514?sequence=1" TargetMode="External"/><Relationship Id="rId78" Type="http://schemas.openxmlformats.org/officeDocument/2006/relationships/hyperlink" Target="https://apps.who.int/iris/bitstream/handle/10665/259951/WHO-HIS-IER-GPM-2018.1-eng.pdf;jsessionid=47FB126CD095961CAC9D15E3FBF39514?sequence=1" TargetMode="External"/><Relationship Id="rId939" Type="http://schemas.openxmlformats.org/officeDocument/2006/relationships/hyperlink" Target="https://usafacts.org/missions/promote-welfare/12" TargetMode="External"/><Relationship Id="rId938" Type="http://schemas.openxmlformats.org/officeDocument/2006/relationships/hyperlink" Target="https://stats.oecd.org/index.aspx?DataSetCode=HEALTH_STAT" TargetMode="External"/><Relationship Id="rId937" Type="http://schemas.openxmlformats.org/officeDocument/2006/relationships/hyperlink" Target="https://stats.oecd.org/index.aspx?DataSetCode=HEALTH_STAT" TargetMode="External"/><Relationship Id="rId71" Type="http://schemas.openxmlformats.org/officeDocument/2006/relationships/hyperlink" Target="https://apps.who.int/iris/bitstream/handle/10665/259951/WHO-HIS-IER-GPM-2018.1-eng.pdf;jsessionid=47FB126CD095961CAC9D15E3FBF39514?sequence=1" TargetMode="External"/><Relationship Id="rId70" Type="http://schemas.openxmlformats.org/officeDocument/2006/relationships/hyperlink" Target="https://data.worldbank.org/indicator/" TargetMode="External"/><Relationship Id="rId932" Type="http://schemas.openxmlformats.org/officeDocument/2006/relationships/hyperlink" Target="http://www.paho.org/data/index.php/en/indicators/visualization.html" TargetMode="External"/><Relationship Id="rId931" Type="http://schemas.openxmlformats.org/officeDocument/2006/relationships/hyperlink" Target="http://www.paho.org/data/index.php/en/indicators/visualization.html" TargetMode="External"/><Relationship Id="rId930" Type="http://schemas.openxmlformats.org/officeDocument/2006/relationships/hyperlink" Target="https://usafacts.org/missions/promote-welfare/12" TargetMode="External"/><Relationship Id="rId936" Type="http://schemas.openxmlformats.org/officeDocument/2006/relationships/hyperlink" Target="https://international.commonwealthfund.org/stats/" TargetMode="External"/><Relationship Id="rId935" Type="http://schemas.openxmlformats.org/officeDocument/2006/relationships/hyperlink" Target="https://apps.who.int/iris/bitstream/handle/10665/259951/WHO-HIS-IER-GPM-2018.1-eng.pdf;jsessionid=47FB126CD095961CAC9D15E3FBF39514?sequence=1" TargetMode="External"/><Relationship Id="rId934" Type="http://schemas.openxmlformats.org/officeDocument/2006/relationships/hyperlink" Target="https://www.americashealthrankings.org/explore/annual" TargetMode="External"/><Relationship Id="rId933" Type="http://schemas.openxmlformats.org/officeDocument/2006/relationships/hyperlink" Target="https://data.worldbank.org/indicator/" TargetMode="External"/><Relationship Id="rId62" Type="http://schemas.openxmlformats.org/officeDocument/2006/relationships/hyperlink" Target="https://data.worldbank.org/indicator/" TargetMode="External"/><Relationship Id="rId61" Type="http://schemas.openxmlformats.org/officeDocument/2006/relationships/hyperlink" Target="https://apps.who.int/iris/bitstream/handle/10665/259951/WHO-HIS-IER-GPM-2018.1-eng.pdf;jsessionid=47FB126CD095961CAC9D15E3FBF39514?sequence=1" TargetMode="External"/><Relationship Id="rId64" Type="http://schemas.openxmlformats.org/officeDocument/2006/relationships/hyperlink" Target="https://apps.who.int/iris/bitstream/handle/10665/259951/WHO-HIS-IER-GPM-2018.1-eng.pdf;jsessionid=47FB126CD095961CAC9D15E3FBF39514?sequence=1" TargetMode="External"/><Relationship Id="rId63" Type="http://schemas.openxmlformats.org/officeDocument/2006/relationships/hyperlink" Target="https://www.cdc.gov/nchs/healthy_people/hp2020/hp2020_indicators.htm" TargetMode="External"/><Relationship Id="rId66" Type="http://schemas.openxmlformats.org/officeDocument/2006/relationships/hyperlink" Target="https://data.worldbank.org/indicator/" TargetMode="External"/><Relationship Id="rId65" Type="http://schemas.openxmlformats.org/officeDocument/2006/relationships/hyperlink" Target="https://www.gapminder.org/data/" TargetMode="External"/><Relationship Id="rId68" Type="http://schemas.openxmlformats.org/officeDocument/2006/relationships/hyperlink" Target="https://stats.oecd.org/index.aspx?DataSetCode=HEALTH_STAT" TargetMode="External"/><Relationship Id="rId67" Type="http://schemas.openxmlformats.org/officeDocument/2006/relationships/hyperlink" Target="https://apps.who.int/iris/bitstream/handle/10665/259951/WHO-HIS-IER-GPM-2018.1-eng.pdf;jsessionid=47FB126CD095961CAC9D15E3FBF39514?sequence=1" TargetMode="External"/><Relationship Id="rId729" Type="http://schemas.openxmlformats.org/officeDocument/2006/relationships/hyperlink" Target="https://interactives.commonwealthfund.org/2018/state-scorecard/files/Radley_State_Scorecard_2018.pdf" TargetMode="External"/><Relationship Id="rId728" Type="http://schemas.openxmlformats.org/officeDocument/2006/relationships/hyperlink" Target="https://www.cms.gov/Medicare/Quality-Initiatives-Patient-Assessment-Instruments/QualityInitiativesGenInfo/MMF/General-info-Sub-Page.html" TargetMode="External"/><Relationship Id="rId60" Type="http://schemas.openxmlformats.org/officeDocument/2006/relationships/hyperlink" Target="https://www.cdc.gov/nchs/healthy_people/hp2020/hp2020_indicators.htm" TargetMode="External"/><Relationship Id="rId723" Type="http://schemas.openxmlformats.org/officeDocument/2006/relationships/hyperlink" Target="https://www.oecd-ilibrary.org/social-issues-migration-health/health-at-a-glance-2017_health_glance-2017-en" TargetMode="External"/><Relationship Id="rId965" Type="http://schemas.openxmlformats.org/officeDocument/2006/relationships/hyperlink" Target="https://stats.oecd.org/index.aspx?DataSetCode=HEALTH_STAT" TargetMode="External"/><Relationship Id="rId722" Type="http://schemas.openxmlformats.org/officeDocument/2006/relationships/hyperlink" Target="https://www.oecd-ilibrary.org/social-issues-migration-health/health-at-a-glance-2017_health_glance-2017-en" TargetMode="External"/><Relationship Id="rId964" Type="http://schemas.openxmlformats.org/officeDocument/2006/relationships/hyperlink" Target="https://apps.who.int/iris/bitstream/handle/10665/259951/WHO-HIS-IER-GPM-2018.1-eng.pdf;jsessionid=47FB126CD095961CAC9D15E3FBF39514?sequence=1" TargetMode="External"/><Relationship Id="rId721" Type="http://schemas.openxmlformats.org/officeDocument/2006/relationships/hyperlink" Target="https://data.worldbank.org/indicator/" TargetMode="External"/><Relationship Id="rId963" Type="http://schemas.openxmlformats.org/officeDocument/2006/relationships/hyperlink" Target="https://www.americashealthrankings.org/explore/annual" TargetMode="External"/><Relationship Id="rId720" Type="http://schemas.openxmlformats.org/officeDocument/2006/relationships/hyperlink" Target="https://interactives.commonwealthfund.org/2018/state-scorecard/files/Radley_State_Scorecard_2018.pdf" TargetMode="External"/><Relationship Id="rId962" Type="http://schemas.openxmlformats.org/officeDocument/2006/relationships/hyperlink" Target="https://usafacts.org/missions/promote-welfare/12" TargetMode="External"/><Relationship Id="rId727" Type="http://schemas.openxmlformats.org/officeDocument/2006/relationships/hyperlink" Target="https://international.commonwealthfund.org/stats/" TargetMode="External"/><Relationship Id="rId969" Type="http://schemas.openxmlformats.org/officeDocument/2006/relationships/hyperlink" Target="https://www.cdc.gov/nchs/healthy_people/hp2020/hp2020_indicators.htm" TargetMode="External"/><Relationship Id="rId726" Type="http://schemas.openxmlformats.org/officeDocument/2006/relationships/hyperlink" Target="https://www.cms.gov/Medicare/Quality-Initiatives-Patient-Assessment-Instruments/QualityInitiativesGenInfo/MMF/General-info-Sub-Page.html" TargetMode="External"/><Relationship Id="rId968" Type="http://schemas.openxmlformats.org/officeDocument/2006/relationships/hyperlink" Target="https://data.worldbank.org/indicator/" TargetMode="External"/><Relationship Id="rId725" Type="http://schemas.openxmlformats.org/officeDocument/2006/relationships/hyperlink" Target="https://stats.oecd.org/index.aspx?DataSetCode=HEALTH_STAT" TargetMode="External"/><Relationship Id="rId967" Type="http://schemas.openxmlformats.org/officeDocument/2006/relationships/hyperlink" Target="https://www.americashealthrankings.org/explore/annual" TargetMode="External"/><Relationship Id="rId724" Type="http://schemas.openxmlformats.org/officeDocument/2006/relationships/hyperlink" Target="https://www.oecd-ilibrary.org/social-issues-migration-health/health-at-a-glance-2017_health_glance-2017-en" TargetMode="External"/><Relationship Id="rId966" Type="http://schemas.openxmlformats.org/officeDocument/2006/relationships/hyperlink" Target="https://usafacts.org/missions/promote-welfare/12" TargetMode="External"/><Relationship Id="rId69" Type="http://schemas.openxmlformats.org/officeDocument/2006/relationships/hyperlink" Target="https://apps.who.int/iris/bitstream/handle/10665/259951/WHO-HIS-IER-GPM-2018.1-eng.pdf;jsessionid=47FB126CD095961CAC9D15E3FBF39514?sequence=1" TargetMode="External"/><Relationship Id="rId961" Type="http://schemas.openxmlformats.org/officeDocument/2006/relationships/hyperlink" Target="https://www.oecd-ilibrary.org/docserver/health_glance-2017-en.pdf?expires=1564008067&amp;id=id&amp;accname=guest&amp;checksum=D0ABDB5402647B576A76E200E17FD74F" TargetMode="External"/><Relationship Id="rId960" Type="http://schemas.openxmlformats.org/officeDocument/2006/relationships/hyperlink" Target="https://apps.who.int/iris/bitstream/handle/10665/259951/WHO-HIS-IER-GPM-2018.1-eng.pdf;jsessionid=47FB126CD095961CAC9D15E3FBF39514?sequence=1" TargetMode="External"/><Relationship Id="rId51" Type="http://schemas.openxmlformats.org/officeDocument/2006/relationships/hyperlink" Target="https://stats.oecd.org/index.aspx?DataSetCode=HEALTH_STAT" TargetMode="External"/><Relationship Id="rId50" Type="http://schemas.openxmlformats.org/officeDocument/2006/relationships/hyperlink" Target="https://apps.who.int/iris/bitstream/handle/10665/259951/WHO-HIS-IER-GPM-2018.1-eng.pdf;jsessionid=47FB126CD095961CAC9D15E3FBF39514?sequence=1" TargetMode="External"/><Relationship Id="rId53" Type="http://schemas.openxmlformats.org/officeDocument/2006/relationships/hyperlink" Target="https://data.worldbank.org/indicator/" TargetMode="External"/><Relationship Id="rId52" Type="http://schemas.openxmlformats.org/officeDocument/2006/relationships/hyperlink" Target="https://usafacts.org/missions/promote-welfare/12" TargetMode="External"/><Relationship Id="rId55" Type="http://schemas.openxmlformats.org/officeDocument/2006/relationships/hyperlink" Target="https://www.americashealthrankings.org/explore/annual" TargetMode="External"/><Relationship Id="rId54" Type="http://schemas.openxmlformats.org/officeDocument/2006/relationships/hyperlink" Target="https://www.gapminder.org/data/" TargetMode="External"/><Relationship Id="rId57" Type="http://schemas.openxmlformats.org/officeDocument/2006/relationships/hyperlink" Target="https://apps.who.int/iris/bitstream/handle/10665/259951/WHO-HIS-IER-GPM-2018.1-eng.pdf;jsessionid=47FB126CD095961CAC9D15E3FBF39514?sequence=1" TargetMode="External"/><Relationship Id="rId56" Type="http://schemas.openxmlformats.org/officeDocument/2006/relationships/hyperlink" Target="https://www.cdc.gov/nchs/healthy_people/hp2020/hp2020_indicators.htm" TargetMode="External"/><Relationship Id="rId719" Type="http://schemas.openxmlformats.org/officeDocument/2006/relationships/hyperlink" Target="https://apps.who.int/iris/bitstream/handle/10665/259951/WHO-HIS-IER-GPM-2018.1-eng.pdf;jsessionid=47FB126CD095961CAC9D15E3FBF39514?sequence=1" TargetMode="External"/><Relationship Id="rId718" Type="http://schemas.openxmlformats.org/officeDocument/2006/relationships/hyperlink" Target="https://data.worldbank.org/indicator/" TargetMode="External"/><Relationship Id="rId717" Type="http://schemas.openxmlformats.org/officeDocument/2006/relationships/hyperlink" Target="https://interactives.commonwealthfund.org/2018/state-scorecard/files/Radley_State_Scorecard_2018.pdf" TargetMode="External"/><Relationship Id="rId959" Type="http://schemas.openxmlformats.org/officeDocument/2006/relationships/hyperlink" Target="https://www.cdc.gov/nchs/healthy_people/hp2020/hp2020_indicators.htm" TargetMode="External"/><Relationship Id="rId712" Type="http://schemas.openxmlformats.org/officeDocument/2006/relationships/hyperlink" Target="https://data.worldbank.org/indicator/" TargetMode="External"/><Relationship Id="rId954" Type="http://schemas.openxmlformats.org/officeDocument/2006/relationships/hyperlink" Target="https://interactives.commonwealthfund.org/2018/state-scorecard/files/Radley_State_Scorecard_2018.pdf" TargetMode="External"/><Relationship Id="rId711" Type="http://schemas.openxmlformats.org/officeDocument/2006/relationships/hyperlink" Target="https://www.americashealthrankings.org/explore/annual" TargetMode="External"/><Relationship Id="rId953" Type="http://schemas.openxmlformats.org/officeDocument/2006/relationships/hyperlink" Target="https://www.americashealthrankings.org/explore/annual" TargetMode="External"/><Relationship Id="rId710" Type="http://schemas.openxmlformats.org/officeDocument/2006/relationships/hyperlink" Target="https://usafacts.org/missions/promote-welfare/12" TargetMode="External"/><Relationship Id="rId952" Type="http://schemas.openxmlformats.org/officeDocument/2006/relationships/hyperlink" Target="https://usafacts.org/missions/promote-welfare/12" TargetMode="External"/><Relationship Id="rId951" Type="http://schemas.openxmlformats.org/officeDocument/2006/relationships/hyperlink" Target="https://interactives.commonwealthfund.org/2018/state-scorecard/files/Radley_State_Scorecard_2018.pdf" TargetMode="External"/><Relationship Id="rId716" Type="http://schemas.openxmlformats.org/officeDocument/2006/relationships/hyperlink" Target="https://apps.who.int/iris/bitstream/handle/10665/259951/WHO-HIS-IER-GPM-2018.1-eng.pdf;jsessionid=47FB126CD095961CAC9D15E3FBF39514?sequence=1" TargetMode="External"/><Relationship Id="rId958" Type="http://schemas.openxmlformats.org/officeDocument/2006/relationships/hyperlink" Target="https://www.cms.gov/about-cms/story-page/our-16-strategic-initiatives.html" TargetMode="External"/><Relationship Id="rId715" Type="http://schemas.openxmlformats.org/officeDocument/2006/relationships/hyperlink" Target="https://www.cms.gov/Medicare/Quality-Initiatives-Patient-Assessment-Instruments/QualityInitiativesGenInfo/MMF/General-info-Sub-Page.html" TargetMode="External"/><Relationship Id="rId957" Type="http://schemas.openxmlformats.org/officeDocument/2006/relationships/hyperlink" Target="https://www.americashealthrankings.org/explore/annual" TargetMode="External"/><Relationship Id="rId714" Type="http://schemas.openxmlformats.org/officeDocument/2006/relationships/hyperlink" Target="https://stats.oecd.org/index.aspx?DataSetCode=HEALTH_STAT" TargetMode="External"/><Relationship Id="rId956" Type="http://schemas.openxmlformats.org/officeDocument/2006/relationships/hyperlink" Target="https://usafacts.org/missions/promote-welfare/12" TargetMode="External"/><Relationship Id="rId713" Type="http://schemas.openxmlformats.org/officeDocument/2006/relationships/hyperlink" Target="https://interactives.commonwealthfund.org/2018/state-scorecard/files/Radley_State_Scorecard_2018.pdf" TargetMode="External"/><Relationship Id="rId955" Type="http://schemas.openxmlformats.org/officeDocument/2006/relationships/hyperlink" Target="https://stats.oecd.org/index.aspx?DataSetCode=HEALTH_STAT" TargetMode="External"/><Relationship Id="rId59" Type="http://schemas.openxmlformats.org/officeDocument/2006/relationships/hyperlink" Target="https://data.worldbank.org/indicator/" TargetMode="External"/><Relationship Id="rId58" Type="http://schemas.openxmlformats.org/officeDocument/2006/relationships/hyperlink" Target="https://www.gapminder.org/data/" TargetMode="External"/><Relationship Id="rId950" Type="http://schemas.openxmlformats.org/officeDocument/2006/relationships/hyperlink" Target="https://apps.who.int/iris/bitstream/handle/10665/259951/WHO-HIS-IER-GPM-2018.1-eng.pdf;jsessionid=47FB126CD095961CAC9D15E3FBF39514?sequence=1" TargetMode="External"/><Relationship Id="rId590" Type="http://schemas.openxmlformats.org/officeDocument/2006/relationships/hyperlink" Target="https://interactives.commonwealthfund.org/2018/state-scorecard/files/Radley_State_Scorecard_2018.pdf" TargetMode="External"/><Relationship Id="rId107" Type="http://schemas.openxmlformats.org/officeDocument/2006/relationships/hyperlink" Target="https://usafacts.org/missions/promote-welfare/12" TargetMode="External"/><Relationship Id="rId349" Type="http://schemas.openxmlformats.org/officeDocument/2006/relationships/hyperlink" Target="https://www.gapminder.org/data/" TargetMode="External"/><Relationship Id="rId106" Type="http://schemas.openxmlformats.org/officeDocument/2006/relationships/hyperlink" Target="https://www.americashealthrankings.org/explore/annual" TargetMode="External"/><Relationship Id="rId348" Type="http://schemas.openxmlformats.org/officeDocument/2006/relationships/hyperlink" Target="https://apps.who.int/iris/bitstream/handle/10665/259951/WHO-HIS-IER-GPM-2018.1-eng.pdf;jsessionid=47FB126CD095961CAC9D15E3FBF39514?sequence=1" TargetMode="External"/><Relationship Id="rId105" Type="http://schemas.openxmlformats.org/officeDocument/2006/relationships/hyperlink" Target="https://usafacts.org/missions/promote-welfare/12" TargetMode="External"/><Relationship Id="rId347" Type="http://schemas.openxmlformats.org/officeDocument/2006/relationships/hyperlink" Target="https://wwwn.cdc.gov/psr/NationalSummary/NationalSummary.aspx" TargetMode="External"/><Relationship Id="rId589" Type="http://schemas.openxmlformats.org/officeDocument/2006/relationships/hyperlink" Target="https://data.worldbank.org/indicator/" TargetMode="External"/><Relationship Id="rId104" Type="http://schemas.openxmlformats.org/officeDocument/2006/relationships/hyperlink" Target="https://www.oecd-ilibrary.org/docserver/health_glance-2017-en.pdf?expires=1564008067&amp;id=id&amp;accname=guest&amp;checksum=D0ABDB5402647B576A76E200E17FD74F" TargetMode="External"/><Relationship Id="rId346" Type="http://schemas.openxmlformats.org/officeDocument/2006/relationships/hyperlink" Target="https://apps.who.int/iris/bitstream/handle/10665/259951/WHO-HIS-IER-GPM-2018.1-eng.pdf;jsessionid=47FB126CD095961CAC9D15E3FBF39514?sequence=1" TargetMode="External"/><Relationship Id="rId588" Type="http://schemas.openxmlformats.org/officeDocument/2006/relationships/hyperlink" Target="https://stats.oecd.org/index.aspx?DataSetCode=HEALTH_STAT" TargetMode="External"/><Relationship Id="rId109" Type="http://schemas.openxmlformats.org/officeDocument/2006/relationships/hyperlink" Target="https://www.cdc.gov/nchs/healthy_people/hp2020/hp2020_indicators.htm" TargetMode="External"/><Relationship Id="rId1170" Type="http://schemas.openxmlformats.org/officeDocument/2006/relationships/hyperlink" Target="https://www.americashealthrankings.org/explore/annual" TargetMode="External"/><Relationship Id="rId108" Type="http://schemas.openxmlformats.org/officeDocument/2006/relationships/hyperlink" Target="https://www.americashealthrankings.org/explore/annual" TargetMode="External"/><Relationship Id="rId1171" Type="http://schemas.openxmlformats.org/officeDocument/2006/relationships/hyperlink" Target="https://data.worldbank.org/indicator/" TargetMode="External"/><Relationship Id="rId341" Type="http://schemas.openxmlformats.org/officeDocument/2006/relationships/hyperlink" Target="https://stats.oecd.org/index.aspx?DataSetCode=HEALTH_STAT" TargetMode="External"/><Relationship Id="rId583" Type="http://schemas.openxmlformats.org/officeDocument/2006/relationships/hyperlink" Target="https://www.cms.gov/Medicare/Quality-Initiatives-Patient-Assessment-Instruments/QualityInitiativesGenInfo/MMF/General-info-Sub-Page.html" TargetMode="External"/><Relationship Id="rId1172" Type="http://schemas.openxmlformats.org/officeDocument/2006/relationships/hyperlink" Target="https://www.cdc.gov/nchs/healthy_people/hp2020/hp2020_indicators.htm" TargetMode="External"/><Relationship Id="rId340" Type="http://schemas.openxmlformats.org/officeDocument/2006/relationships/hyperlink" Target="https://apps.who.int/iris/bitstream/handle/10665/259951/WHO-HIS-IER-GPM-2018.1-eng.pdf;jsessionid=47FB126CD095961CAC9D15E3FBF39514?sequence=1" TargetMode="External"/><Relationship Id="rId582" Type="http://schemas.openxmlformats.org/officeDocument/2006/relationships/hyperlink" Target="https://stats.oecd.org/index.aspx?DataSetCode=HEALTH_STAT" TargetMode="External"/><Relationship Id="rId1173" Type="http://schemas.openxmlformats.org/officeDocument/2006/relationships/hyperlink" Target="https://apps.who.int/iris/bitstream/handle/10665/259951/WHO-HIS-IER-GPM-2018.1-eng.pdf;jsessionid=47FB126CD095961CAC9D15E3FBF39514?sequence=1" TargetMode="External"/><Relationship Id="rId581" Type="http://schemas.openxmlformats.org/officeDocument/2006/relationships/hyperlink" Target="https://www.cms.gov/Medicare/Quality-Initiatives-Patient-Assessment-Instruments/QualityInitiativesGenInfo/MMF/General-info-Sub-Page.html" TargetMode="External"/><Relationship Id="rId1174" Type="http://schemas.openxmlformats.org/officeDocument/2006/relationships/hyperlink" Target="https://stats.oecd.org/index.aspx?DataSetCode=HEALTH_STAT" TargetMode="External"/><Relationship Id="rId580" Type="http://schemas.openxmlformats.org/officeDocument/2006/relationships/hyperlink" Target="https://stats.oecd.org/index.aspx?DataSetCode=HEALTH_STAT" TargetMode="External"/><Relationship Id="rId1175" Type="http://schemas.openxmlformats.org/officeDocument/2006/relationships/hyperlink" Target="https://www.americashealthrankings.org/explore/annual" TargetMode="External"/><Relationship Id="rId103" Type="http://schemas.openxmlformats.org/officeDocument/2006/relationships/hyperlink" Target="https://apps.who.int/iris/bitstream/handle/10665/259951/WHO-HIS-IER-GPM-2018.1-eng.pdf;jsessionid=47FB126CD095961CAC9D15E3FBF39514?sequence=1" TargetMode="External"/><Relationship Id="rId345" Type="http://schemas.openxmlformats.org/officeDocument/2006/relationships/hyperlink" Target="https://www.americashealthrankings.org/explore/annual" TargetMode="External"/><Relationship Id="rId587" Type="http://schemas.openxmlformats.org/officeDocument/2006/relationships/hyperlink" Target="https://stats.oecd.org/index.aspx?DataSetCode=HEALTH_STAT" TargetMode="External"/><Relationship Id="rId1176" Type="http://schemas.openxmlformats.org/officeDocument/2006/relationships/hyperlink" Target="https://www.cdc.gov/nchs/healthy_people/hp2020/hp2020_indicators.htm" TargetMode="External"/><Relationship Id="rId102" Type="http://schemas.openxmlformats.org/officeDocument/2006/relationships/hyperlink" Target="https://www.cdc.gov/nchs/healthy_people/hp2020/hp2020_indicators.htm" TargetMode="External"/><Relationship Id="rId344" Type="http://schemas.openxmlformats.org/officeDocument/2006/relationships/hyperlink" Target="https://stats.oecd.org/index.aspx?DataSetCode=HEALTH_STAT" TargetMode="External"/><Relationship Id="rId586" Type="http://schemas.openxmlformats.org/officeDocument/2006/relationships/hyperlink" Target="https://www.americashealthrankings.org/explore/annual" TargetMode="External"/><Relationship Id="rId1177" Type="http://schemas.openxmlformats.org/officeDocument/2006/relationships/hyperlink" Target="https://stats.oecd.org/index.aspx?DataSetCode=HEALTH_STAT" TargetMode="External"/><Relationship Id="rId101" Type="http://schemas.openxmlformats.org/officeDocument/2006/relationships/hyperlink" Target="https://www.americashealthrankings.org/explore/annual" TargetMode="External"/><Relationship Id="rId343" Type="http://schemas.openxmlformats.org/officeDocument/2006/relationships/hyperlink" Target="https://stats.oecd.org/index.aspx?DataSetCode=HEALTH_STAT" TargetMode="External"/><Relationship Id="rId585" Type="http://schemas.openxmlformats.org/officeDocument/2006/relationships/hyperlink" Target="https://stats.oecd.org/index.aspx?DataSetCode=HEALTH_STAT" TargetMode="External"/><Relationship Id="rId1178" Type="http://schemas.openxmlformats.org/officeDocument/2006/relationships/hyperlink" Target="https://usafacts.org/missions/promote-welfare/12" TargetMode="External"/><Relationship Id="rId100" Type="http://schemas.openxmlformats.org/officeDocument/2006/relationships/hyperlink" Target="https://usafacts.org/missions/promote-welfare/12" TargetMode="External"/><Relationship Id="rId342" Type="http://schemas.openxmlformats.org/officeDocument/2006/relationships/hyperlink" Target="https://apps.who.int/iris/bitstream/handle/10665/259951/WHO-HIS-IER-GPM-2018.1-eng.pdf;jsessionid=47FB126CD095961CAC9D15E3FBF39514?sequence=1" TargetMode="External"/><Relationship Id="rId584" Type="http://schemas.openxmlformats.org/officeDocument/2006/relationships/hyperlink" Target="https://interactives.commonwealthfund.org/2018/state-scorecard/files/Radley_State_Scorecard_2018.pdf" TargetMode="External"/><Relationship Id="rId1179" Type="http://schemas.openxmlformats.org/officeDocument/2006/relationships/hyperlink" Target="https://www.gapminder.org/data/" TargetMode="External"/><Relationship Id="rId1169" Type="http://schemas.openxmlformats.org/officeDocument/2006/relationships/hyperlink" Target="https://usafacts.org/missions/promote-welfare/12" TargetMode="External"/><Relationship Id="rId338" Type="http://schemas.openxmlformats.org/officeDocument/2006/relationships/hyperlink" Target="https://apps.who.int/iris/bitstream/handle/10665/259951/WHO-HIS-IER-GPM-2018.1-eng.pdf;jsessionid=47FB126CD095961CAC9D15E3FBF39514?sequence=1" TargetMode="External"/><Relationship Id="rId337" Type="http://schemas.openxmlformats.org/officeDocument/2006/relationships/hyperlink" Target="https://stats.oecd.org/index.aspx?DataSetCode=HEALTH_STAT" TargetMode="External"/><Relationship Id="rId579" Type="http://schemas.openxmlformats.org/officeDocument/2006/relationships/hyperlink" Target="https://stats.oecd.org/index.aspx?DataSetCode=HEALTH_STAT" TargetMode="External"/><Relationship Id="rId336" Type="http://schemas.openxmlformats.org/officeDocument/2006/relationships/hyperlink" Target="https://apps.who.int/iris/bitstream/handle/10665/259951/WHO-HIS-IER-GPM-2018.1-eng.pdf;jsessionid=47FB126CD095961CAC9D15E3FBF39514?sequence=1" TargetMode="External"/><Relationship Id="rId578" Type="http://schemas.openxmlformats.org/officeDocument/2006/relationships/hyperlink" Target="https://apps.who.int/iris/bitstream/handle/10665/259951/WHO-HIS-IER-GPM-2018.1-eng.pdf;jsessionid=47FB126CD095961CAC9D15E3FBF39514?sequence=1" TargetMode="External"/><Relationship Id="rId335" Type="http://schemas.openxmlformats.org/officeDocument/2006/relationships/hyperlink" Target="https://stats.oecd.org/index.aspx?DataSetCode=HEALTH_STAT" TargetMode="External"/><Relationship Id="rId577" Type="http://schemas.openxmlformats.org/officeDocument/2006/relationships/hyperlink" Target="https://data.worldbank.org/indicator/" TargetMode="External"/><Relationship Id="rId339" Type="http://schemas.openxmlformats.org/officeDocument/2006/relationships/hyperlink" Target="https://stats.oecd.org/index.aspx?DataSetCode=HEALTH_STAT" TargetMode="External"/><Relationship Id="rId1160" Type="http://schemas.openxmlformats.org/officeDocument/2006/relationships/hyperlink" Target="https://www.oecd-ilibrary.org/docserver/health_glance-2017-en.pdf?expires=1564008067&amp;id=id&amp;accname=guest&amp;checksum=D0ABDB5402647B576A76E200E17FD74F" TargetMode="External"/><Relationship Id="rId330" Type="http://schemas.openxmlformats.org/officeDocument/2006/relationships/hyperlink" Target="https://apps.who.int/iris/bitstream/handle/10665/259951/WHO-HIS-IER-GPM-2018.1-eng.pdf;jsessionid=47FB126CD095961CAC9D15E3FBF39514?sequence=1" TargetMode="External"/><Relationship Id="rId572" Type="http://schemas.openxmlformats.org/officeDocument/2006/relationships/hyperlink" Target="https://apps.who.int/iris/bitstream/handle/10665/259951/WHO-HIS-IER-GPM-2018.1-eng.pdf;jsessionid=47FB126CD095961CAC9D15E3FBF39514?sequence=1" TargetMode="External"/><Relationship Id="rId1161" Type="http://schemas.openxmlformats.org/officeDocument/2006/relationships/hyperlink" Target="https://usafacts.org/missions/promote-welfare/12" TargetMode="External"/><Relationship Id="rId571" Type="http://schemas.openxmlformats.org/officeDocument/2006/relationships/hyperlink" Target="http://www.paho.org/data/index.php/en/indicators/visualization.html" TargetMode="External"/><Relationship Id="rId1162" Type="http://schemas.openxmlformats.org/officeDocument/2006/relationships/hyperlink" Target="https://www.americashealthrankings.org/explore/annual" TargetMode="External"/><Relationship Id="rId570" Type="http://schemas.openxmlformats.org/officeDocument/2006/relationships/hyperlink" Target="https://www.cdc.gov/nchs/healthy_people/hp2020/hp2020_indicators.htm" TargetMode="External"/><Relationship Id="rId1163" Type="http://schemas.openxmlformats.org/officeDocument/2006/relationships/hyperlink" Target="https://apps.who.int/iris/bitstream/handle/10665/259951/WHO-HIS-IER-GPM-2018.1-eng.pdf;jsessionid=47FB126CD095961CAC9D15E3FBF39514?sequence=1" TargetMode="External"/><Relationship Id="rId1164" Type="http://schemas.openxmlformats.org/officeDocument/2006/relationships/hyperlink" Target="https://www.oecd-ilibrary.org/social-issues-migration-health/health-at-a-glance-2017_health_glance-2017-en" TargetMode="External"/><Relationship Id="rId334" Type="http://schemas.openxmlformats.org/officeDocument/2006/relationships/hyperlink" Target="https://apps.who.int/iris/bitstream/handle/10665/259951/WHO-HIS-IER-GPM-2018.1-eng.pdf;jsessionid=47FB126CD095961CAC9D15E3FBF39514?sequence=1" TargetMode="External"/><Relationship Id="rId576" Type="http://schemas.openxmlformats.org/officeDocument/2006/relationships/hyperlink" Target="https://stats.oecd.org/index.aspx?DataSetCode=HEALTH_STAT" TargetMode="External"/><Relationship Id="rId1165" Type="http://schemas.openxmlformats.org/officeDocument/2006/relationships/hyperlink" Target="https://www.americashealthrankings.org/explore/annual" TargetMode="External"/><Relationship Id="rId333" Type="http://schemas.openxmlformats.org/officeDocument/2006/relationships/hyperlink" Target="https://stats.oecd.org/index.aspx?DataSetCode=HEALTH_STAT" TargetMode="External"/><Relationship Id="rId575" Type="http://schemas.openxmlformats.org/officeDocument/2006/relationships/hyperlink" Target="https://apps.who.int/iris/bitstream/handle/10665/259951/WHO-HIS-IER-GPM-2018.1-eng.pdf;jsessionid=47FB126CD095961CAC9D15E3FBF39514?sequence=1" TargetMode="External"/><Relationship Id="rId1166" Type="http://schemas.openxmlformats.org/officeDocument/2006/relationships/hyperlink" Target="https://www.cdc.gov/nchs/healthy_people/hp2020/hp2020_indicators.htm" TargetMode="External"/><Relationship Id="rId332" Type="http://schemas.openxmlformats.org/officeDocument/2006/relationships/hyperlink" Target="https://apps.who.int/iris/bitstream/handle/10665/259951/WHO-HIS-IER-GPM-2018.1-eng.pdf;jsessionid=47FB126CD095961CAC9D15E3FBF39514?sequence=1" TargetMode="External"/><Relationship Id="rId574" Type="http://schemas.openxmlformats.org/officeDocument/2006/relationships/hyperlink" Target="https://www.gapminder.org/data/" TargetMode="External"/><Relationship Id="rId1167" Type="http://schemas.openxmlformats.org/officeDocument/2006/relationships/hyperlink" Target="https://apps.who.int/iris/bitstream/handle/10665/259951/WHO-HIS-IER-GPM-2018.1-eng.pdf;jsessionid=47FB126CD095961CAC9D15E3FBF39514?sequence=1" TargetMode="External"/><Relationship Id="rId331" Type="http://schemas.openxmlformats.org/officeDocument/2006/relationships/hyperlink" Target="https://stats.oecd.org/index.aspx?DataSetCode=HEALTH_STAT" TargetMode="External"/><Relationship Id="rId573" Type="http://schemas.openxmlformats.org/officeDocument/2006/relationships/hyperlink" Target="https://stats.oecd.org/index.aspx?DataSetCode=HEALTH_STAT" TargetMode="External"/><Relationship Id="rId1168" Type="http://schemas.openxmlformats.org/officeDocument/2006/relationships/hyperlink" Target="https://stats.oecd.org/index.aspx?DataSetCode=HEALTH_STAT" TargetMode="External"/><Relationship Id="rId370" Type="http://schemas.openxmlformats.org/officeDocument/2006/relationships/hyperlink" Target="https://apps.who.int/iris/bitstream/handle/10665/259951/WHO-HIS-IER-GPM-2018.1-eng.pdf;jsessionid=47FB126CD095961CAC9D15E3FBF39514?sequence=1" TargetMode="External"/><Relationship Id="rId129" Type="http://schemas.openxmlformats.org/officeDocument/2006/relationships/hyperlink" Target="https://www.americashealthrankings.org/explore/annual" TargetMode="External"/><Relationship Id="rId128" Type="http://schemas.openxmlformats.org/officeDocument/2006/relationships/hyperlink" Target="https://usafacts.org/missions/promote-welfare/12" TargetMode="External"/><Relationship Id="rId127" Type="http://schemas.openxmlformats.org/officeDocument/2006/relationships/hyperlink" Target="https://stats.oecd.org/index.aspx?DataSetCode=HEALTH_STAT" TargetMode="External"/><Relationship Id="rId369" Type="http://schemas.openxmlformats.org/officeDocument/2006/relationships/hyperlink" Target="https://apps.who.int/iris/bitstream/handle/10665/259951/WHO-HIS-IER-GPM-2018.1-eng.pdf;jsessionid=47FB126CD095961CAC9D15E3FBF39514?sequence=1" TargetMode="External"/><Relationship Id="rId126" Type="http://schemas.openxmlformats.org/officeDocument/2006/relationships/hyperlink" Target="https://apps.who.int/iris/bitstream/handle/10665/259951/WHO-HIS-IER-GPM-2018.1-eng.pdf;jsessionid=47FB126CD095961CAC9D15E3FBF39514?sequence=1" TargetMode="External"/><Relationship Id="rId368" Type="http://schemas.openxmlformats.org/officeDocument/2006/relationships/hyperlink" Target="https://apps.who.int/iris/bitstream/handle/10665/259951/WHO-HIS-IER-GPM-2018.1-eng.pdf;jsessionid=47FB126CD095961CAC9D15E3FBF39514?sequence=1" TargetMode="External"/><Relationship Id="rId1190" Type="http://schemas.openxmlformats.org/officeDocument/2006/relationships/hyperlink" Target="https://www.americashealthrankings.org/explore/annual" TargetMode="External"/><Relationship Id="rId1191" Type="http://schemas.openxmlformats.org/officeDocument/2006/relationships/hyperlink" Target="https://www.cdc.gov/nchs/healthy_people/hp2020/hp2020_indicators.htm" TargetMode="External"/><Relationship Id="rId1192" Type="http://schemas.openxmlformats.org/officeDocument/2006/relationships/hyperlink" Target="https://apps.who.int/iris/bitstream/handle/10665/259951/WHO-HIS-IER-GPM-2018.1-eng.pdf;jsessionid=47FB126CD095961CAC9D15E3FBF39514?sequence=1" TargetMode="External"/><Relationship Id="rId1193" Type="http://schemas.openxmlformats.org/officeDocument/2006/relationships/hyperlink" Target="https://stats.oecd.org/index.aspx?DataSetCode=HEALTH_STAT" TargetMode="External"/><Relationship Id="rId121" Type="http://schemas.openxmlformats.org/officeDocument/2006/relationships/hyperlink" Target="https://apps.who.int/iris/bitstream/handle/10665/259951/WHO-HIS-IER-GPM-2018.1-eng.pdf;jsessionid=47FB126CD095961CAC9D15E3FBF39514?sequence=1" TargetMode="External"/><Relationship Id="rId363" Type="http://schemas.openxmlformats.org/officeDocument/2006/relationships/hyperlink" Target="https://apps.who.int/iris/bitstream/handle/10665/259951/WHO-HIS-IER-GPM-2018.1-eng.pdf;jsessionid=47FB126CD095961CAC9D15E3FBF39514?sequence=1" TargetMode="External"/><Relationship Id="rId1194" Type="http://schemas.openxmlformats.org/officeDocument/2006/relationships/hyperlink" Target="https://apps.who.int/iris/bitstream/handle/10665/259951/WHO-HIS-IER-GPM-2018.1-eng.pdf;jsessionid=47FB126CD095961CAC9D15E3FBF39514?sequence=1" TargetMode="External"/><Relationship Id="rId120" Type="http://schemas.openxmlformats.org/officeDocument/2006/relationships/hyperlink" Target="https://data.worldbank.org/indicator/" TargetMode="External"/><Relationship Id="rId362" Type="http://schemas.openxmlformats.org/officeDocument/2006/relationships/hyperlink" Target="https://apps.who.int/iris/bitstream/handle/10665/259951/WHO-HIS-IER-GPM-2018.1-eng.pdf;jsessionid=47FB126CD095961CAC9D15E3FBF39514?sequence=1" TargetMode="External"/><Relationship Id="rId1195" Type="http://schemas.openxmlformats.org/officeDocument/2006/relationships/hyperlink" Target="https://interactives.commonwealthfund.org/2018/state-scorecard/files/Radley_State_Scorecard_2018.pdf" TargetMode="External"/><Relationship Id="rId361" Type="http://schemas.openxmlformats.org/officeDocument/2006/relationships/hyperlink" Target="https://www.cdc.gov/nchs/healthy_people/hp2020/hp2020_indicators.htm" TargetMode="External"/><Relationship Id="rId1196" Type="http://schemas.openxmlformats.org/officeDocument/2006/relationships/hyperlink" Target="https://data.worldbank.org/indicator/" TargetMode="External"/><Relationship Id="rId360" Type="http://schemas.openxmlformats.org/officeDocument/2006/relationships/hyperlink" Target="https://www.americashealthrankings.org/explore/annual" TargetMode="External"/><Relationship Id="rId1197" Type="http://schemas.openxmlformats.org/officeDocument/2006/relationships/hyperlink" Target="https://apps.who.int/iris/bitstream/handle/10665/259951/WHO-HIS-IER-GPM-2018.1-eng.pdf;jsessionid=47FB126CD095961CAC9D15E3FBF39514?sequence=1" TargetMode="External"/><Relationship Id="rId125" Type="http://schemas.openxmlformats.org/officeDocument/2006/relationships/hyperlink" Target="https://data.worldbank.org/indicator/" TargetMode="External"/><Relationship Id="rId367" Type="http://schemas.openxmlformats.org/officeDocument/2006/relationships/hyperlink" Target="https://apps.who.int/iris/bitstream/handle/10665/259951/WHO-HIS-IER-GPM-2018.1-eng.pdf;jsessionid=47FB126CD095961CAC9D15E3FBF39514?sequence=1" TargetMode="External"/><Relationship Id="rId1198" Type="http://schemas.openxmlformats.org/officeDocument/2006/relationships/hyperlink" Target="https://interactives.commonwealthfund.org/2018/state-scorecard/files/Radley_State_Scorecard_2018.pdf" TargetMode="External"/><Relationship Id="rId124" Type="http://schemas.openxmlformats.org/officeDocument/2006/relationships/hyperlink" Target="https://www.americashealthrankings.org/explore/annual" TargetMode="External"/><Relationship Id="rId366" Type="http://schemas.openxmlformats.org/officeDocument/2006/relationships/hyperlink" Target="https://apps.who.int/iris/bitstream/handle/10665/259951/WHO-HIS-IER-GPM-2018.1-eng.pdf;jsessionid=47FB126CD095961CAC9D15E3FBF39514?sequence=1" TargetMode="External"/><Relationship Id="rId1199" Type="http://schemas.openxmlformats.org/officeDocument/2006/relationships/hyperlink" Target="https://data.worldbank.org/indicator/" TargetMode="External"/><Relationship Id="rId123" Type="http://schemas.openxmlformats.org/officeDocument/2006/relationships/hyperlink" Target="https://usafacts.org/missions/promote-welfare/12" TargetMode="External"/><Relationship Id="rId365" Type="http://schemas.openxmlformats.org/officeDocument/2006/relationships/hyperlink" Target="https://apps.who.int/iris/bitstream/handle/10665/259951/WHO-HIS-IER-GPM-2018.1-eng.pdf;jsessionid=47FB126CD095961CAC9D15E3FBF39514?sequence=1" TargetMode="External"/><Relationship Id="rId122" Type="http://schemas.openxmlformats.org/officeDocument/2006/relationships/hyperlink" Target="https://stats.oecd.org/index.aspx?DataSetCode=HEALTH_STAT" TargetMode="External"/><Relationship Id="rId364" Type="http://schemas.openxmlformats.org/officeDocument/2006/relationships/hyperlink" Target="https://apps.who.int/iris/bitstream/handle/10665/259951/WHO-HIS-IER-GPM-2018.1-eng.pdf;jsessionid=47FB126CD095961CAC9D15E3FBF39514?sequence=1" TargetMode="External"/><Relationship Id="rId95" Type="http://schemas.openxmlformats.org/officeDocument/2006/relationships/hyperlink" Target="https://usafacts.org/missions/promote-welfare/12" TargetMode="External"/><Relationship Id="rId94" Type="http://schemas.openxmlformats.org/officeDocument/2006/relationships/hyperlink" Target="https://www.oecd-ilibrary.org/docserver/health_glance-2017-en.pdf?expires=1564008067&amp;id=id&amp;accname=guest&amp;checksum=D0ABDB5402647B576A76E200E17FD74F" TargetMode="External"/><Relationship Id="rId97" Type="http://schemas.openxmlformats.org/officeDocument/2006/relationships/hyperlink" Target="https://www.cdc.gov/nchs/healthy_people/hp2020/hp2020_indicators.htm" TargetMode="External"/><Relationship Id="rId96" Type="http://schemas.openxmlformats.org/officeDocument/2006/relationships/hyperlink" Target="https://www.americashealthrankings.org/explore/annual" TargetMode="External"/><Relationship Id="rId99" Type="http://schemas.openxmlformats.org/officeDocument/2006/relationships/hyperlink" Target="https://www.oecd-ilibrary.org/docserver/health_glance-2017-en.pdf?expires=1564008067&amp;id=id&amp;accname=guest&amp;checksum=D0ABDB5402647B576A76E200E17FD74F" TargetMode="External"/><Relationship Id="rId98" Type="http://schemas.openxmlformats.org/officeDocument/2006/relationships/hyperlink" Target="https://interactives.commonwealthfund.org/2018/state-scorecard/files/Radley_State_Scorecard_2018.pdf" TargetMode="External"/><Relationship Id="rId91" Type="http://schemas.openxmlformats.org/officeDocument/2006/relationships/hyperlink" Target="https://www.americashealthrankings.org/explore/annual" TargetMode="External"/><Relationship Id="rId90" Type="http://schemas.openxmlformats.org/officeDocument/2006/relationships/hyperlink" Target="https://www.gapminder.org/data/" TargetMode="External"/><Relationship Id="rId93" Type="http://schemas.openxmlformats.org/officeDocument/2006/relationships/hyperlink" Target="https://interactives.commonwealthfund.org/2018/state-scorecard/files/Radley_State_Scorecard_2018.pdf" TargetMode="External"/><Relationship Id="rId92" Type="http://schemas.openxmlformats.org/officeDocument/2006/relationships/hyperlink" Target="https://www.cdc.gov/nchs/healthy_people/hp2020/hp2020_indicators.htm" TargetMode="External"/><Relationship Id="rId118" Type="http://schemas.openxmlformats.org/officeDocument/2006/relationships/hyperlink" Target="https://usafacts.org/missions/promote-welfare/12" TargetMode="External"/><Relationship Id="rId117" Type="http://schemas.openxmlformats.org/officeDocument/2006/relationships/hyperlink" Target="https://stats.oecd.org/index.aspx?DataSetCode=HEALTH_STAT" TargetMode="External"/><Relationship Id="rId359" Type="http://schemas.openxmlformats.org/officeDocument/2006/relationships/hyperlink" Target="https://www.americashealthrankings.org/explore/annual" TargetMode="External"/><Relationship Id="rId116" Type="http://schemas.openxmlformats.org/officeDocument/2006/relationships/hyperlink" Target="https://apps.who.int/iris/bitstream/handle/10665/259951/WHO-HIS-IER-GPM-2018.1-eng.pdf;jsessionid=47FB126CD095961CAC9D15E3FBF39514?sequence=1" TargetMode="External"/><Relationship Id="rId358" Type="http://schemas.openxmlformats.org/officeDocument/2006/relationships/hyperlink" Target="https://interactives.commonwealthfund.org/2018/state-scorecard/files/Radley_State_Scorecard_2018.pdf" TargetMode="External"/><Relationship Id="rId115" Type="http://schemas.openxmlformats.org/officeDocument/2006/relationships/hyperlink" Target="https://www.americashealthrankings.org/explore/annual" TargetMode="External"/><Relationship Id="rId357" Type="http://schemas.openxmlformats.org/officeDocument/2006/relationships/hyperlink" Target="https://www.americashealthrankings.org/explore/annual" TargetMode="External"/><Relationship Id="rId599" Type="http://schemas.openxmlformats.org/officeDocument/2006/relationships/hyperlink" Target="https://stats.oecd.org/index.aspx?DataSetCode=HEALTH_STAT" TargetMode="External"/><Relationship Id="rId1180" Type="http://schemas.openxmlformats.org/officeDocument/2006/relationships/hyperlink" Target="https://www.americashealthrankings.org/explore/annual" TargetMode="External"/><Relationship Id="rId1181" Type="http://schemas.openxmlformats.org/officeDocument/2006/relationships/hyperlink" Target="https://data.worldbank.org/indicator/" TargetMode="External"/><Relationship Id="rId119" Type="http://schemas.openxmlformats.org/officeDocument/2006/relationships/hyperlink" Target="https://www.americashealthrankings.org/explore/annual" TargetMode="External"/><Relationship Id="rId1182" Type="http://schemas.openxmlformats.org/officeDocument/2006/relationships/hyperlink" Target="https://apps.who.int/iris/bitstream/handle/10665/259951/WHO-HIS-IER-GPM-2018.1-eng.pdf;jsessionid=47FB126CD095961CAC9D15E3FBF39514?sequence=1" TargetMode="External"/><Relationship Id="rId110" Type="http://schemas.openxmlformats.org/officeDocument/2006/relationships/hyperlink" Target="https://interactives.commonwealthfund.org/2018/state-scorecard/files/Radley_State_Scorecard_2018.pdf" TargetMode="External"/><Relationship Id="rId352" Type="http://schemas.openxmlformats.org/officeDocument/2006/relationships/hyperlink" Target="https://www.cms.gov/Medicare/Quality-Initiatives-Patient-Assessment-Instruments/QualityInitiativesGenInfo/MMF/General-info-Sub-Page.html" TargetMode="External"/><Relationship Id="rId594" Type="http://schemas.openxmlformats.org/officeDocument/2006/relationships/hyperlink" Target="https://stats.oecd.org/index.aspx?DataSetCode=HEALTH_STAT" TargetMode="External"/><Relationship Id="rId1183" Type="http://schemas.openxmlformats.org/officeDocument/2006/relationships/hyperlink" Target="https://stats.oecd.org/index.aspx?DataSetCode=HEALTH_STAT" TargetMode="External"/><Relationship Id="rId351" Type="http://schemas.openxmlformats.org/officeDocument/2006/relationships/hyperlink" Target="https://wwwn.cdc.gov/psr/NationalSummary/NationalSummary.aspx" TargetMode="External"/><Relationship Id="rId593" Type="http://schemas.openxmlformats.org/officeDocument/2006/relationships/hyperlink" Target="https://interactives.commonwealthfund.org/2018/state-scorecard/files/Radley_State_Scorecard_2018.pdf" TargetMode="External"/><Relationship Id="rId1184" Type="http://schemas.openxmlformats.org/officeDocument/2006/relationships/hyperlink" Target="https://www.cdc.gov/nchs/healthy_people/hp2020/hp2020_indicators.htm" TargetMode="External"/><Relationship Id="rId350" Type="http://schemas.openxmlformats.org/officeDocument/2006/relationships/hyperlink" Target="https://apps.who.int/iris/bitstream/handle/10665/259951/WHO-HIS-IER-GPM-2018.1-eng.pdf;jsessionid=47FB126CD095961CAC9D15E3FBF39514?sequence=1" TargetMode="External"/><Relationship Id="rId592" Type="http://schemas.openxmlformats.org/officeDocument/2006/relationships/hyperlink" Target="https://www.americashealthrankings.org/explore/annual" TargetMode="External"/><Relationship Id="rId1185" Type="http://schemas.openxmlformats.org/officeDocument/2006/relationships/hyperlink" Target="https://apps.who.int/iris/bitstream/handle/10665/259951/WHO-HIS-IER-GPM-2018.1-eng.pdf;jsessionid=47FB126CD095961CAC9D15E3FBF39514?sequence=1" TargetMode="External"/><Relationship Id="rId591" Type="http://schemas.openxmlformats.org/officeDocument/2006/relationships/hyperlink" Target="https://stats.oecd.org/index.aspx?DataSetCode=HEALTH_STAT" TargetMode="External"/><Relationship Id="rId1186" Type="http://schemas.openxmlformats.org/officeDocument/2006/relationships/hyperlink" Target="https://www.gapminder.org/data/" TargetMode="External"/><Relationship Id="rId114" Type="http://schemas.openxmlformats.org/officeDocument/2006/relationships/hyperlink" Target="https://www.americashealthrankings.org/explore/annual" TargetMode="External"/><Relationship Id="rId356" Type="http://schemas.openxmlformats.org/officeDocument/2006/relationships/hyperlink" Target="https://interactives.commonwealthfund.org/2018/state-scorecard/files/Radley_State_Scorecard_2018.pdf" TargetMode="External"/><Relationship Id="rId598" Type="http://schemas.openxmlformats.org/officeDocument/2006/relationships/hyperlink" Target="https://apps.who.int/iris/bitstream/handle/10665/259951/WHO-HIS-IER-GPM-2018.1-eng.pdf;jsessionid=47FB126CD095961CAC9D15E3FBF39514?sequence=1" TargetMode="External"/><Relationship Id="rId1187" Type="http://schemas.openxmlformats.org/officeDocument/2006/relationships/hyperlink" Target="https://data.worldbank.org/indicator/" TargetMode="External"/><Relationship Id="rId113" Type="http://schemas.openxmlformats.org/officeDocument/2006/relationships/hyperlink" Target="https://stats.oecd.org/index.aspx?DataSetCode=HEALTH_STAT" TargetMode="External"/><Relationship Id="rId355" Type="http://schemas.openxmlformats.org/officeDocument/2006/relationships/hyperlink" Target="https://stats.oecd.org/index.aspx?DataSetCode=HEALTH_STAT" TargetMode="External"/><Relationship Id="rId597" Type="http://schemas.openxmlformats.org/officeDocument/2006/relationships/hyperlink" Target="https://stats.oecd.org/index.aspx?DataSetCode=HEALTH_STAT" TargetMode="External"/><Relationship Id="rId1188" Type="http://schemas.openxmlformats.org/officeDocument/2006/relationships/hyperlink" Target="https://www.cdc.gov/nchs/healthy_people/hp2020/hp2020_indicators.htm" TargetMode="External"/><Relationship Id="rId112" Type="http://schemas.openxmlformats.org/officeDocument/2006/relationships/hyperlink" Target="https://www.americashealthrankings.org/explore/annual" TargetMode="External"/><Relationship Id="rId354" Type="http://schemas.openxmlformats.org/officeDocument/2006/relationships/hyperlink" Target="https://interactives.commonwealthfund.org/2018/state-scorecard/files/Radley_State_Scorecard_2018.pdf" TargetMode="External"/><Relationship Id="rId596" Type="http://schemas.openxmlformats.org/officeDocument/2006/relationships/hyperlink" Target="https://apps.who.int/iris/bitstream/handle/10665/259951/WHO-HIS-IER-GPM-2018.1-eng.pdf;jsessionid=47FB126CD095961CAC9D15E3FBF39514?sequence=1" TargetMode="External"/><Relationship Id="rId1189" Type="http://schemas.openxmlformats.org/officeDocument/2006/relationships/hyperlink" Target="https://interactives.commonwealthfund.org/2018/state-scorecard/files/Radley_State_Scorecard_2018.pdf" TargetMode="External"/><Relationship Id="rId111" Type="http://schemas.openxmlformats.org/officeDocument/2006/relationships/hyperlink" Target="https://stats.oecd.org/index.aspx?DataSetCode=HEALTH_STAT" TargetMode="External"/><Relationship Id="rId353" Type="http://schemas.openxmlformats.org/officeDocument/2006/relationships/hyperlink" Target="https://www.cdc.gov/nchs/healthy_people/hp2020/hp2020_indicators.htm" TargetMode="External"/><Relationship Id="rId595" Type="http://schemas.openxmlformats.org/officeDocument/2006/relationships/hyperlink" Target="https://www.americashealthrankings.org/explore/annual" TargetMode="External"/><Relationship Id="rId1136" Type="http://schemas.openxmlformats.org/officeDocument/2006/relationships/hyperlink" Target="https://stats.oecd.org/index.aspx?DataSetCode=HEALTH_STAT" TargetMode="External"/><Relationship Id="rId1137" Type="http://schemas.openxmlformats.org/officeDocument/2006/relationships/hyperlink" Target="https://www.oecd-ilibrary.org/docserver/health_glance-2017-en.pdf?expires=1564008067&amp;id=id&amp;accname=guest&amp;checksum=D0ABDB5402647B576A76E200E17FD74F" TargetMode="External"/><Relationship Id="rId1138" Type="http://schemas.openxmlformats.org/officeDocument/2006/relationships/hyperlink" Target="https://usafacts.org/missions/promote-welfare/12" TargetMode="External"/><Relationship Id="rId1139" Type="http://schemas.openxmlformats.org/officeDocument/2006/relationships/hyperlink" Target="https://apps.who.int/iris/bitstream/handle/10665/259951/WHO-HIS-IER-GPM-2018.1-eng.pdf;jsessionid=47FB126CD095961CAC9D15E3FBF39514?sequence=1" TargetMode="External"/><Relationship Id="rId305" Type="http://schemas.openxmlformats.org/officeDocument/2006/relationships/hyperlink" Target="https://stats.oecd.org/index.aspx?DataSetCode=HEALTH_STAT" TargetMode="External"/><Relationship Id="rId547" Type="http://schemas.openxmlformats.org/officeDocument/2006/relationships/hyperlink" Target="https://www.gapminder.org/data/" TargetMode="External"/><Relationship Id="rId789" Type="http://schemas.openxmlformats.org/officeDocument/2006/relationships/hyperlink" Target="https://stats.oecd.org/index.aspx?DataSetCode=HEALTH_STAT" TargetMode="External"/><Relationship Id="rId304" Type="http://schemas.openxmlformats.org/officeDocument/2006/relationships/hyperlink" Target="https://data.worldbank.org/indicator/" TargetMode="External"/><Relationship Id="rId546" Type="http://schemas.openxmlformats.org/officeDocument/2006/relationships/hyperlink" Target="https://stats.oecd.org/index.aspx?DataSetCode=HEALTH_STAT" TargetMode="External"/><Relationship Id="rId788" Type="http://schemas.openxmlformats.org/officeDocument/2006/relationships/hyperlink" Target="https://international.commonwealthfund.org/stats/" TargetMode="External"/><Relationship Id="rId303" Type="http://schemas.openxmlformats.org/officeDocument/2006/relationships/hyperlink" Target="https://stats.oecd.org/index.aspx?DataSetCode=HEALTH_STAT" TargetMode="External"/><Relationship Id="rId545" Type="http://schemas.openxmlformats.org/officeDocument/2006/relationships/hyperlink" Target="https://wwwn.cdc.gov/psr/NationalSummary/NationalSummary.aspx" TargetMode="External"/><Relationship Id="rId787" Type="http://schemas.openxmlformats.org/officeDocument/2006/relationships/hyperlink" Target="https://www.cdc.gov/nchs/healthy_people/hp2020/hp2020_indicators.htm" TargetMode="External"/><Relationship Id="rId302" Type="http://schemas.openxmlformats.org/officeDocument/2006/relationships/hyperlink" Target="https://apps.who.int/iris/bitstream/handle/10665/259951/WHO-HIS-IER-GPM-2018.1-eng.pdf;jsessionid=47FB126CD095961CAC9D15E3FBF39514?sequence=1" TargetMode="External"/><Relationship Id="rId544" Type="http://schemas.openxmlformats.org/officeDocument/2006/relationships/hyperlink" Target="https://www.cms.gov/Medicare/Quality-Initiatives-Patient-Assessment-Instruments/QualityInitiativesGenInfo/MMF/General-info-Sub-Page.html" TargetMode="External"/><Relationship Id="rId786" Type="http://schemas.openxmlformats.org/officeDocument/2006/relationships/hyperlink" Target="https://www.americashealthrankings.org/explore/annual" TargetMode="External"/><Relationship Id="rId309" Type="http://schemas.openxmlformats.org/officeDocument/2006/relationships/hyperlink" Target="https://interactives.commonwealthfund.org/2018/state-scorecard/files/Radley_State_Scorecard_2018.pdf" TargetMode="External"/><Relationship Id="rId308" Type="http://schemas.openxmlformats.org/officeDocument/2006/relationships/hyperlink" Target="https://data.worldbank.org/indicator/" TargetMode="External"/><Relationship Id="rId307" Type="http://schemas.openxmlformats.org/officeDocument/2006/relationships/hyperlink" Target="https://stats.oecd.org/index.aspx?DataSetCode=HEALTH_STAT" TargetMode="External"/><Relationship Id="rId549" Type="http://schemas.openxmlformats.org/officeDocument/2006/relationships/hyperlink" Target="https://www.cms.gov/Medicare/Quality-Initiatives-Patient-Assessment-Instruments/QualityInitiativesGenInfo/MMF/General-info-Sub-Page.html" TargetMode="External"/><Relationship Id="rId306" Type="http://schemas.openxmlformats.org/officeDocument/2006/relationships/hyperlink" Target="https://www.cms.gov/Medicare/Quality-Initiatives-Patient-Assessment-Instruments/QualityInitiativesGenInfo/MMF/General-info-Sub-Page.html" TargetMode="External"/><Relationship Id="rId548" Type="http://schemas.openxmlformats.org/officeDocument/2006/relationships/hyperlink" Target="https://www.americashealthrankings.org/explore/annual" TargetMode="External"/><Relationship Id="rId781" Type="http://schemas.openxmlformats.org/officeDocument/2006/relationships/hyperlink" Target="https://www.americashealthrankings.org/explore/annual" TargetMode="External"/><Relationship Id="rId780" Type="http://schemas.openxmlformats.org/officeDocument/2006/relationships/hyperlink" Target="https://usafacts.org/missions/promote-welfare/12" TargetMode="External"/><Relationship Id="rId1130" Type="http://schemas.openxmlformats.org/officeDocument/2006/relationships/hyperlink" Target="https://interactives.commonwealthfund.org/2018/state-scorecard/files/Radley_State_Scorecard_2018.pdf" TargetMode="External"/><Relationship Id="rId1131" Type="http://schemas.openxmlformats.org/officeDocument/2006/relationships/hyperlink" Target="https://international.commonwealthfund.org/stats/" TargetMode="External"/><Relationship Id="rId301" Type="http://schemas.openxmlformats.org/officeDocument/2006/relationships/hyperlink" Target="https://www.gapminder.org/data/" TargetMode="External"/><Relationship Id="rId543" Type="http://schemas.openxmlformats.org/officeDocument/2006/relationships/hyperlink" Target="https://www.americashealthrankings.org/explore/annual" TargetMode="External"/><Relationship Id="rId785" Type="http://schemas.openxmlformats.org/officeDocument/2006/relationships/hyperlink" Target="https://www.americashealthrankings.org/explore/annual" TargetMode="External"/><Relationship Id="rId1132" Type="http://schemas.openxmlformats.org/officeDocument/2006/relationships/hyperlink" Target="https://international.commonwealthfund.org/stats/" TargetMode="External"/><Relationship Id="rId300" Type="http://schemas.openxmlformats.org/officeDocument/2006/relationships/hyperlink" Target="https://stats.oecd.org/index.aspx?DataSetCode=HEALTH_STAT" TargetMode="External"/><Relationship Id="rId542" Type="http://schemas.openxmlformats.org/officeDocument/2006/relationships/hyperlink" Target="https://stats.oecd.org/index.aspx?DataSetCode=HEALTH_STAT" TargetMode="External"/><Relationship Id="rId784" Type="http://schemas.openxmlformats.org/officeDocument/2006/relationships/hyperlink" Target="https://usafacts.org/missions/promote-welfare/12" TargetMode="External"/><Relationship Id="rId1133" Type="http://schemas.openxmlformats.org/officeDocument/2006/relationships/hyperlink" Target="https://international.commonwealthfund.org/stats/" TargetMode="External"/><Relationship Id="rId541" Type="http://schemas.openxmlformats.org/officeDocument/2006/relationships/hyperlink" Target="https://www.cdc.gov/nchs/healthy_people/hp2020/hp2020_indicators.htm" TargetMode="External"/><Relationship Id="rId783" Type="http://schemas.openxmlformats.org/officeDocument/2006/relationships/hyperlink" Target="https://www.americashealthrankings.org/explore/annual" TargetMode="External"/><Relationship Id="rId1134" Type="http://schemas.openxmlformats.org/officeDocument/2006/relationships/hyperlink" Target="https://usafacts.org/missions/promote-welfare/12" TargetMode="External"/><Relationship Id="rId540" Type="http://schemas.openxmlformats.org/officeDocument/2006/relationships/hyperlink" Target="https://www.americashealthrankings.org/explore/annual" TargetMode="External"/><Relationship Id="rId782" Type="http://schemas.openxmlformats.org/officeDocument/2006/relationships/hyperlink" Target="https://usafacts.org/missions/promote-welfare/12" TargetMode="External"/><Relationship Id="rId1135" Type="http://schemas.openxmlformats.org/officeDocument/2006/relationships/hyperlink" Target="https://apps.who.int/iris/bitstream/handle/10665/259951/WHO-HIS-IER-GPM-2018.1-eng.pdf;jsessionid=47FB126CD095961CAC9D15E3FBF39514?sequence=1" TargetMode="External"/><Relationship Id="rId1125" Type="http://schemas.openxmlformats.org/officeDocument/2006/relationships/hyperlink" Target="https://apps.who.int/iris/bitstream/handle/10665/259951/WHO-HIS-IER-GPM-2018.1-eng.pdf;jsessionid=47FB126CD095961CAC9D15E3FBF39514?sequence=1" TargetMode="External"/><Relationship Id="rId1126" Type="http://schemas.openxmlformats.org/officeDocument/2006/relationships/hyperlink" Target="https://apps.who.int/iris/bitstream/handle/10665/259951/WHO-HIS-IER-GPM-2018.1-eng.pdf;jsessionid=47FB126CD095961CAC9D15E3FBF39514?sequence=1" TargetMode="External"/><Relationship Id="rId1127" Type="http://schemas.openxmlformats.org/officeDocument/2006/relationships/hyperlink" Target="https://apps.who.int/iris/bitstream/handle/10665/259951/WHO-HIS-IER-GPM-2018.1-eng.pdf;jsessionid=47FB126CD095961CAC9D15E3FBF39514?sequence=1" TargetMode="External"/><Relationship Id="rId1128" Type="http://schemas.openxmlformats.org/officeDocument/2006/relationships/hyperlink" Target="https://apps.who.int/iris/bitstream/handle/10665/259951/WHO-HIS-IER-GPM-2018.1-eng.pdf;jsessionid=47FB126CD095961CAC9D15E3FBF39514?sequence=1" TargetMode="External"/><Relationship Id="rId1129" Type="http://schemas.openxmlformats.org/officeDocument/2006/relationships/hyperlink" Target="https://interactives.commonwealthfund.org/2018/state-scorecard/files/Radley_State_Scorecard_2018.pdf" TargetMode="External"/><Relationship Id="rId536" Type="http://schemas.openxmlformats.org/officeDocument/2006/relationships/hyperlink" Target="https://www.gapminder.org/data/" TargetMode="External"/><Relationship Id="rId778" Type="http://schemas.openxmlformats.org/officeDocument/2006/relationships/hyperlink" Target="https://apps.who.int/iris/bitstream/handle/10665/259951/WHO-HIS-IER-GPM-2018.1-eng.pdf;jsessionid=47FB126CD095961CAC9D15E3FBF39514?sequence=1" TargetMode="External"/><Relationship Id="rId535" Type="http://schemas.openxmlformats.org/officeDocument/2006/relationships/hyperlink" Target="https://stats.oecd.org/index.aspx?DataSetCode=HEALTH_STAT" TargetMode="External"/><Relationship Id="rId777" Type="http://schemas.openxmlformats.org/officeDocument/2006/relationships/hyperlink" Target="https://www.cdc.gov/nchs/healthy_people/hp2020/hp2020_indicators.htm" TargetMode="External"/><Relationship Id="rId534" Type="http://schemas.openxmlformats.org/officeDocument/2006/relationships/hyperlink" Target="https://apps.who.int/iris/bitstream/handle/10665/259951/WHO-HIS-IER-GPM-2018.1-eng.pdf;jsessionid=47FB126CD095961CAC9D15E3FBF39514?sequence=1" TargetMode="External"/><Relationship Id="rId776" Type="http://schemas.openxmlformats.org/officeDocument/2006/relationships/hyperlink" Target="https://www.americashealthrankings.org/explore/annual" TargetMode="External"/><Relationship Id="rId533" Type="http://schemas.openxmlformats.org/officeDocument/2006/relationships/hyperlink" Target="https://data.worldbank.org/indicator/" TargetMode="External"/><Relationship Id="rId775" Type="http://schemas.openxmlformats.org/officeDocument/2006/relationships/hyperlink" Target="https://usafacts.org/missions/promote-welfare/12" TargetMode="External"/><Relationship Id="rId539" Type="http://schemas.openxmlformats.org/officeDocument/2006/relationships/hyperlink" Target="https://stats.oecd.org/index.aspx?DataSetCode=HEALTH_STAT" TargetMode="External"/><Relationship Id="rId538" Type="http://schemas.openxmlformats.org/officeDocument/2006/relationships/hyperlink" Target="https://apps.who.int/iris/bitstream/handle/10665/259951/WHO-HIS-IER-GPM-2018.1-eng.pdf;jsessionid=47FB126CD095961CAC9D15E3FBF39514?sequence=1" TargetMode="External"/><Relationship Id="rId537" Type="http://schemas.openxmlformats.org/officeDocument/2006/relationships/hyperlink" Target="https://wwwn.cdc.gov/psr/NationalSummary/NationalSummary.aspx" TargetMode="External"/><Relationship Id="rId779" Type="http://schemas.openxmlformats.org/officeDocument/2006/relationships/hyperlink" Target="https://interactives.commonwealthfund.org/2018/state-scorecard/files/Radley_State_Scorecard_2018.pdf" TargetMode="External"/><Relationship Id="rId770" Type="http://schemas.openxmlformats.org/officeDocument/2006/relationships/hyperlink" Target="https://stats.oecd.org/index.aspx?DataSetCode=HEALTH_STAT" TargetMode="External"/><Relationship Id="rId1120" Type="http://schemas.openxmlformats.org/officeDocument/2006/relationships/hyperlink" Target="https://www.americashealthrankings.org/explore/annual" TargetMode="External"/><Relationship Id="rId532" Type="http://schemas.openxmlformats.org/officeDocument/2006/relationships/hyperlink" Target="https://www.americashealthrankings.org/explore/health-of-women-and-children/measure/child_mortality/state/ALL" TargetMode="External"/><Relationship Id="rId774" Type="http://schemas.openxmlformats.org/officeDocument/2006/relationships/hyperlink" Target="https://www.oecd-ilibrary.org/docserver/health_glance-2017-en.pdf?expires=1564008067&amp;id=id&amp;accname=guest&amp;checksum=D0ABDB5402647B576A76E200E17FD74F" TargetMode="External"/><Relationship Id="rId1121" Type="http://schemas.openxmlformats.org/officeDocument/2006/relationships/hyperlink" Target="https://interactives.commonwealthfund.org/2018/state-scorecard/files/Radley_State_Scorecard_2018.pdf" TargetMode="External"/><Relationship Id="rId531" Type="http://schemas.openxmlformats.org/officeDocument/2006/relationships/hyperlink" Target="https://usafacts.org/missions/promote-welfare/12" TargetMode="External"/><Relationship Id="rId773" Type="http://schemas.openxmlformats.org/officeDocument/2006/relationships/hyperlink" Target="https://interactives.commonwealthfund.org/2018/state-scorecard/files/Radley_State_Scorecard_2018.pdf" TargetMode="External"/><Relationship Id="rId1122" Type="http://schemas.openxmlformats.org/officeDocument/2006/relationships/hyperlink" Target="https://www.americashealthrankings.org/explore/annual" TargetMode="External"/><Relationship Id="rId530" Type="http://schemas.openxmlformats.org/officeDocument/2006/relationships/hyperlink" Target="https://stats.oecd.org/index.aspx?DataSetCode=HEALTH_STAT" TargetMode="External"/><Relationship Id="rId772" Type="http://schemas.openxmlformats.org/officeDocument/2006/relationships/hyperlink" Target="https://www.americashealthrankings.org/explore/annual" TargetMode="External"/><Relationship Id="rId1123" Type="http://schemas.openxmlformats.org/officeDocument/2006/relationships/hyperlink" Target="https://international.commonwealthfund.org/stats/" TargetMode="External"/><Relationship Id="rId771" Type="http://schemas.openxmlformats.org/officeDocument/2006/relationships/hyperlink" Target="https://usafacts.org/missions/promote-welfare/12" TargetMode="External"/><Relationship Id="rId1124" Type="http://schemas.openxmlformats.org/officeDocument/2006/relationships/hyperlink" Target="https://usafacts.org/missions/promote-welfare/12" TargetMode="External"/><Relationship Id="rId1158" Type="http://schemas.openxmlformats.org/officeDocument/2006/relationships/hyperlink" Target="https://www.cdc.gov/nchs/healthy_people/hp2020/hp2020_indicators.htm" TargetMode="External"/><Relationship Id="rId1159" Type="http://schemas.openxmlformats.org/officeDocument/2006/relationships/hyperlink" Target="https://apps.who.int/iris/bitstream/handle/10665/259951/WHO-HIS-IER-GPM-2018.1-eng.pdf;jsessionid=47FB126CD095961CAC9D15E3FBF39514?sequence=1" TargetMode="External"/><Relationship Id="rId327" Type="http://schemas.openxmlformats.org/officeDocument/2006/relationships/hyperlink" Target="https://usafacts.org/missions/promote-welfare/12" TargetMode="External"/><Relationship Id="rId569" Type="http://schemas.openxmlformats.org/officeDocument/2006/relationships/hyperlink" Target="https://www.cms.gov/Medicare/Quality-Initiatives-Patient-Assessment-Instruments/QualityInitiativesGenInfo/MMF/General-info-Sub-Page.html" TargetMode="External"/><Relationship Id="rId326" Type="http://schemas.openxmlformats.org/officeDocument/2006/relationships/hyperlink" Target="https://stats.oecd.org/index.aspx?DataSetCode=HEALTH_STAT" TargetMode="External"/><Relationship Id="rId568" Type="http://schemas.openxmlformats.org/officeDocument/2006/relationships/hyperlink" Target="https://www.americashealthrankings.org/explore/annual" TargetMode="External"/><Relationship Id="rId325" Type="http://schemas.openxmlformats.org/officeDocument/2006/relationships/hyperlink" Target="https://international.commonwealthfund.org/stats/" TargetMode="External"/><Relationship Id="rId567" Type="http://schemas.openxmlformats.org/officeDocument/2006/relationships/hyperlink" Target="https://stats.oecd.org/index.aspx?DataSetCode=HEALTH_STAT" TargetMode="External"/><Relationship Id="rId324" Type="http://schemas.openxmlformats.org/officeDocument/2006/relationships/hyperlink" Target="https://apps.who.int/iris/bitstream/handle/10665/259951/WHO-HIS-IER-GPM-2018.1-eng.pdf;jsessionid=47FB126CD095961CAC9D15E3FBF39514?sequence=1" TargetMode="External"/><Relationship Id="rId566" Type="http://schemas.openxmlformats.org/officeDocument/2006/relationships/hyperlink" Target="https://wwwn.cdc.gov/psr/NationalSummary/NationalSummary.aspx" TargetMode="External"/><Relationship Id="rId329" Type="http://schemas.openxmlformats.org/officeDocument/2006/relationships/hyperlink" Target="https://stats.oecd.org/index.aspx?DataSetCode=HEALTH_STAT" TargetMode="External"/><Relationship Id="rId328" Type="http://schemas.openxmlformats.org/officeDocument/2006/relationships/hyperlink" Target="https://apps.who.int/iris/bitstream/handle/10665/259951/WHO-HIS-IER-GPM-2018.1-eng.pdf;jsessionid=47FB126CD095961CAC9D15E3FBF39514?sequence=1" TargetMode="External"/><Relationship Id="rId561" Type="http://schemas.openxmlformats.org/officeDocument/2006/relationships/hyperlink" Target="https://stats.oecd.org/index.aspx?DataSetCode=HEALTH_STAT" TargetMode="External"/><Relationship Id="rId1150" Type="http://schemas.openxmlformats.org/officeDocument/2006/relationships/hyperlink" Target="https://usafacts.org/missions/promote-welfare/12" TargetMode="External"/><Relationship Id="rId560" Type="http://schemas.openxmlformats.org/officeDocument/2006/relationships/hyperlink" Target="https://apps.who.int/iris/bitstream/handle/10665/259951/WHO-HIS-IER-GPM-2018.1-eng.pdf;jsessionid=47FB126CD095961CAC9D15E3FBF39514?sequence=1" TargetMode="External"/><Relationship Id="rId1151" Type="http://schemas.openxmlformats.org/officeDocument/2006/relationships/hyperlink" Target="https://www.americashealthrankings.org/explore/annual" TargetMode="External"/><Relationship Id="rId1152" Type="http://schemas.openxmlformats.org/officeDocument/2006/relationships/hyperlink" Target="https://data.worldbank.org/indicator/" TargetMode="External"/><Relationship Id="rId1153" Type="http://schemas.openxmlformats.org/officeDocument/2006/relationships/hyperlink" Target="https://interactives.commonwealthfund.org/2018/state-scorecard/files/Radley_State_Scorecard_2018.pdf" TargetMode="External"/><Relationship Id="rId323" Type="http://schemas.openxmlformats.org/officeDocument/2006/relationships/hyperlink" Target="https://www.gapminder.org/data/" TargetMode="External"/><Relationship Id="rId565" Type="http://schemas.openxmlformats.org/officeDocument/2006/relationships/hyperlink" Target="https://www.cms.gov/Medicare/Quality-Initiatives-Patient-Assessment-Instruments/QualityInitiativesGenInfo/MMF/General-info-Sub-Page.html" TargetMode="External"/><Relationship Id="rId1154" Type="http://schemas.openxmlformats.org/officeDocument/2006/relationships/hyperlink" Target="https://stats.oecd.org/index.aspx?DataSetCode=HEALTH_STAT" TargetMode="External"/><Relationship Id="rId322" Type="http://schemas.openxmlformats.org/officeDocument/2006/relationships/hyperlink" Target="https://stats.oecd.org/index.aspx?DataSetCode=HEALTH_STAT" TargetMode="External"/><Relationship Id="rId564" Type="http://schemas.openxmlformats.org/officeDocument/2006/relationships/hyperlink" Target="https://www.americashealthrankings.org/explore/annual" TargetMode="External"/><Relationship Id="rId1155" Type="http://schemas.openxmlformats.org/officeDocument/2006/relationships/hyperlink" Target="https://usafacts.org/missions/promote-welfare/12" TargetMode="External"/><Relationship Id="rId321" Type="http://schemas.openxmlformats.org/officeDocument/2006/relationships/hyperlink" Target="https://apps.who.int/iris/bitstream/handle/10665/259951/WHO-HIS-IER-GPM-2018.1-eng.pdf;jsessionid=47FB126CD095961CAC9D15E3FBF39514?sequence=1" TargetMode="External"/><Relationship Id="rId563" Type="http://schemas.openxmlformats.org/officeDocument/2006/relationships/hyperlink" Target="https://stats.oecd.org/index.aspx?DataSetCode=HEALTH_STAT" TargetMode="External"/><Relationship Id="rId1156" Type="http://schemas.openxmlformats.org/officeDocument/2006/relationships/hyperlink" Target="https://www.americashealthrankings.org/explore/annual" TargetMode="External"/><Relationship Id="rId320" Type="http://schemas.openxmlformats.org/officeDocument/2006/relationships/hyperlink" Target="https://www.gapminder.org/data/" TargetMode="External"/><Relationship Id="rId562" Type="http://schemas.openxmlformats.org/officeDocument/2006/relationships/hyperlink" Target="https://www.cdc.gov/nchs/healthy_people/hp2020/hp2020_indicators.htm" TargetMode="External"/><Relationship Id="rId1157" Type="http://schemas.openxmlformats.org/officeDocument/2006/relationships/hyperlink" Target="https://www.cms.gov/about-cms/story-page/our-16-strategic-initiatives.html" TargetMode="External"/><Relationship Id="rId1147" Type="http://schemas.openxmlformats.org/officeDocument/2006/relationships/hyperlink" Target="https://www.americashealthrankings.org/explore/annual" TargetMode="External"/><Relationship Id="rId1148" Type="http://schemas.openxmlformats.org/officeDocument/2006/relationships/hyperlink" Target="https://apps.who.int/iris/bitstream/handle/10665/259951/WHO-HIS-IER-GPM-2018.1-eng.pdf;jsessionid=47FB126CD095961CAC9D15E3FBF39514?sequence=1" TargetMode="External"/><Relationship Id="rId1149" Type="http://schemas.openxmlformats.org/officeDocument/2006/relationships/hyperlink" Target="https://stats.oecd.org/index.aspx?DataSetCode=HEALTH_STAT" TargetMode="External"/><Relationship Id="rId316" Type="http://schemas.openxmlformats.org/officeDocument/2006/relationships/hyperlink" Target="https://stats.oecd.org/index.aspx?DataSetCode=HEALTH_STAT" TargetMode="External"/><Relationship Id="rId558" Type="http://schemas.openxmlformats.org/officeDocument/2006/relationships/hyperlink" Target="https://data.worldbank.org/indicator/" TargetMode="External"/><Relationship Id="rId315" Type="http://schemas.openxmlformats.org/officeDocument/2006/relationships/hyperlink" Target="https://apps.who.int/iris/bitstream/handle/10665/259951/WHO-HIS-IER-GPM-2018.1-eng.pdf;jsessionid=47FB126CD095961CAC9D15E3FBF39514?sequence=1" TargetMode="External"/><Relationship Id="rId557" Type="http://schemas.openxmlformats.org/officeDocument/2006/relationships/hyperlink" Target="https://www.americashealthrankings.org/explore/annual" TargetMode="External"/><Relationship Id="rId799" Type="http://schemas.openxmlformats.org/officeDocument/2006/relationships/hyperlink" Target="https://apps.who.int/iris/bitstream/handle/10665/259951/WHO-HIS-IER-GPM-2018.1-eng.pdf;jsessionid=47FB126CD095961CAC9D15E3FBF39514?sequence=1" TargetMode="External"/><Relationship Id="rId314" Type="http://schemas.openxmlformats.org/officeDocument/2006/relationships/hyperlink" Target="https://www.americashealthrankings.org/explore/annual" TargetMode="External"/><Relationship Id="rId556" Type="http://schemas.openxmlformats.org/officeDocument/2006/relationships/hyperlink" Target="https://stats.oecd.org/index.aspx?DataSetCode=HEALTH_STAT" TargetMode="External"/><Relationship Id="rId798" Type="http://schemas.openxmlformats.org/officeDocument/2006/relationships/hyperlink" Target="https://data.worldbank.org/indicator/" TargetMode="External"/><Relationship Id="rId313" Type="http://schemas.openxmlformats.org/officeDocument/2006/relationships/hyperlink" Target="https://stats.oecd.org/index.aspx?DataSetCode=HEALTH_STAT" TargetMode="External"/><Relationship Id="rId555" Type="http://schemas.openxmlformats.org/officeDocument/2006/relationships/hyperlink" Target="https://wwwn.cdc.gov/psr/NationalSummary/NationalSummary.aspx" TargetMode="External"/><Relationship Id="rId797" Type="http://schemas.openxmlformats.org/officeDocument/2006/relationships/hyperlink" Target="https://apps.who.int/iris/bitstream/handle/10665/259951/WHO-HIS-IER-GPM-2018.1-eng.pdf;jsessionid=47FB126CD095961CAC9D15E3FBF39514?sequence=1" TargetMode="External"/><Relationship Id="rId319" Type="http://schemas.openxmlformats.org/officeDocument/2006/relationships/hyperlink" Target="https://stats.oecd.org/index.aspx?DataSetCode=HEALTH_STAT" TargetMode="External"/><Relationship Id="rId318" Type="http://schemas.openxmlformats.org/officeDocument/2006/relationships/hyperlink" Target="https://apps.who.int/iris/bitstream/handle/10665/259951/WHO-HIS-IER-GPM-2018.1-eng.pdf;jsessionid=47FB126CD095961CAC9D15E3FBF39514?sequence=1" TargetMode="External"/><Relationship Id="rId317" Type="http://schemas.openxmlformats.org/officeDocument/2006/relationships/hyperlink" Target="https://www.cdc.gov/nchs/healthy_people/hp2020/hp2020_indicators.htm" TargetMode="External"/><Relationship Id="rId559" Type="http://schemas.openxmlformats.org/officeDocument/2006/relationships/hyperlink" Target="https://www.cdc.gov/nchs/healthy_people/hp2020/hp2020_indicators.htm" TargetMode="External"/><Relationship Id="rId550" Type="http://schemas.openxmlformats.org/officeDocument/2006/relationships/hyperlink" Target="https://stats.oecd.org/index.aspx?DataSetCode=HEALTH_STAT" TargetMode="External"/><Relationship Id="rId792" Type="http://schemas.openxmlformats.org/officeDocument/2006/relationships/hyperlink" Target="https://international.commonwealthfund.org/stats/" TargetMode="External"/><Relationship Id="rId791" Type="http://schemas.openxmlformats.org/officeDocument/2006/relationships/hyperlink" Target="https://stats.oecd.org/index.aspx?DataSetCode=HEALTH_STAT" TargetMode="External"/><Relationship Id="rId1140" Type="http://schemas.openxmlformats.org/officeDocument/2006/relationships/hyperlink" Target="https://stats.oecd.org/index.aspx?DataSetCode=HEALTH_STAT" TargetMode="External"/><Relationship Id="rId790" Type="http://schemas.openxmlformats.org/officeDocument/2006/relationships/hyperlink" Target="https://international.commonwealthfund.org/stats/" TargetMode="External"/><Relationship Id="rId1141" Type="http://schemas.openxmlformats.org/officeDocument/2006/relationships/hyperlink" Target="https://usafacts.org/missions/promote-welfare/12" TargetMode="External"/><Relationship Id="rId1142" Type="http://schemas.openxmlformats.org/officeDocument/2006/relationships/hyperlink" Target="https://www.americashealthrankings.org/explore/annual" TargetMode="External"/><Relationship Id="rId312" Type="http://schemas.openxmlformats.org/officeDocument/2006/relationships/hyperlink" Target="https://interactives.commonwealthfund.org/2018/state-scorecard/files/Radley_State_Scorecard_2018.pdf" TargetMode="External"/><Relationship Id="rId554" Type="http://schemas.openxmlformats.org/officeDocument/2006/relationships/hyperlink" Target="https://data.worldbank.org/indicator/" TargetMode="External"/><Relationship Id="rId796" Type="http://schemas.openxmlformats.org/officeDocument/2006/relationships/hyperlink" Target="https://stats.oecd.org/index.aspx?DataSetCode=HEALTH_STAT" TargetMode="External"/><Relationship Id="rId1143" Type="http://schemas.openxmlformats.org/officeDocument/2006/relationships/hyperlink" Target="https://data.worldbank.org/indicator/" TargetMode="External"/><Relationship Id="rId311" Type="http://schemas.openxmlformats.org/officeDocument/2006/relationships/hyperlink" Target="https://www.americashealthrankings.org/explore/annual" TargetMode="External"/><Relationship Id="rId553" Type="http://schemas.openxmlformats.org/officeDocument/2006/relationships/hyperlink" Target="https://stats.oecd.org/index.aspx?DataSetCode=HEALTH_STAT" TargetMode="External"/><Relationship Id="rId795" Type="http://schemas.openxmlformats.org/officeDocument/2006/relationships/hyperlink" Target="https://stats.oecd.org/index.aspx?DataSetCode=HEALTH_STAT" TargetMode="External"/><Relationship Id="rId1144" Type="http://schemas.openxmlformats.org/officeDocument/2006/relationships/hyperlink" Target="https://interactives.commonwealthfund.org/2018/state-scorecard/files/Radley_State_Scorecard_2018.pdf" TargetMode="External"/><Relationship Id="rId310" Type="http://schemas.openxmlformats.org/officeDocument/2006/relationships/hyperlink" Target="https://stats.oecd.org/index.aspx?DataSetCode=HEALTH_STAT" TargetMode="External"/><Relationship Id="rId552" Type="http://schemas.openxmlformats.org/officeDocument/2006/relationships/hyperlink" Target="https://wwwn.cdc.gov/psr/NationalSummary/NationalSummary.aspx" TargetMode="External"/><Relationship Id="rId794" Type="http://schemas.openxmlformats.org/officeDocument/2006/relationships/hyperlink" Target="https://international.commonwealthfund.org/stats/" TargetMode="External"/><Relationship Id="rId1145" Type="http://schemas.openxmlformats.org/officeDocument/2006/relationships/hyperlink" Target="https://stats.oecd.org/index.aspx?DataSetCode=HEALTH_STAT" TargetMode="External"/><Relationship Id="rId551" Type="http://schemas.openxmlformats.org/officeDocument/2006/relationships/hyperlink" Target="https://www.cms.gov/Medicare/Quality-Initiatives-Patient-Assessment-Instruments/QualityInitiativesGenInfo/MMF/General-info-Sub-Page.html" TargetMode="External"/><Relationship Id="rId793" Type="http://schemas.openxmlformats.org/officeDocument/2006/relationships/hyperlink" Target="https://stats.oecd.org/index.aspx?DataSetCode=HEALTH_STAT" TargetMode="External"/><Relationship Id="rId1146" Type="http://schemas.openxmlformats.org/officeDocument/2006/relationships/hyperlink" Target="https://usafacts.org/missions/promote-welfare/12" TargetMode="External"/><Relationship Id="rId297" Type="http://schemas.openxmlformats.org/officeDocument/2006/relationships/hyperlink" Target="https://data.worldbank.org/indicator/" TargetMode="External"/><Relationship Id="rId296" Type="http://schemas.openxmlformats.org/officeDocument/2006/relationships/hyperlink" Target="https://stats.oecd.org/index.aspx?DataSetCode=HEALTH_STAT" TargetMode="External"/><Relationship Id="rId295" Type="http://schemas.openxmlformats.org/officeDocument/2006/relationships/hyperlink" Target="https://apps.who.int/iris/bitstream/handle/10665/259951/WHO-HIS-IER-GPM-2018.1-eng.pdf;jsessionid=47FB126CD095961CAC9D15E3FBF39514?sequence=1" TargetMode="External"/><Relationship Id="rId294" Type="http://schemas.openxmlformats.org/officeDocument/2006/relationships/hyperlink" Target="https://www.cdc.gov/tb/statistics/default.htm" TargetMode="External"/><Relationship Id="rId299" Type="http://schemas.openxmlformats.org/officeDocument/2006/relationships/hyperlink" Target="https://apps.who.int/iris/bitstream/handle/10665/259951/WHO-HIS-IER-GPM-2018.1-eng.pdf;jsessionid=47FB126CD095961CAC9D15E3FBF39514?sequence=1" TargetMode="External"/><Relationship Id="rId298" Type="http://schemas.openxmlformats.org/officeDocument/2006/relationships/hyperlink" Target="http://www.paho.org/data/index.php/en/indicators/visualization.html" TargetMode="External"/><Relationship Id="rId271" Type="http://schemas.openxmlformats.org/officeDocument/2006/relationships/hyperlink" Target="https://stats.oecd.org/index.aspx?DataSetCode=HEALTH_STAT" TargetMode="External"/><Relationship Id="rId270" Type="http://schemas.openxmlformats.org/officeDocument/2006/relationships/hyperlink" Target="https://interactives.commonwealthfund.org/2018/state-scorecard/files/Radley_State_Scorecard_2018.pdf" TargetMode="External"/><Relationship Id="rId269" Type="http://schemas.openxmlformats.org/officeDocument/2006/relationships/hyperlink" Target="https://apps.who.int/iris/bitstream/handle/10665/259951/WHO-HIS-IER-GPM-2018.1-eng.pdf;jsessionid=47FB126CD095961CAC9D15E3FBF39514?sequence=1" TargetMode="External"/><Relationship Id="rId264" Type="http://schemas.openxmlformats.org/officeDocument/2006/relationships/hyperlink" Target="https://international.commonwealthfund.org/stats/" TargetMode="External"/><Relationship Id="rId263" Type="http://schemas.openxmlformats.org/officeDocument/2006/relationships/hyperlink" Target="https://data.worldbank.org/indicator/" TargetMode="External"/><Relationship Id="rId262" Type="http://schemas.openxmlformats.org/officeDocument/2006/relationships/hyperlink" Target="https://www.americashealthrankings.org/explore/annual" TargetMode="External"/><Relationship Id="rId261" Type="http://schemas.openxmlformats.org/officeDocument/2006/relationships/hyperlink" Target="https://usafacts.org/missions/promote-welfare/12" TargetMode="External"/><Relationship Id="rId268" Type="http://schemas.openxmlformats.org/officeDocument/2006/relationships/hyperlink" Target="https://data.worldbank.org/indicator/" TargetMode="External"/><Relationship Id="rId267" Type="http://schemas.openxmlformats.org/officeDocument/2006/relationships/hyperlink" Target="https://www.americashealthrankings.org/explore/annual" TargetMode="External"/><Relationship Id="rId266" Type="http://schemas.openxmlformats.org/officeDocument/2006/relationships/hyperlink" Target="https://usafacts.org/missions/promote-welfare/12" TargetMode="External"/><Relationship Id="rId265" Type="http://schemas.openxmlformats.org/officeDocument/2006/relationships/hyperlink" Target="https://stats.oecd.org/index.aspx?DataSetCode=HEALTH_STAT" TargetMode="External"/><Relationship Id="rId260" Type="http://schemas.openxmlformats.org/officeDocument/2006/relationships/hyperlink" Target="https://stats.oecd.org/index.aspx?DataSetCode=HEALTH_STAT" TargetMode="External"/><Relationship Id="rId259" Type="http://schemas.openxmlformats.org/officeDocument/2006/relationships/hyperlink" Target="https://international.commonwealthfund.org/stats/" TargetMode="External"/><Relationship Id="rId258" Type="http://schemas.openxmlformats.org/officeDocument/2006/relationships/hyperlink" Target="https://www.cms.gov/Medicare/Quality-Initiatives-Patient-Assessment-Instruments/QualityInitiativesGenInfo/MMF/General-info-Sub-Page.html" TargetMode="External"/><Relationship Id="rId253" Type="http://schemas.openxmlformats.org/officeDocument/2006/relationships/hyperlink" Target="https://www.gapminder.org/data/" TargetMode="External"/><Relationship Id="rId495" Type="http://schemas.openxmlformats.org/officeDocument/2006/relationships/hyperlink" Target="https://www.americashealthrankings.org/explore/health-of-women-and-children/measure/IMR_MCH/state/ALL" TargetMode="External"/><Relationship Id="rId252" Type="http://schemas.openxmlformats.org/officeDocument/2006/relationships/hyperlink" Target="https://stats.oecd.org/index.aspx?DataSetCode=HEALTH_STAT" TargetMode="External"/><Relationship Id="rId494" Type="http://schemas.openxmlformats.org/officeDocument/2006/relationships/hyperlink" Target="https://www.gapminder.org/data/" TargetMode="External"/><Relationship Id="rId251" Type="http://schemas.openxmlformats.org/officeDocument/2006/relationships/hyperlink" Target="https://apps.who.int/iris/bitstream/handle/10665/259951/WHO-HIS-IER-GPM-2018.1-eng.pdf;jsessionid=47FB126CD095961CAC9D15E3FBF39514?sequence=1" TargetMode="External"/><Relationship Id="rId493" Type="http://schemas.openxmlformats.org/officeDocument/2006/relationships/hyperlink" Target="https://usafacts.org/missions/promote-welfare/12" TargetMode="External"/><Relationship Id="rId250" Type="http://schemas.openxmlformats.org/officeDocument/2006/relationships/hyperlink" Target="https://www.cdc.gov/nchs/healthy_people/hp2020/hp2020_indicators.htm" TargetMode="External"/><Relationship Id="rId492" Type="http://schemas.openxmlformats.org/officeDocument/2006/relationships/hyperlink" Target="https://stats.oecd.org/index.aspx?DataSetCode=HEALTH_STAT" TargetMode="External"/><Relationship Id="rId257" Type="http://schemas.openxmlformats.org/officeDocument/2006/relationships/hyperlink" Target="https://www.americashealthrankings.org/explore/annual" TargetMode="External"/><Relationship Id="rId499" Type="http://schemas.openxmlformats.org/officeDocument/2006/relationships/hyperlink" Target="https://interactives.commonwealthfund.org/2018/state-scorecard/files/Radley_State_Scorecard_2018.pdf" TargetMode="External"/><Relationship Id="rId256" Type="http://schemas.openxmlformats.org/officeDocument/2006/relationships/hyperlink" Target="https://www.gapminder.org/data/" TargetMode="External"/><Relationship Id="rId498" Type="http://schemas.openxmlformats.org/officeDocument/2006/relationships/hyperlink" Target="https://apps.who.int/iris/bitstream/handle/10665/259951/WHO-HIS-IER-GPM-2018.1-eng.pdf;jsessionid=47FB126CD095961CAC9D15E3FBF39514?sequence=1" TargetMode="External"/><Relationship Id="rId255" Type="http://schemas.openxmlformats.org/officeDocument/2006/relationships/hyperlink" Target="https://stats.oecd.org/index.aspx?DataSetCode=HEALTH_STAT" TargetMode="External"/><Relationship Id="rId497" Type="http://schemas.openxmlformats.org/officeDocument/2006/relationships/hyperlink" Target="https://www.cdc.gov/nchs/healthy_people/hp2020/hp2020_indicators.htm" TargetMode="External"/><Relationship Id="rId254" Type="http://schemas.openxmlformats.org/officeDocument/2006/relationships/hyperlink" Target="https://wwwn.cdc.gov/psr/NationalSummary/NationalSummary.aspx" TargetMode="External"/><Relationship Id="rId496" Type="http://schemas.openxmlformats.org/officeDocument/2006/relationships/hyperlink" Target="https://data.worldbank.org/indicator/" TargetMode="External"/><Relationship Id="rId293" Type="http://schemas.openxmlformats.org/officeDocument/2006/relationships/hyperlink" Target="https://www.cdc.gov/nchs/healthy_people/hp2020/hp2020_indicators.htm" TargetMode="External"/><Relationship Id="rId292" Type="http://schemas.openxmlformats.org/officeDocument/2006/relationships/hyperlink" Target="https://www.americashealthrankings.org/explore/annual" TargetMode="External"/><Relationship Id="rId291" Type="http://schemas.openxmlformats.org/officeDocument/2006/relationships/hyperlink" Target="https://interactives.commonwealthfund.org/2018/state-scorecard/files/Radley_State_Scorecard_2018.pdf" TargetMode="External"/><Relationship Id="rId290" Type="http://schemas.openxmlformats.org/officeDocument/2006/relationships/hyperlink" Target="https://www.cms.gov/Medicare/Quality-Initiatives-Patient-Assessment-Instruments/QualityInitiativesGenInfo/MMF/General-info-Sub-Page.html" TargetMode="External"/><Relationship Id="rId286" Type="http://schemas.openxmlformats.org/officeDocument/2006/relationships/hyperlink" Target="https://stats.oecd.org/index.aspx?DataSetCode=HEALTH_STAT" TargetMode="External"/><Relationship Id="rId285" Type="http://schemas.openxmlformats.org/officeDocument/2006/relationships/hyperlink" Target="https://interactives.commonwealthfund.org/2018/state-scorecard/files/Radley_State_Scorecard_2018.pdf" TargetMode="External"/><Relationship Id="rId284" Type="http://schemas.openxmlformats.org/officeDocument/2006/relationships/hyperlink" Target="https://www.cdc.gov/nchs/healthy_people/hp2020/hp2020_indicators.htm" TargetMode="External"/><Relationship Id="rId283" Type="http://schemas.openxmlformats.org/officeDocument/2006/relationships/hyperlink" Target="https://www.cms.gov/Medicare/Quality-Initiatives-Patient-Assessment-Instruments/QualityInitiativesGenInfo/MMF/General-info-Sub-Page.html" TargetMode="External"/><Relationship Id="rId289" Type="http://schemas.openxmlformats.org/officeDocument/2006/relationships/hyperlink" Target="https://stats.oecd.org/index.aspx?DataSetCode=HEALTH_STAT" TargetMode="External"/><Relationship Id="rId288" Type="http://schemas.openxmlformats.org/officeDocument/2006/relationships/hyperlink" Target="https://interactives.commonwealthfund.org/2018/state-scorecard/files/Radley_State_Scorecard_2018.pdf" TargetMode="External"/><Relationship Id="rId287" Type="http://schemas.openxmlformats.org/officeDocument/2006/relationships/hyperlink" Target="https://www.cms.gov/Medicare/Quality-Initiatives-Patient-Assessment-Instruments/QualityInitiativesGenInfo/MMF/General-info-Sub-Page.html" TargetMode="External"/><Relationship Id="rId282" Type="http://schemas.openxmlformats.org/officeDocument/2006/relationships/hyperlink" Target="https://stats.oecd.org/index.aspx?DataSetCode=HEALTH_STAT" TargetMode="External"/><Relationship Id="rId281" Type="http://schemas.openxmlformats.org/officeDocument/2006/relationships/hyperlink" Target="https://interactives.commonwealthfund.org/2018/state-scorecard/files/Radley_State_Scorecard_2018.pdf" TargetMode="External"/><Relationship Id="rId280" Type="http://schemas.openxmlformats.org/officeDocument/2006/relationships/hyperlink" Target="https://data.worldbank.org/indicator/" TargetMode="External"/><Relationship Id="rId275" Type="http://schemas.openxmlformats.org/officeDocument/2006/relationships/hyperlink" Target="https://www.americashealthrankings.org/explore/annual" TargetMode="External"/><Relationship Id="rId274" Type="http://schemas.openxmlformats.org/officeDocument/2006/relationships/hyperlink" Target="https://stats.oecd.org/index.aspx?DataSetCode=HEALTH_STAT" TargetMode="External"/><Relationship Id="rId273" Type="http://schemas.openxmlformats.org/officeDocument/2006/relationships/hyperlink" Target="https://interactives.commonwealthfund.org/2018/state-scorecard/files/Radley_State_Scorecard_2018.pdf" TargetMode="External"/><Relationship Id="rId272" Type="http://schemas.openxmlformats.org/officeDocument/2006/relationships/hyperlink" Target="https://www.cms.gov/Medicare/Quality-Initiatives-Patient-Assessment-Instruments/QualityInitiativesGenInfo/MMF/General-info-Sub-Page.html" TargetMode="External"/><Relationship Id="rId279" Type="http://schemas.openxmlformats.org/officeDocument/2006/relationships/hyperlink" Target="https://www.gapminder.org/data/" TargetMode="External"/><Relationship Id="rId278" Type="http://schemas.openxmlformats.org/officeDocument/2006/relationships/hyperlink" Target="https://apps.who.int/iris/bitstream/handle/10665/259951/WHO-HIS-IER-GPM-2018.1-eng.pdf;jsessionid=47FB126CD095961CAC9D15E3FBF39514?sequence=1" TargetMode="External"/><Relationship Id="rId277" Type="http://schemas.openxmlformats.org/officeDocument/2006/relationships/hyperlink" Target="https://www.cdc.gov/nchs/healthy_people/hp2020/hp2020_indicators.htm" TargetMode="External"/><Relationship Id="rId276" Type="http://schemas.openxmlformats.org/officeDocument/2006/relationships/hyperlink" Target="https://www.cms.gov/Medicare/Quality-Initiatives-Patient-Assessment-Instruments/QualityInitiativesGenInfo/MMF/General-info-Sub-Page.html" TargetMode="External"/><Relationship Id="rId907" Type="http://schemas.openxmlformats.org/officeDocument/2006/relationships/hyperlink" Target="https://www.oecd-ilibrary.org/social-issues-migration-health/health-at-a-glance-2017_health_glance-2017-en" TargetMode="External"/><Relationship Id="rId906" Type="http://schemas.openxmlformats.org/officeDocument/2006/relationships/hyperlink" Target="https://www.oecd-ilibrary.org/social-issues-migration-health/health-at-a-glance-2017_health_glance-2017-en" TargetMode="External"/><Relationship Id="rId905" Type="http://schemas.openxmlformats.org/officeDocument/2006/relationships/hyperlink" Target="https://www.oecd-ilibrary.org/social-issues-migration-health/health-at-a-glance-2017_health_glance-2017-en" TargetMode="External"/><Relationship Id="rId904" Type="http://schemas.openxmlformats.org/officeDocument/2006/relationships/hyperlink" Target="https://www.gapminder.org/data/" TargetMode="External"/><Relationship Id="rId909" Type="http://schemas.openxmlformats.org/officeDocument/2006/relationships/hyperlink" Target="http://www.paho.org/data/index.php/en/indicators/visualization.html" TargetMode="External"/><Relationship Id="rId908" Type="http://schemas.openxmlformats.org/officeDocument/2006/relationships/hyperlink" Target="http://www.paho.org/data/index.php/en/indicators/visualization.html" TargetMode="External"/><Relationship Id="rId903" Type="http://schemas.openxmlformats.org/officeDocument/2006/relationships/hyperlink" Target="https://www.oecd-ilibrary.org/social-issues-migration-health/health-at-a-glance-2017_health_glance-2017-en" TargetMode="External"/><Relationship Id="rId902" Type="http://schemas.openxmlformats.org/officeDocument/2006/relationships/hyperlink" Target="https://international.commonwealthfund.org/stats/" TargetMode="External"/><Relationship Id="rId901" Type="http://schemas.openxmlformats.org/officeDocument/2006/relationships/hyperlink" Target="https://www.americashealthrankings.org/explore/annual" TargetMode="External"/><Relationship Id="rId900" Type="http://schemas.openxmlformats.org/officeDocument/2006/relationships/hyperlink" Target="https://usafacts.org/missions/promote-welfare/12" TargetMode="External"/><Relationship Id="rId929" Type="http://schemas.openxmlformats.org/officeDocument/2006/relationships/hyperlink" Target="https://stats.oecd.org/index.aspx?DataSetCode=HEALTH_STAT" TargetMode="External"/><Relationship Id="rId928" Type="http://schemas.openxmlformats.org/officeDocument/2006/relationships/hyperlink" Target="https://usafacts.org/missions/promote-welfare/12" TargetMode="External"/><Relationship Id="rId927" Type="http://schemas.openxmlformats.org/officeDocument/2006/relationships/hyperlink" Target="https://stats.oecd.org/index.aspx?DataSetCode=HEALTH_STAT" TargetMode="External"/><Relationship Id="rId926" Type="http://schemas.openxmlformats.org/officeDocument/2006/relationships/hyperlink" Target="https://usafacts.org/missions/promote-welfare/12" TargetMode="External"/><Relationship Id="rId921" Type="http://schemas.openxmlformats.org/officeDocument/2006/relationships/hyperlink" Target="https://interactives.commonwealthfund.org/2018/state-scorecard/files/Radley_State_Scorecard_2018.pdf" TargetMode="External"/><Relationship Id="rId920" Type="http://schemas.openxmlformats.org/officeDocument/2006/relationships/hyperlink" Target="https://stats.oecd.org/index.aspx?DataSetCode=HEALTH_STAT" TargetMode="External"/><Relationship Id="rId925" Type="http://schemas.openxmlformats.org/officeDocument/2006/relationships/hyperlink" Target="https://stats.oecd.org/index.aspx?DataSetCode=HEALTH_STAT" TargetMode="External"/><Relationship Id="rId924" Type="http://schemas.openxmlformats.org/officeDocument/2006/relationships/hyperlink" Target="https://usafacts.org/missions/promote-welfare/12" TargetMode="External"/><Relationship Id="rId923" Type="http://schemas.openxmlformats.org/officeDocument/2006/relationships/hyperlink" Target="https://international.commonwealthfund.org/stats/" TargetMode="External"/><Relationship Id="rId922" Type="http://schemas.openxmlformats.org/officeDocument/2006/relationships/hyperlink" Target="https://www.americashealthrankings.org/explore/annual" TargetMode="External"/><Relationship Id="rId918" Type="http://schemas.openxmlformats.org/officeDocument/2006/relationships/hyperlink" Target="https://stats.oecd.org/index.aspx?DataSetCode=HEALTH_STAT" TargetMode="External"/><Relationship Id="rId917" Type="http://schemas.openxmlformats.org/officeDocument/2006/relationships/hyperlink" Target="https://international.commonwealthfund.org/stats/" TargetMode="External"/><Relationship Id="rId916" Type="http://schemas.openxmlformats.org/officeDocument/2006/relationships/hyperlink" Target="https://stats.oecd.org/index.aspx?DataSetCode=HEALTH_STAT" TargetMode="External"/><Relationship Id="rId915" Type="http://schemas.openxmlformats.org/officeDocument/2006/relationships/hyperlink" Target="https://international.commonwealthfund.org/stats/" TargetMode="External"/><Relationship Id="rId919" Type="http://schemas.openxmlformats.org/officeDocument/2006/relationships/hyperlink" Target="https://international.commonwealthfund.org/stats/" TargetMode="External"/><Relationship Id="rId910" Type="http://schemas.openxmlformats.org/officeDocument/2006/relationships/hyperlink" Target="https://www.americashealthrankings.org/explore/annual" TargetMode="External"/><Relationship Id="rId914" Type="http://schemas.openxmlformats.org/officeDocument/2006/relationships/hyperlink" Target="https://www.cms.gov/Medicare/Quality-Initiatives-Patient-Assessment-Instruments/QualityInitiativesGenInfo/MMF/General-info-Sub-Page.html" TargetMode="External"/><Relationship Id="rId913" Type="http://schemas.openxmlformats.org/officeDocument/2006/relationships/hyperlink" Target="https://www.americashealthrankings.org/explore/annual" TargetMode="External"/><Relationship Id="rId912" Type="http://schemas.openxmlformats.org/officeDocument/2006/relationships/hyperlink" Target="http://www.paho.org/data/index.php/en/indicators/visualization.html" TargetMode="External"/><Relationship Id="rId911" Type="http://schemas.openxmlformats.org/officeDocument/2006/relationships/hyperlink" Target="http://www.paho.org/data/index.php/en/indicators/visualization.html" TargetMode="External"/><Relationship Id="rId1213" Type="http://schemas.openxmlformats.org/officeDocument/2006/relationships/hyperlink" Target="https://www.oecd-ilibrary.org/social-issues-migration-health/health-at-a-glance-2017_health_glance-2017-en" TargetMode="External"/><Relationship Id="rId1214" Type="http://schemas.openxmlformats.org/officeDocument/2006/relationships/hyperlink" Target="https://www.oecd-ilibrary.org/social-issues-migration-health/health-at-a-glance-2017_health_glance-2017-en" TargetMode="External"/><Relationship Id="rId1215" Type="http://schemas.openxmlformats.org/officeDocument/2006/relationships/hyperlink" Target="https://stats.oecd.org/index.aspx?DataSetCode=HEALTH_STAT" TargetMode="External"/><Relationship Id="rId1216" Type="http://schemas.openxmlformats.org/officeDocument/2006/relationships/hyperlink" Target="https://apps.who.int/iris/bitstream/handle/10665/259951/WHO-HIS-IER-GPM-2018.1-eng.pdf;jsessionid=47FB126CD095961CAC9D15E3FBF39514?sequence=1" TargetMode="External"/><Relationship Id="rId1217" Type="http://schemas.openxmlformats.org/officeDocument/2006/relationships/hyperlink" Target="https://stats.oecd.org/index.aspx?DataSetCode=HEALTH_STAT" TargetMode="External"/><Relationship Id="rId1218" Type="http://schemas.openxmlformats.org/officeDocument/2006/relationships/hyperlink" Target="https://stats.oecd.org/index.aspx?DataSetCode=HEALTH_STAT" TargetMode="External"/><Relationship Id="rId1219" Type="http://schemas.openxmlformats.org/officeDocument/2006/relationships/hyperlink" Target="https://wwwn.cdc.gov/psr/NationalSummary/NationalSummary.aspx" TargetMode="External"/><Relationship Id="rId629" Type="http://schemas.openxmlformats.org/officeDocument/2006/relationships/hyperlink" Target="https://interactives.commonwealthfund.org/2018/state-scorecard/files/Radley_State_Scorecard_2018.pdf" TargetMode="External"/><Relationship Id="rId624" Type="http://schemas.openxmlformats.org/officeDocument/2006/relationships/hyperlink" Target="https://www.americashealthrankings.org/explore/annual" TargetMode="External"/><Relationship Id="rId866" Type="http://schemas.openxmlformats.org/officeDocument/2006/relationships/hyperlink" Target="http://www.paho.org/data/index.php/en/indicators/visualization.html" TargetMode="External"/><Relationship Id="rId623" Type="http://schemas.openxmlformats.org/officeDocument/2006/relationships/hyperlink" Target="https://usafacts.org/missions/promote-welfare/12" TargetMode="External"/><Relationship Id="rId865" Type="http://schemas.openxmlformats.org/officeDocument/2006/relationships/hyperlink" Target="https://data.worldbank.org/indicator/" TargetMode="External"/><Relationship Id="rId622" Type="http://schemas.openxmlformats.org/officeDocument/2006/relationships/hyperlink" Target="https://data.worldbank.org/indicator/" TargetMode="External"/><Relationship Id="rId864" Type="http://schemas.openxmlformats.org/officeDocument/2006/relationships/hyperlink" Target="https://stats.oecd.org/index.aspx?DataSetCode=HEALTH_STAT" TargetMode="External"/><Relationship Id="rId621" Type="http://schemas.openxmlformats.org/officeDocument/2006/relationships/hyperlink" Target="https://www.americashealthrankings.org/explore/annual" TargetMode="External"/><Relationship Id="rId863" Type="http://schemas.openxmlformats.org/officeDocument/2006/relationships/hyperlink" Target="https://international.commonwealthfund.org/stats/" TargetMode="External"/><Relationship Id="rId628" Type="http://schemas.openxmlformats.org/officeDocument/2006/relationships/hyperlink" Target="https://www.cdc.gov/nchs/healthy_people/hp2020/hp2020_indicators.htm" TargetMode="External"/><Relationship Id="rId627" Type="http://schemas.openxmlformats.org/officeDocument/2006/relationships/hyperlink" Target="https://stats.oecd.org/index.aspx?DataSetCode=HEALTH_STAT" TargetMode="External"/><Relationship Id="rId869" Type="http://schemas.openxmlformats.org/officeDocument/2006/relationships/hyperlink" Target="https://stats.oecd.org/index.aspx?DataSetCode=HEALTH_STAT" TargetMode="External"/><Relationship Id="rId626" Type="http://schemas.openxmlformats.org/officeDocument/2006/relationships/hyperlink" Target="https://apps.who.int/iris/bitstream/handle/10665/259951/WHO-HIS-IER-GPM-2018.1-eng.pdf;jsessionid=47FB126CD095961CAC9D15E3FBF39514?sequence=1" TargetMode="External"/><Relationship Id="rId868" Type="http://schemas.openxmlformats.org/officeDocument/2006/relationships/hyperlink" Target="https://international.commonwealthfund.org/stats/" TargetMode="External"/><Relationship Id="rId625" Type="http://schemas.openxmlformats.org/officeDocument/2006/relationships/hyperlink" Target="https://www.cdc.gov/nchs/healthy_people/hp2020/hp2020_indicators.htm" TargetMode="External"/><Relationship Id="rId867" Type="http://schemas.openxmlformats.org/officeDocument/2006/relationships/hyperlink" Target="http://www.paho.org/data/index.php/en/indicators/visualization.html" TargetMode="External"/><Relationship Id="rId620" Type="http://schemas.openxmlformats.org/officeDocument/2006/relationships/hyperlink" Target="https://www.gapminder.org/data/" TargetMode="External"/><Relationship Id="rId862" Type="http://schemas.openxmlformats.org/officeDocument/2006/relationships/hyperlink" Target="http://www.paho.org/data/index.php/en/indicators/visualization.html" TargetMode="External"/><Relationship Id="rId861" Type="http://schemas.openxmlformats.org/officeDocument/2006/relationships/hyperlink" Target="http://www.paho.org/data/index.php/en/indicators/visualization.html" TargetMode="External"/><Relationship Id="rId1210" Type="http://schemas.openxmlformats.org/officeDocument/2006/relationships/hyperlink" Target="https://apps.who.int/iris/bitstream/handle/10665/259951/WHO-HIS-IER-GPM-2018.1-eng.pdf;jsessionid=47FB126CD095961CAC9D15E3FBF39514?sequence=1" TargetMode="External"/><Relationship Id="rId860" Type="http://schemas.openxmlformats.org/officeDocument/2006/relationships/hyperlink" Target="https://www.americashealthrankings.org/explore/annual" TargetMode="External"/><Relationship Id="rId1211" Type="http://schemas.openxmlformats.org/officeDocument/2006/relationships/hyperlink" Target="https://data.worldbank.org/indicator/" TargetMode="External"/><Relationship Id="rId1212" Type="http://schemas.openxmlformats.org/officeDocument/2006/relationships/hyperlink" Target="https://www.cdc.gov/nchs/healthy_people/hp2020/hp2020_indicators.htm" TargetMode="External"/><Relationship Id="rId1202" Type="http://schemas.openxmlformats.org/officeDocument/2006/relationships/hyperlink" Target="https://www.americashealthrankings.org/explore/annual" TargetMode="External"/><Relationship Id="rId1203" Type="http://schemas.openxmlformats.org/officeDocument/2006/relationships/hyperlink" Target="https://apps.who.int/iris/bitstream/handle/10665/259951/WHO-HIS-IER-GPM-2018.1-eng.pdf;jsessionid=47FB126CD095961CAC9D15E3FBF39514?sequence=1" TargetMode="External"/><Relationship Id="rId1204" Type="http://schemas.openxmlformats.org/officeDocument/2006/relationships/hyperlink" Target="https://stats.oecd.org/index.aspx?DataSetCode=HEALTH_STAT" TargetMode="External"/><Relationship Id="rId1205" Type="http://schemas.openxmlformats.org/officeDocument/2006/relationships/hyperlink" Target="https://apps.who.int/iris/bitstream/handle/10665/259951/WHO-HIS-IER-GPM-2018.1-eng.pdf;jsessionid=47FB126CD095961CAC9D15E3FBF39514?sequence=1" TargetMode="External"/><Relationship Id="rId1206" Type="http://schemas.openxmlformats.org/officeDocument/2006/relationships/hyperlink" Target="https://www.americashealthrankings.org/explore/annual" TargetMode="External"/><Relationship Id="rId1207" Type="http://schemas.openxmlformats.org/officeDocument/2006/relationships/hyperlink" Target="https://www.cdc.gov/nchs/healthy_people/hp2020/hp2020_indicators.htm" TargetMode="External"/><Relationship Id="rId1208" Type="http://schemas.openxmlformats.org/officeDocument/2006/relationships/hyperlink" Target="https://apps.who.int/iris/bitstream/handle/10665/259951/WHO-HIS-IER-GPM-2018.1-eng.pdf;jsessionid=47FB126CD095961CAC9D15E3FBF39514?sequence=1" TargetMode="External"/><Relationship Id="rId1209" Type="http://schemas.openxmlformats.org/officeDocument/2006/relationships/hyperlink" Target="https://www.cdc.gov/nchs/healthy_people/hp2020/hp2020_indicators.htm" TargetMode="External"/><Relationship Id="rId619" Type="http://schemas.openxmlformats.org/officeDocument/2006/relationships/hyperlink" Target="https://usafacts.org/missions/promote-welfare/12" TargetMode="External"/><Relationship Id="rId618" Type="http://schemas.openxmlformats.org/officeDocument/2006/relationships/hyperlink" Target="https://stats.oecd.org/index.aspx?DataSetCode=HEALTH_STAT" TargetMode="External"/><Relationship Id="rId613" Type="http://schemas.openxmlformats.org/officeDocument/2006/relationships/hyperlink" Target="https://apps.who.int/iris/bitstream/handle/10665/259951/WHO-HIS-IER-GPM-2018.1-eng.pdf;jsessionid=47FB126CD095961CAC9D15E3FBF39514?sequence=1" TargetMode="External"/><Relationship Id="rId855" Type="http://schemas.openxmlformats.org/officeDocument/2006/relationships/hyperlink" Target="https://www.oecd-ilibrary.org/docserver/health_glance-2017-en.pdf?expires=1564008067&amp;id=id&amp;accname=guest&amp;checksum=D0ABDB5402647B576A76E200E17FD74F" TargetMode="External"/><Relationship Id="rId612" Type="http://schemas.openxmlformats.org/officeDocument/2006/relationships/hyperlink" Target="https://apps.who.int/iris/bitstream/handle/10665/259951/WHO-HIS-IER-GPM-2018.1-eng.pdf;jsessionid=47FB126CD095961CAC9D15E3FBF39514?sequence=1" TargetMode="External"/><Relationship Id="rId854" Type="http://schemas.openxmlformats.org/officeDocument/2006/relationships/hyperlink" Target="https://stats.oecd.org/index.aspx?DataSetCode=HEALTH_STAT" TargetMode="External"/><Relationship Id="rId611" Type="http://schemas.openxmlformats.org/officeDocument/2006/relationships/hyperlink" Target="https://stats.oecd.org/index.aspx?DataSetCode=HEALTH_STAT" TargetMode="External"/><Relationship Id="rId853" Type="http://schemas.openxmlformats.org/officeDocument/2006/relationships/hyperlink" Target="https://international.commonwealthfund.org/stats/" TargetMode="External"/><Relationship Id="rId610" Type="http://schemas.openxmlformats.org/officeDocument/2006/relationships/hyperlink" Target="https://stats.oecd.org/index.aspx?DataSetCode=HEALTH_STAT" TargetMode="External"/><Relationship Id="rId852" Type="http://schemas.openxmlformats.org/officeDocument/2006/relationships/hyperlink" Target="https://international.commonwealthfund.org/stats/" TargetMode="External"/><Relationship Id="rId617" Type="http://schemas.openxmlformats.org/officeDocument/2006/relationships/hyperlink" Target="https://www.cdc.gov/nchs/healthy_people/hp2020/hp2020_indicators.htm" TargetMode="External"/><Relationship Id="rId859" Type="http://schemas.openxmlformats.org/officeDocument/2006/relationships/hyperlink" Target="https://www.gapminder.org/data/" TargetMode="External"/><Relationship Id="rId616" Type="http://schemas.openxmlformats.org/officeDocument/2006/relationships/hyperlink" Target="https://www.americashealthrankings.org/explore/annual" TargetMode="External"/><Relationship Id="rId858" Type="http://schemas.openxmlformats.org/officeDocument/2006/relationships/hyperlink" Target="https://usafacts.org/missions/promote-welfare/12" TargetMode="External"/><Relationship Id="rId615" Type="http://schemas.openxmlformats.org/officeDocument/2006/relationships/hyperlink" Target="https://www.oecd-ilibrary.org/social-issues-migration-health/health-at-a-glance-2017_health_glance-2017-en" TargetMode="External"/><Relationship Id="rId857" Type="http://schemas.openxmlformats.org/officeDocument/2006/relationships/hyperlink" Target="https://www.oecd-ilibrary.org/docserver/health_glance-2017-en.pdf?expires=1564008067&amp;id=id&amp;accname=guest&amp;checksum=D0ABDB5402647B576A76E200E17FD74F" TargetMode="External"/><Relationship Id="rId614" Type="http://schemas.openxmlformats.org/officeDocument/2006/relationships/hyperlink" Target="https://apps.who.int/iris/bitstream/handle/10665/259951/WHO-HIS-IER-GPM-2018.1-eng.pdf;jsessionid=47FB126CD095961CAC9D15E3FBF39514?sequence=1" TargetMode="External"/><Relationship Id="rId856" Type="http://schemas.openxmlformats.org/officeDocument/2006/relationships/hyperlink" Target="https://apps.who.int/iris/bitstream/handle/10665/259951/WHO-HIS-IER-GPM-2018.1-eng.pdf;jsessionid=47FB126CD095961CAC9D15E3FBF39514?sequence=1" TargetMode="External"/><Relationship Id="rId851" Type="http://schemas.openxmlformats.org/officeDocument/2006/relationships/hyperlink" Target="https://international.commonwealthfund.org/stats/" TargetMode="External"/><Relationship Id="rId850" Type="http://schemas.openxmlformats.org/officeDocument/2006/relationships/hyperlink" Target="https://interactives.commonwealthfund.org/2018/state-scorecard/files/Radley_State_Scorecard_2018.pdf" TargetMode="External"/><Relationship Id="rId1200" Type="http://schemas.openxmlformats.org/officeDocument/2006/relationships/hyperlink" Target="https://www.oecd-ilibrary.org/social-issues-migration-health/health-at-a-glance-2017_health_glance-2017-en" TargetMode="External"/><Relationship Id="rId1201" Type="http://schemas.openxmlformats.org/officeDocument/2006/relationships/hyperlink" Target="https://usafacts.org/missions/promote-welfare/12" TargetMode="External"/><Relationship Id="rId1235" Type="http://schemas.openxmlformats.org/officeDocument/2006/relationships/hyperlink" Target="https://www.americashealthrankings.org/explore/annual" TargetMode="External"/><Relationship Id="rId1236" Type="http://schemas.openxmlformats.org/officeDocument/2006/relationships/hyperlink" Target="https://www.americashealthrankings.org/explore/annual" TargetMode="External"/><Relationship Id="rId1237" Type="http://schemas.openxmlformats.org/officeDocument/2006/relationships/hyperlink" Target="https://www.americashealthrankings.org/explore/annual" TargetMode="External"/><Relationship Id="rId1238" Type="http://schemas.openxmlformats.org/officeDocument/2006/relationships/hyperlink" Target="https://data.worldbank.org/indicator/" TargetMode="External"/><Relationship Id="rId1239" Type="http://schemas.openxmlformats.org/officeDocument/2006/relationships/hyperlink" Target="https://data.worldbank.org/indicator/" TargetMode="External"/><Relationship Id="rId409" Type="http://schemas.openxmlformats.org/officeDocument/2006/relationships/hyperlink" Target="https://interactives.commonwealthfund.org/2018/state-scorecard/files/Radley_State_Scorecard_2018.pdf" TargetMode="External"/><Relationship Id="rId404" Type="http://schemas.openxmlformats.org/officeDocument/2006/relationships/hyperlink" Target="https://www.cdc.gov/nchs/healthy_people/hp2020/hp2020_indicators.htm" TargetMode="External"/><Relationship Id="rId646" Type="http://schemas.openxmlformats.org/officeDocument/2006/relationships/hyperlink" Target="http://www.paho.org/data/index.php/en/indicators/visualization.html" TargetMode="External"/><Relationship Id="rId888" Type="http://schemas.openxmlformats.org/officeDocument/2006/relationships/hyperlink" Target="https://www.gapminder.org/data/" TargetMode="External"/><Relationship Id="rId403" Type="http://schemas.openxmlformats.org/officeDocument/2006/relationships/hyperlink" Target="https://www.cms.gov/Medicare/Quality-Initiatives-Patient-Assessment-Instruments/QualityInitiativesGenInfo/MMF/General-info-Sub-Page.html" TargetMode="External"/><Relationship Id="rId645" Type="http://schemas.openxmlformats.org/officeDocument/2006/relationships/hyperlink" Target="http://www.paho.org/data/index.php/en/indicators/visualization.html" TargetMode="External"/><Relationship Id="rId887" Type="http://schemas.openxmlformats.org/officeDocument/2006/relationships/hyperlink" Target="https://usafacts.org/missions/promote-welfare/12" TargetMode="External"/><Relationship Id="rId402" Type="http://schemas.openxmlformats.org/officeDocument/2006/relationships/hyperlink" Target="https://www.americashealthrankings.org/explore/annual" TargetMode="External"/><Relationship Id="rId644" Type="http://schemas.openxmlformats.org/officeDocument/2006/relationships/hyperlink" Target="https://www.americashealthrankings.org/explore/annual" TargetMode="External"/><Relationship Id="rId886" Type="http://schemas.openxmlformats.org/officeDocument/2006/relationships/hyperlink" Target="https://www.oecd-ilibrary.org/docserver/health_glance-2017-en.pdf?expires=1564008067&amp;id=id&amp;accname=guest&amp;checksum=D0ABDB5402647B576A76E200E17FD74F" TargetMode="External"/><Relationship Id="rId401" Type="http://schemas.openxmlformats.org/officeDocument/2006/relationships/hyperlink" Target="https://stats.oecd.org/index.aspx?DataSetCode=HEALTH_STAT" TargetMode="External"/><Relationship Id="rId643" Type="http://schemas.openxmlformats.org/officeDocument/2006/relationships/hyperlink" Target="https://data.worldbank.org/indicator/" TargetMode="External"/><Relationship Id="rId885" Type="http://schemas.openxmlformats.org/officeDocument/2006/relationships/hyperlink" Target="https://apps.who.int/iris/bitstream/handle/10665/259951/WHO-HIS-IER-GPM-2018.1-eng.pdf;jsessionid=47FB126CD095961CAC9D15E3FBF39514?sequence=1" TargetMode="External"/><Relationship Id="rId408" Type="http://schemas.openxmlformats.org/officeDocument/2006/relationships/hyperlink" Target="https://apps.who.int/iris/bitstream/handle/10665/259951/WHO-HIS-IER-GPM-2018.1-eng.pdf;jsessionid=47FB126CD095961CAC9D15E3FBF39514?sequence=1" TargetMode="External"/><Relationship Id="rId407" Type="http://schemas.openxmlformats.org/officeDocument/2006/relationships/hyperlink" Target="https://www.cdc.gov/nchs/healthy_people/hp2020/hp2020_indicators.htm" TargetMode="External"/><Relationship Id="rId649" Type="http://schemas.openxmlformats.org/officeDocument/2006/relationships/hyperlink" Target="http://www.paho.org/data/index.php/en/indicators/visualization.html" TargetMode="External"/><Relationship Id="rId406" Type="http://schemas.openxmlformats.org/officeDocument/2006/relationships/hyperlink" Target="https://www.americashealthrankings.org/explore/annual" TargetMode="External"/><Relationship Id="rId648" Type="http://schemas.openxmlformats.org/officeDocument/2006/relationships/hyperlink" Target="http://www.paho.org/data/index.php/en/indicators/visualization.html" TargetMode="External"/><Relationship Id="rId405" Type="http://schemas.openxmlformats.org/officeDocument/2006/relationships/hyperlink" Target="https://interactives.commonwealthfund.org/2018/state-scorecard/files/Radley_State_Scorecard_2018.pdf" TargetMode="External"/><Relationship Id="rId647" Type="http://schemas.openxmlformats.org/officeDocument/2006/relationships/hyperlink" Target="https://www.americashealthrankings.org/explore/annual" TargetMode="External"/><Relationship Id="rId889" Type="http://schemas.openxmlformats.org/officeDocument/2006/relationships/hyperlink" Target="https://apps.who.int/iris/bitstream/handle/10665/259951/WHO-HIS-IER-GPM-2018.1-eng.pdf;jsessionid=47FB126CD095961CAC9D15E3FBF39514?sequence=1" TargetMode="External"/><Relationship Id="rId880" Type="http://schemas.openxmlformats.org/officeDocument/2006/relationships/hyperlink" Target="https://www.gapminder.org/data/" TargetMode="External"/><Relationship Id="rId1230" Type="http://schemas.openxmlformats.org/officeDocument/2006/relationships/hyperlink" Target="https://apps.who.int/iris/bitstream/handle/10665/259951/WHO-HIS-IER-GPM-2018.1-eng.pdf;jsessionid=47FB126CD095961CAC9D15E3FBF39514?sequence=1" TargetMode="External"/><Relationship Id="rId400" Type="http://schemas.openxmlformats.org/officeDocument/2006/relationships/hyperlink" Target="https://interactives.commonwealthfund.org/2018/state-scorecard/files/Radley_State_Scorecard_2018.pdf" TargetMode="External"/><Relationship Id="rId642" Type="http://schemas.openxmlformats.org/officeDocument/2006/relationships/hyperlink" Target="http://www.paho.org/data/index.php/en/indicators/visualization.html" TargetMode="External"/><Relationship Id="rId884" Type="http://schemas.openxmlformats.org/officeDocument/2006/relationships/hyperlink" Target="https://usafacts.org/missions/promote-welfare/12" TargetMode="External"/><Relationship Id="rId1231" Type="http://schemas.openxmlformats.org/officeDocument/2006/relationships/hyperlink" Target="https://data.worldbank.org/indicator/" TargetMode="External"/><Relationship Id="rId641" Type="http://schemas.openxmlformats.org/officeDocument/2006/relationships/hyperlink" Target="http://www.paho.org/data/index.php/en/indicators/visualization.html" TargetMode="External"/><Relationship Id="rId883" Type="http://schemas.openxmlformats.org/officeDocument/2006/relationships/hyperlink" Target="https://stats.oecd.org/index.aspx?DataSetCode=HEALTH_STAT" TargetMode="External"/><Relationship Id="rId1232" Type="http://schemas.openxmlformats.org/officeDocument/2006/relationships/hyperlink" Target="http://www.paho.org/data/index.php/en/indicators/visualization.html" TargetMode="External"/><Relationship Id="rId640" Type="http://schemas.openxmlformats.org/officeDocument/2006/relationships/hyperlink" Target="https://www.cdc.gov/nchs/healthy_people/hp2020/hp2020_indicators.htm" TargetMode="External"/><Relationship Id="rId882" Type="http://schemas.openxmlformats.org/officeDocument/2006/relationships/hyperlink" Target="https://international.commonwealthfund.org/stats/" TargetMode="External"/><Relationship Id="rId1233" Type="http://schemas.openxmlformats.org/officeDocument/2006/relationships/hyperlink" Target="http://www.paho.org/data/index.php/en/indicators/visualization.html" TargetMode="External"/><Relationship Id="rId881" Type="http://schemas.openxmlformats.org/officeDocument/2006/relationships/hyperlink" Target="https://apps.who.int/iris/bitstream/handle/10665/259951/WHO-HIS-IER-GPM-2018.1-eng.pdf;jsessionid=47FB126CD095961CAC9D15E3FBF39514?sequence=1" TargetMode="External"/><Relationship Id="rId1234" Type="http://schemas.openxmlformats.org/officeDocument/2006/relationships/hyperlink" Target="https://www.americashealthrankings.org/explore/annual" TargetMode="External"/><Relationship Id="rId1224" Type="http://schemas.openxmlformats.org/officeDocument/2006/relationships/hyperlink" Target="https://data.worldbank.org/indicator/" TargetMode="External"/><Relationship Id="rId1225" Type="http://schemas.openxmlformats.org/officeDocument/2006/relationships/hyperlink" Target="https://apps.who.int/iris/bitstream/handle/10665/259951/WHO-HIS-IER-GPM-2018.1-eng.pdf;jsessionid=47FB126CD095961CAC9D15E3FBF39514?sequence=1" TargetMode="External"/><Relationship Id="rId1226" Type="http://schemas.openxmlformats.org/officeDocument/2006/relationships/hyperlink" Target="https://apps.who.int/iris/bitstream/handle/10665/259951/WHO-HIS-IER-GPM-2018.1-eng.pdf;jsessionid=47FB126CD095961CAC9D15E3FBF39514?sequence=1" TargetMode="External"/><Relationship Id="rId1227" Type="http://schemas.openxmlformats.org/officeDocument/2006/relationships/hyperlink" Target="https://international.commonwealthfund.org/stats/" TargetMode="External"/><Relationship Id="rId1228" Type="http://schemas.openxmlformats.org/officeDocument/2006/relationships/hyperlink" Target="https://www.cms.gov/about-cms/story-page/our-16-strategic-initiatives.html" TargetMode="External"/><Relationship Id="rId1229" Type="http://schemas.openxmlformats.org/officeDocument/2006/relationships/hyperlink" Target="https://www.cms.gov/about-cms/story-page/our-16-strategic-initiatives.html" TargetMode="External"/><Relationship Id="rId635" Type="http://schemas.openxmlformats.org/officeDocument/2006/relationships/hyperlink" Target="https://stats.oecd.org/index.aspx?DataSetCode=HEALTH_STAT" TargetMode="External"/><Relationship Id="rId877" Type="http://schemas.openxmlformats.org/officeDocument/2006/relationships/hyperlink" Target="https://international.commonwealthfund.org/stats/" TargetMode="External"/><Relationship Id="rId634" Type="http://schemas.openxmlformats.org/officeDocument/2006/relationships/hyperlink" Target="https://apps.who.int/iris/bitstream/handle/10665/259951/WHO-HIS-IER-GPM-2018.1-eng.pdf;jsessionid=47FB126CD095961CAC9D15E3FBF39514?sequence=1" TargetMode="External"/><Relationship Id="rId876" Type="http://schemas.openxmlformats.org/officeDocument/2006/relationships/hyperlink" Target="https://apps.who.int/iris/bitstream/handle/10665/259951/WHO-HIS-IER-GPM-2018.1-eng.pdf;jsessionid=47FB126CD095961CAC9D15E3FBF39514?sequence=1" TargetMode="External"/><Relationship Id="rId633" Type="http://schemas.openxmlformats.org/officeDocument/2006/relationships/hyperlink" Target="https://www.americashealthrankings.org/explore/annual" TargetMode="External"/><Relationship Id="rId875" Type="http://schemas.openxmlformats.org/officeDocument/2006/relationships/hyperlink" Target="https://data.worldbank.org/indicator/" TargetMode="External"/><Relationship Id="rId632" Type="http://schemas.openxmlformats.org/officeDocument/2006/relationships/hyperlink" Target="https://usafacts.org/missions/promote-welfare/12" TargetMode="External"/><Relationship Id="rId874" Type="http://schemas.openxmlformats.org/officeDocument/2006/relationships/hyperlink" Target="https://usafacts.org/missions/promote-welfare/12" TargetMode="External"/><Relationship Id="rId639" Type="http://schemas.openxmlformats.org/officeDocument/2006/relationships/hyperlink" Target="https://apps.who.int/iris/bitstream/handle/10665/259951/WHO-HIS-IER-GPM-2018.1-eng.pdf;jsessionid=47FB126CD095961CAC9D15E3FBF39514?sequence=1" TargetMode="External"/><Relationship Id="rId638" Type="http://schemas.openxmlformats.org/officeDocument/2006/relationships/hyperlink" Target="https://www.cdc.gov/nchs/healthy_people/hp2020/hp2020_indicators.htm" TargetMode="External"/><Relationship Id="rId637" Type="http://schemas.openxmlformats.org/officeDocument/2006/relationships/hyperlink" Target="https://www.americashealthrankings.org/explore/annual" TargetMode="External"/><Relationship Id="rId879" Type="http://schemas.openxmlformats.org/officeDocument/2006/relationships/hyperlink" Target="https://usafacts.org/missions/promote-welfare/12" TargetMode="External"/><Relationship Id="rId636" Type="http://schemas.openxmlformats.org/officeDocument/2006/relationships/hyperlink" Target="https://apps.who.int/iris/bitstream/handle/10665/259951/WHO-HIS-IER-GPM-2018.1-eng.pdf;jsessionid=47FB126CD095961CAC9D15E3FBF39514?sequence=1" TargetMode="External"/><Relationship Id="rId878" Type="http://schemas.openxmlformats.org/officeDocument/2006/relationships/hyperlink" Target="https://stats.oecd.org/index.aspx?DataSetCode=HEALTH_STAT" TargetMode="External"/><Relationship Id="rId631" Type="http://schemas.openxmlformats.org/officeDocument/2006/relationships/hyperlink" Target="https://www.americashealthrankings.org/explore/annual" TargetMode="External"/><Relationship Id="rId873" Type="http://schemas.openxmlformats.org/officeDocument/2006/relationships/hyperlink" Target="https://stats.oecd.org/index.aspx?DataSetCode=HEALTH_STAT" TargetMode="External"/><Relationship Id="rId1220" Type="http://schemas.openxmlformats.org/officeDocument/2006/relationships/hyperlink" Target="https://www.cms.gov/Medicare/Quality-Initiatives-Patient-Assessment-Instruments/QualityInitiativesGenInfo/MMF/General-info-Sub-Page.html" TargetMode="External"/><Relationship Id="rId630" Type="http://schemas.openxmlformats.org/officeDocument/2006/relationships/hyperlink" Target="https://stats.oecd.org/index.aspx?DataSetCode=HEALTH_STAT" TargetMode="External"/><Relationship Id="rId872" Type="http://schemas.openxmlformats.org/officeDocument/2006/relationships/hyperlink" Target="https://apps.who.int/iris/bitstream/handle/10665/259951/WHO-HIS-IER-GPM-2018.1-eng.pdf;jsessionid=47FB126CD095961CAC9D15E3FBF39514?sequence=1" TargetMode="External"/><Relationship Id="rId1221" Type="http://schemas.openxmlformats.org/officeDocument/2006/relationships/hyperlink" Target="https://apps.who.int/iris/bitstream/handle/10665/259951/WHO-HIS-IER-GPM-2018.1-eng.pdf;jsessionid=47FB126CD095961CAC9D15E3FBF39514?sequence=1" TargetMode="External"/><Relationship Id="rId871" Type="http://schemas.openxmlformats.org/officeDocument/2006/relationships/hyperlink" Target="http://www.paho.org/data/index.php/en/indicators/visualization.html" TargetMode="External"/><Relationship Id="rId1222" Type="http://schemas.openxmlformats.org/officeDocument/2006/relationships/hyperlink" Target="https://data.worldbank.org/indicator/" TargetMode="External"/><Relationship Id="rId870" Type="http://schemas.openxmlformats.org/officeDocument/2006/relationships/hyperlink" Target="https://data.worldbank.org/indicator/" TargetMode="External"/><Relationship Id="rId1223" Type="http://schemas.openxmlformats.org/officeDocument/2006/relationships/hyperlink" Target="https://apps.who.int/iris/bitstream/handle/10665/259951/WHO-HIS-IER-GPM-2018.1-eng.pdf;jsessionid=47FB126CD095961CAC9D15E3FBF39514?sequence=1" TargetMode="External"/><Relationship Id="rId829" Type="http://schemas.openxmlformats.org/officeDocument/2006/relationships/hyperlink" Target="https://www.cms.gov/Medicare/Quality-Initiatives-Patient-Assessment-Instruments/QualityInitiativesGenInfo/MMF/General-info-Sub-Page.html" TargetMode="External"/><Relationship Id="rId828" Type="http://schemas.openxmlformats.org/officeDocument/2006/relationships/hyperlink" Target="https://international.commonwealthfund.org/stats/" TargetMode="External"/><Relationship Id="rId827" Type="http://schemas.openxmlformats.org/officeDocument/2006/relationships/hyperlink" Target="https://www.cms.gov/Medicare/Quality-Initiatives-Patient-Assessment-Instruments/QualityInitiativesGenInfo/MMF/General-info-Sub-Page.html" TargetMode="External"/><Relationship Id="rId822" Type="http://schemas.openxmlformats.org/officeDocument/2006/relationships/hyperlink" Target="https://www.americashealthrankings.org/explore/annual" TargetMode="External"/><Relationship Id="rId821" Type="http://schemas.openxmlformats.org/officeDocument/2006/relationships/hyperlink" Target="https://interactives.commonwealthfund.org/2018/state-scorecard/files/Radley_State_Scorecard_2018.pdf" TargetMode="External"/><Relationship Id="rId820" Type="http://schemas.openxmlformats.org/officeDocument/2006/relationships/hyperlink" Target="https://www.cdc.gov/nchs/healthy_people/hp2020/hp2020_indicators.htm" TargetMode="External"/><Relationship Id="rId826" Type="http://schemas.openxmlformats.org/officeDocument/2006/relationships/hyperlink" Target="https://international.commonwealthfund.org/stats/" TargetMode="External"/><Relationship Id="rId825" Type="http://schemas.openxmlformats.org/officeDocument/2006/relationships/hyperlink" Target="https://www.cms.gov/Medicare/Quality-Initiatives-Patient-Assessment-Instruments/QualityInitiativesGenInfo/MMF/General-info-Sub-Page.html" TargetMode="External"/><Relationship Id="rId824" Type="http://schemas.openxmlformats.org/officeDocument/2006/relationships/hyperlink" Target="https://www.cms.gov/Medicare/Quality-Initiatives-Patient-Assessment-Instruments/QualityInitiativesGenInfo/MMF/General-info-Sub-Page.html" TargetMode="External"/><Relationship Id="rId823" Type="http://schemas.openxmlformats.org/officeDocument/2006/relationships/hyperlink" Target="https://www.cms.gov/Medicare/Quality-Initiatives-Patient-Assessment-Instruments/QualityInitiativesGenInfo/MMF/General-info-Sub-Page.html" TargetMode="External"/><Relationship Id="rId819" Type="http://schemas.openxmlformats.org/officeDocument/2006/relationships/hyperlink" Target="https://www.americashealthrankings.org/explore/annual" TargetMode="External"/><Relationship Id="rId818" Type="http://schemas.openxmlformats.org/officeDocument/2006/relationships/hyperlink" Target="https://interactives.commonwealthfund.org/2018/state-scorecard/files/Radley_State_Scorecard_2018.pdf" TargetMode="External"/><Relationship Id="rId817" Type="http://schemas.openxmlformats.org/officeDocument/2006/relationships/hyperlink" Target="https://www.cms.gov/Medicare/Quality-Initiatives-Patient-Assessment-Instruments/QualityInitiativesGenInfo/MMF/General-info-Sub-Page.html" TargetMode="External"/><Relationship Id="rId816" Type="http://schemas.openxmlformats.org/officeDocument/2006/relationships/hyperlink" Target="https://stats.oecd.org/index.aspx?DataSetCode=HEALTH_STAT" TargetMode="External"/><Relationship Id="rId811" Type="http://schemas.openxmlformats.org/officeDocument/2006/relationships/hyperlink" Target="https://www.cms.gov/about-cms/story-page/our-16-strategic-initiatives.html" TargetMode="External"/><Relationship Id="rId810" Type="http://schemas.openxmlformats.org/officeDocument/2006/relationships/hyperlink" Target="https://www.cms.gov/about-cms/story-page/our-16-strategic-initiatives.html" TargetMode="External"/><Relationship Id="rId815" Type="http://schemas.openxmlformats.org/officeDocument/2006/relationships/hyperlink" Target="https://interactives.commonwealthfund.org/2018/state-scorecard/files/Radley_State_Scorecard_2018.pdf" TargetMode="External"/><Relationship Id="rId814" Type="http://schemas.openxmlformats.org/officeDocument/2006/relationships/hyperlink" Target="https://www.americashealthrankings.org/explore/annual" TargetMode="External"/><Relationship Id="rId813" Type="http://schemas.openxmlformats.org/officeDocument/2006/relationships/hyperlink" Target="https://stats.oecd.org/index.aspx?DataSetCode=HEALTH_STAT" TargetMode="External"/><Relationship Id="rId812" Type="http://schemas.openxmlformats.org/officeDocument/2006/relationships/hyperlink" Target="https://interactives.commonwealthfund.org/2018/state-scorecard/files/Radley_State_Scorecard_2018.pdf" TargetMode="External"/><Relationship Id="rId609" Type="http://schemas.openxmlformats.org/officeDocument/2006/relationships/hyperlink" Target="https://stats.oecd.org/index.aspx?DataSetCode=HEALTH_STAT" TargetMode="External"/><Relationship Id="rId608" Type="http://schemas.openxmlformats.org/officeDocument/2006/relationships/hyperlink" Target="https://stats.oecd.org/index.aspx?DataSetCode=HEALTH_STAT" TargetMode="External"/><Relationship Id="rId607" Type="http://schemas.openxmlformats.org/officeDocument/2006/relationships/hyperlink" Target="https://stats.oecd.org/index.aspx?DataSetCode=HEALTH_STAT" TargetMode="External"/><Relationship Id="rId849" Type="http://schemas.openxmlformats.org/officeDocument/2006/relationships/hyperlink" Target="https://interactives.commonwealthfund.org/2018/state-scorecard/files/Radley_State_Scorecard_2018.pdf" TargetMode="External"/><Relationship Id="rId602" Type="http://schemas.openxmlformats.org/officeDocument/2006/relationships/hyperlink" Target="https://stats.oecd.org/index.aspx?DataSetCode=HEALTH_STAT" TargetMode="External"/><Relationship Id="rId844" Type="http://schemas.openxmlformats.org/officeDocument/2006/relationships/hyperlink" Target="https://www.americashealthrankings.org/explore/annual" TargetMode="External"/><Relationship Id="rId601" Type="http://schemas.openxmlformats.org/officeDocument/2006/relationships/hyperlink" Target="https://www.cms.gov/Medicare/Quality-Initiatives-Patient-Assessment-Instruments/QualityInitiativesGenInfo/MMF/General-info-Sub-Page.html" TargetMode="External"/><Relationship Id="rId843" Type="http://schemas.openxmlformats.org/officeDocument/2006/relationships/hyperlink" Target="https://interactives.commonwealthfund.org/2018/state-scorecard/files/Radley_State_Scorecard_2018.pdf" TargetMode="External"/><Relationship Id="rId600" Type="http://schemas.openxmlformats.org/officeDocument/2006/relationships/hyperlink" Target="https://stats.oecd.org/index.aspx?DataSetCode=HEALTH_STAT" TargetMode="External"/><Relationship Id="rId842" Type="http://schemas.openxmlformats.org/officeDocument/2006/relationships/hyperlink" Target="https://www.americashealthrankings.org/explore/annual" TargetMode="External"/><Relationship Id="rId841" Type="http://schemas.openxmlformats.org/officeDocument/2006/relationships/hyperlink" Target="https://interactives.commonwealthfund.org/2018/state-scorecard/files/Radley_State_Scorecard_2018.pdf" TargetMode="External"/><Relationship Id="rId606" Type="http://schemas.openxmlformats.org/officeDocument/2006/relationships/hyperlink" Target="https://usafacts.org/missions/promote-welfare/12" TargetMode="External"/><Relationship Id="rId848" Type="http://schemas.openxmlformats.org/officeDocument/2006/relationships/hyperlink" Target="https://interactives.commonwealthfund.org/2018/state-scorecard/files/Radley_State_Scorecard_2018.pdf" TargetMode="External"/><Relationship Id="rId605" Type="http://schemas.openxmlformats.org/officeDocument/2006/relationships/hyperlink" Target="https://wwwn.cdc.gov/psr/NationalSummary/NationalSummary.aspx" TargetMode="External"/><Relationship Id="rId847" Type="http://schemas.openxmlformats.org/officeDocument/2006/relationships/hyperlink" Target="https://www.cms.gov/Medicare/Quality-Initiatives-Patient-Assessment-Instruments/QualityInitiativesGenInfo/MMF/General-info-Sub-Page.html" TargetMode="External"/><Relationship Id="rId604" Type="http://schemas.openxmlformats.org/officeDocument/2006/relationships/hyperlink" Target="https://stats.oecd.org/index.aspx?DataSetCode=HEALTH_STAT" TargetMode="External"/><Relationship Id="rId846" Type="http://schemas.openxmlformats.org/officeDocument/2006/relationships/hyperlink" Target="https://apps.who.int/iris/bitstream/handle/10665/259951/WHO-HIS-IER-GPM-2018.1-eng.pdf;jsessionid=47FB126CD095961CAC9D15E3FBF39514?sequence=1" TargetMode="External"/><Relationship Id="rId603" Type="http://schemas.openxmlformats.org/officeDocument/2006/relationships/hyperlink" Target="https://www.cms.gov/Medicare/Quality-Initiatives-Patient-Assessment-Instruments/QualityInitiativesGenInfo/MMF/General-info-Sub-Page.html" TargetMode="External"/><Relationship Id="rId845" Type="http://schemas.openxmlformats.org/officeDocument/2006/relationships/hyperlink" Target="https://www.americashealthrankings.org/explore/annual" TargetMode="External"/><Relationship Id="rId840" Type="http://schemas.openxmlformats.org/officeDocument/2006/relationships/hyperlink" Target="https://www.americashealthrankings.org/explore/annual" TargetMode="External"/><Relationship Id="rId839" Type="http://schemas.openxmlformats.org/officeDocument/2006/relationships/hyperlink" Target="https://interactives.commonwealthfund.org/2018/state-scorecard/files/Radley_State_Scorecard_2018.pdf" TargetMode="External"/><Relationship Id="rId838" Type="http://schemas.openxmlformats.org/officeDocument/2006/relationships/hyperlink" Target="https://www.cms.gov/about-cms/story-page/our-16-strategic-initiatives.html" TargetMode="External"/><Relationship Id="rId833" Type="http://schemas.openxmlformats.org/officeDocument/2006/relationships/hyperlink" Target="https://www.cms.gov/Medicare/Quality-Initiatives-Patient-Assessment-Instruments/QualityInitiativesGenInfo/MMF/General-info-Sub-Page.html" TargetMode="External"/><Relationship Id="rId832" Type="http://schemas.openxmlformats.org/officeDocument/2006/relationships/hyperlink" Target="https://international.commonwealthfund.org/stats/" TargetMode="External"/><Relationship Id="rId831" Type="http://schemas.openxmlformats.org/officeDocument/2006/relationships/hyperlink" Target="https://www.cms.gov/Medicare/Quality-Initiatives-Patient-Assessment-Instruments/QualityInitiativesGenInfo/MMF/General-info-Sub-Page.html" TargetMode="External"/><Relationship Id="rId830" Type="http://schemas.openxmlformats.org/officeDocument/2006/relationships/hyperlink" Target="https://international.commonwealthfund.org/stats/" TargetMode="External"/><Relationship Id="rId837" Type="http://schemas.openxmlformats.org/officeDocument/2006/relationships/hyperlink" Target="https://www.americashealthrankings.org/explore/annual" TargetMode="External"/><Relationship Id="rId836" Type="http://schemas.openxmlformats.org/officeDocument/2006/relationships/hyperlink" Target="https://interactives.commonwealthfund.org/2018/state-scorecard/files/Radley_State_Scorecard_2018.pdf" TargetMode="External"/><Relationship Id="rId835" Type="http://schemas.openxmlformats.org/officeDocument/2006/relationships/hyperlink" Target="https://www.americashealthrankings.org/explore/annual" TargetMode="External"/><Relationship Id="rId834" Type="http://schemas.openxmlformats.org/officeDocument/2006/relationships/hyperlink" Target="https://interactives.commonwealthfund.org/2018/state-scorecard/files/Radley_State_Scorecard_2018.pdf" TargetMode="External"/><Relationship Id="rId1059" Type="http://schemas.openxmlformats.org/officeDocument/2006/relationships/hyperlink" Target="https://apps.who.int/iris/bitstream/handle/10665/259951/WHO-HIS-IER-GPM-2018.1-eng.pdf;jsessionid=47FB126CD095961CAC9D15E3FBF39514?sequence=1" TargetMode="External"/><Relationship Id="rId228" Type="http://schemas.openxmlformats.org/officeDocument/2006/relationships/hyperlink" Target="https://apps.who.int/iris/bitstream/handle/10665/259951/WHO-HIS-IER-GPM-2018.1-eng.pdf;jsessionid=47FB126CD095961CAC9D15E3FBF39514?sequence=1" TargetMode="External"/><Relationship Id="rId227" Type="http://schemas.openxmlformats.org/officeDocument/2006/relationships/hyperlink" Target="https://www.cdc.gov/nchs/healthy_people/hp2020/hp2020_indicators.htm" TargetMode="External"/><Relationship Id="rId469" Type="http://schemas.openxmlformats.org/officeDocument/2006/relationships/hyperlink" Target="https://apps.who.int/iris/bitstream/handle/10665/259951/WHO-HIS-IER-GPM-2018.1-eng.pdf;jsessionid=47FB126CD095961CAC9D15E3FBF39514?sequence=1" TargetMode="External"/><Relationship Id="rId226" Type="http://schemas.openxmlformats.org/officeDocument/2006/relationships/hyperlink" Target="https://www.cms.gov/Medicare/Quality-Initiatives-Patient-Assessment-Instruments/QualityInitiativesGenInfo/MMF/General-info-Sub-Page.html" TargetMode="External"/><Relationship Id="rId468" Type="http://schemas.openxmlformats.org/officeDocument/2006/relationships/hyperlink" Target="https://apps.who.int/iris/bitstream/handle/10665/259951/WHO-HIS-IER-GPM-2018.1-eng.pdf;jsessionid=47FB126CD095961CAC9D15E3FBF39514?sequence=1" TargetMode="External"/><Relationship Id="rId225" Type="http://schemas.openxmlformats.org/officeDocument/2006/relationships/hyperlink" Target="https://data.worldbank.org/indicator/" TargetMode="External"/><Relationship Id="rId467" Type="http://schemas.openxmlformats.org/officeDocument/2006/relationships/hyperlink" Target="https://apps.who.int/iris/bitstream/handle/10665/259951/WHO-HIS-IER-GPM-2018.1-eng.pdf;jsessionid=47FB126CD095961CAC9D15E3FBF39514?sequence=1" TargetMode="External"/><Relationship Id="rId229" Type="http://schemas.openxmlformats.org/officeDocument/2006/relationships/hyperlink" Target="https://stats.oecd.org/index.aspx?DataSetCode=HEALTH_STAT" TargetMode="External"/><Relationship Id="rId1050" Type="http://schemas.openxmlformats.org/officeDocument/2006/relationships/hyperlink" Target="https://apps.who.int/iris/bitstream/handle/10665/259951/WHO-HIS-IER-GPM-2018.1-eng.pdf;jsessionid=47FB126CD095961CAC9D15E3FBF39514?sequence=1" TargetMode="External"/><Relationship Id="rId220" Type="http://schemas.openxmlformats.org/officeDocument/2006/relationships/hyperlink" Target="https://international.commonwealthfund.org/stats/" TargetMode="External"/><Relationship Id="rId462" Type="http://schemas.openxmlformats.org/officeDocument/2006/relationships/hyperlink" Target="https://www.americashealthrankings.org/explore/annual" TargetMode="External"/><Relationship Id="rId1051" Type="http://schemas.openxmlformats.org/officeDocument/2006/relationships/hyperlink" Target="https://apps.who.int/iris/bitstream/handle/10665/259951/WHO-HIS-IER-GPM-2018.1-eng.pdf;jsessionid=47FB126CD095961CAC9D15E3FBF39514?sequence=1" TargetMode="External"/><Relationship Id="rId461" Type="http://schemas.openxmlformats.org/officeDocument/2006/relationships/hyperlink" Target="https://stats.oecd.org/index.aspx?DataSetCode=HEALTH_STAT" TargetMode="External"/><Relationship Id="rId1052" Type="http://schemas.openxmlformats.org/officeDocument/2006/relationships/hyperlink" Target="https://apps.who.int/iris/bitstream/handle/10665/259951/WHO-HIS-IER-GPM-2018.1-eng.pdf;jsessionid=47FB126CD095961CAC9D15E3FBF39514?sequence=1" TargetMode="External"/><Relationship Id="rId460" Type="http://schemas.openxmlformats.org/officeDocument/2006/relationships/hyperlink" Target="https://www.americashealthrankings.org/explore/annual" TargetMode="External"/><Relationship Id="rId1053" Type="http://schemas.openxmlformats.org/officeDocument/2006/relationships/hyperlink" Target="https://apps.who.int/iris/bitstream/handle/10665/259951/WHO-HIS-IER-GPM-2018.1-eng.pdf;jsessionid=47FB126CD095961CAC9D15E3FBF39514?sequence=1" TargetMode="External"/><Relationship Id="rId1054" Type="http://schemas.openxmlformats.org/officeDocument/2006/relationships/hyperlink" Target="https://apps.who.int/iris/bitstream/handle/10665/259951/WHO-HIS-IER-GPM-2018.1-eng.pdf;jsessionid=47FB126CD095961CAC9D15E3FBF39514?sequence=1" TargetMode="External"/><Relationship Id="rId224" Type="http://schemas.openxmlformats.org/officeDocument/2006/relationships/hyperlink" Target="https://www.americashealthrankings.org/explore/annual" TargetMode="External"/><Relationship Id="rId466" Type="http://schemas.openxmlformats.org/officeDocument/2006/relationships/hyperlink" Target="https://apps.who.int/iris/bitstream/handle/10665/259951/WHO-HIS-IER-GPM-2018.1-eng.pdf;jsessionid=47FB126CD095961CAC9D15E3FBF39514?sequence=1" TargetMode="External"/><Relationship Id="rId1055" Type="http://schemas.openxmlformats.org/officeDocument/2006/relationships/hyperlink" Target="https://apps.who.int/iris/bitstream/handle/10665/259951/WHO-HIS-IER-GPM-2018.1-eng.pdf;jsessionid=47FB126CD095961CAC9D15E3FBF39514?sequence=1" TargetMode="External"/><Relationship Id="rId223" Type="http://schemas.openxmlformats.org/officeDocument/2006/relationships/hyperlink" Target="https://usafacts.org/missions/promote-welfare/12" TargetMode="External"/><Relationship Id="rId465" Type="http://schemas.openxmlformats.org/officeDocument/2006/relationships/hyperlink" Target="https://interactives.commonwealthfund.org/2018/state-scorecard/files/Radley_State_Scorecard_2018.pdf" TargetMode="External"/><Relationship Id="rId1056" Type="http://schemas.openxmlformats.org/officeDocument/2006/relationships/hyperlink" Target="https://international.commonwealthfund.org/stats/" TargetMode="External"/><Relationship Id="rId222" Type="http://schemas.openxmlformats.org/officeDocument/2006/relationships/hyperlink" Target="https://stats.oecd.org/index.aspx?DataSetCode=HEALTH_STAT" TargetMode="External"/><Relationship Id="rId464" Type="http://schemas.openxmlformats.org/officeDocument/2006/relationships/hyperlink" Target="https://www.americashealthrankings.org/explore/annual" TargetMode="External"/><Relationship Id="rId1057" Type="http://schemas.openxmlformats.org/officeDocument/2006/relationships/hyperlink" Target="https://international.commonwealthfund.org/stats/" TargetMode="External"/><Relationship Id="rId221" Type="http://schemas.openxmlformats.org/officeDocument/2006/relationships/hyperlink" Target="https://interactives.commonwealthfund.org/2018/state-scorecard/files/Radley_State_Scorecard_2018.pdf" TargetMode="External"/><Relationship Id="rId463" Type="http://schemas.openxmlformats.org/officeDocument/2006/relationships/hyperlink" Target="https://interactives.commonwealthfund.org/2018/state-scorecard/files/Radley_State_Scorecard_2018.pdf" TargetMode="External"/><Relationship Id="rId1058" Type="http://schemas.openxmlformats.org/officeDocument/2006/relationships/hyperlink" Target="https://international.commonwealthfund.org/stats/" TargetMode="External"/><Relationship Id="rId1048" Type="http://schemas.openxmlformats.org/officeDocument/2006/relationships/hyperlink" Target="https://apps.who.int/iris/bitstream/handle/10665/259951/WHO-HIS-IER-GPM-2018.1-eng.pdf;jsessionid=47FB126CD095961CAC9D15E3FBF39514?sequence=1" TargetMode="External"/><Relationship Id="rId1049" Type="http://schemas.openxmlformats.org/officeDocument/2006/relationships/hyperlink" Target="https://apps.who.int/iris/bitstream/handle/10665/259951/WHO-HIS-IER-GPM-2018.1-eng.pdf;jsessionid=47FB126CD095961CAC9D15E3FBF39514?sequence=1" TargetMode="External"/><Relationship Id="rId217" Type="http://schemas.openxmlformats.org/officeDocument/2006/relationships/hyperlink" Target="https://www.cdc.gov/nchs/healthy_people/hp2020/hp2020_indicators.htm" TargetMode="External"/><Relationship Id="rId459" Type="http://schemas.openxmlformats.org/officeDocument/2006/relationships/hyperlink" Target="https://stats.oecd.org/index.aspx?DataSetCode=HEALTH_STAT" TargetMode="External"/><Relationship Id="rId216" Type="http://schemas.openxmlformats.org/officeDocument/2006/relationships/hyperlink" Target="https://www.americashealthrankings.org/explore/annual" TargetMode="External"/><Relationship Id="rId458" Type="http://schemas.openxmlformats.org/officeDocument/2006/relationships/hyperlink" Target="https://www.americashealthrankings.org/explore/annual" TargetMode="External"/><Relationship Id="rId215" Type="http://schemas.openxmlformats.org/officeDocument/2006/relationships/hyperlink" Target="https://stats.oecd.org/index.aspx?DataSetCode=HEALTH_STAT" TargetMode="External"/><Relationship Id="rId457" Type="http://schemas.openxmlformats.org/officeDocument/2006/relationships/hyperlink" Target="https://stats.oecd.org/index.aspx?DataSetCode=HEALTH_STAT" TargetMode="External"/><Relationship Id="rId699" Type="http://schemas.openxmlformats.org/officeDocument/2006/relationships/hyperlink" Target="https://www.americashealthrankings.org/explore/annual" TargetMode="External"/><Relationship Id="rId214" Type="http://schemas.openxmlformats.org/officeDocument/2006/relationships/hyperlink" Target="https://www.americashealthrankings.org/explore/annual" TargetMode="External"/><Relationship Id="rId456" Type="http://schemas.openxmlformats.org/officeDocument/2006/relationships/hyperlink" Target="https://stats.oecd.org/index.aspx?DataSetCode=HEALTH_STAT" TargetMode="External"/><Relationship Id="rId698" Type="http://schemas.openxmlformats.org/officeDocument/2006/relationships/hyperlink" Target="https://www.cms.gov/Medicare/Quality-Initiatives-Patient-Assessment-Instruments/QualityInitiativesGenInfo/MMF/General-info-Sub-Page.html" TargetMode="External"/><Relationship Id="rId219" Type="http://schemas.openxmlformats.org/officeDocument/2006/relationships/hyperlink" Target="https://stats.oecd.org/index.aspx?DataSetCode=HEALTH_STAT" TargetMode="External"/><Relationship Id="rId218" Type="http://schemas.openxmlformats.org/officeDocument/2006/relationships/hyperlink" Target="https://usafacts.org/missions/promote-welfare/12" TargetMode="External"/><Relationship Id="rId451" Type="http://schemas.openxmlformats.org/officeDocument/2006/relationships/hyperlink" Target="https://international.commonwealthfund.org/stats/" TargetMode="External"/><Relationship Id="rId693" Type="http://schemas.openxmlformats.org/officeDocument/2006/relationships/hyperlink" Target="https://international.commonwealthfund.org/stats/" TargetMode="External"/><Relationship Id="rId1040" Type="http://schemas.openxmlformats.org/officeDocument/2006/relationships/hyperlink" Target="https://www.americashealthrankings.org/explore/annual" TargetMode="External"/><Relationship Id="rId450" Type="http://schemas.openxmlformats.org/officeDocument/2006/relationships/hyperlink" Target="https://stats.oecd.org/index.aspx?DataSetCode=HEALTH_STAT" TargetMode="External"/><Relationship Id="rId692" Type="http://schemas.openxmlformats.org/officeDocument/2006/relationships/hyperlink" Target="https://interactives.commonwealthfund.org/2018/state-scorecard/files/Radley_State_Scorecard_2018.pdf" TargetMode="External"/><Relationship Id="rId1041" Type="http://schemas.openxmlformats.org/officeDocument/2006/relationships/hyperlink" Target="https://stats.oecd.org/index.aspx?DataSetCode=HEALTH_STAT" TargetMode="External"/><Relationship Id="rId691" Type="http://schemas.openxmlformats.org/officeDocument/2006/relationships/hyperlink" Target="https://www.cms.gov/Medicare/Quality-Initiatives-Patient-Assessment-Instruments/QualityInitiativesGenInfo/MMF/General-info-Sub-Page.html" TargetMode="External"/><Relationship Id="rId1042" Type="http://schemas.openxmlformats.org/officeDocument/2006/relationships/hyperlink" Target="https://www.americashealthrankings.org/explore/annual" TargetMode="External"/><Relationship Id="rId690" Type="http://schemas.openxmlformats.org/officeDocument/2006/relationships/hyperlink" Target="https://www.americashealthrankings.org/explore/annual" TargetMode="External"/><Relationship Id="rId1043" Type="http://schemas.openxmlformats.org/officeDocument/2006/relationships/hyperlink" Target="http://www.paho.org/data/index.php/en/indicators/visualization.html" TargetMode="External"/><Relationship Id="rId213" Type="http://schemas.openxmlformats.org/officeDocument/2006/relationships/hyperlink" Target="https://stats.oecd.org/index.aspx?DataSetCode=HEALTH_STAT" TargetMode="External"/><Relationship Id="rId455" Type="http://schemas.openxmlformats.org/officeDocument/2006/relationships/hyperlink" Target="https://international.commonwealthfund.org/stats/" TargetMode="External"/><Relationship Id="rId697" Type="http://schemas.openxmlformats.org/officeDocument/2006/relationships/hyperlink" Target="https://www.cms.gov/about-cms/story-page/our-16-strategic-initiatives.html" TargetMode="External"/><Relationship Id="rId1044" Type="http://schemas.openxmlformats.org/officeDocument/2006/relationships/hyperlink" Target="http://www.paho.org/data/index.php/en/indicators/visualization.html" TargetMode="External"/><Relationship Id="rId212" Type="http://schemas.openxmlformats.org/officeDocument/2006/relationships/hyperlink" Target="https://interactives.commonwealthfund.org/2018/state-scorecard/files/Radley_State_Scorecard_2018.pdf" TargetMode="External"/><Relationship Id="rId454" Type="http://schemas.openxmlformats.org/officeDocument/2006/relationships/hyperlink" Target="https://stats.oecd.org/index.aspx?DataSetCode=HEALTH_STAT" TargetMode="External"/><Relationship Id="rId696" Type="http://schemas.openxmlformats.org/officeDocument/2006/relationships/hyperlink" Target="https://usafacts.org/missions/promote-welfare/12" TargetMode="External"/><Relationship Id="rId1045" Type="http://schemas.openxmlformats.org/officeDocument/2006/relationships/hyperlink" Target="https://apps.who.int/iris/bitstream/handle/10665/259951/WHO-HIS-IER-GPM-2018.1-eng.pdf;jsessionid=47FB126CD095961CAC9D15E3FBF39514?sequence=1" TargetMode="External"/><Relationship Id="rId211" Type="http://schemas.openxmlformats.org/officeDocument/2006/relationships/hyperlink" Target="https://www.cdc.gov/nchs/healthy_people/hp2020/hp2020_indicators.htm" TargetMode="External"/><Relationship Id="rId453" Type="http://schemas.openxmlformats.org/officeDocument/2006/relationships/hyperlink" Target="https://international.commonwealthfund.org/stats/" TargetMode="External"/><Relationship Id="rId695" Type="http://schemas.openxmlformats.org/officeDocument/2006/relationships/hyperlink" Target="https://apps.who.int/iris/bitstream/handle/10665/259951/WHO-HIS-IER-GPM-2018.1-eng.pdf;jsessionid=47FB126CD095961CAC9D15E3FBF39514?sequence=1" TargetMode="External"/><Relationship Id="rId1046" Type="http://schemas.openxmlformats.org/officeDocument/2006/relationships/hyperlink" Target="https://apps.who.int/iris/bitstream/handle/10665/259951/WHO-HIS-IER-GPM-2018.1-eng.pdf;jsessionid=47FB126CD095961CAC9D15E3FBF39514?sequence=1" TargetMode="External"/><Relationship Id="rId210" Type="http://schemas.openxmlformats.org/officeDocument/2006/relationships/hyperlink" Target="https://www.americashealthrankings.org/explore/annual" TargetMode="External"/><Relationship Id="rId452" Type="http://schemas.openxmlformats.org/officeDocument/2006/relationships/hyperlink" Target="https://stats.oecd.org/index.aspx?DataSetCode=HEALTH_STAT" TargetMode="External"/><Relationship Id="rId694" Type="http://schemas.openxmlformats.org/officeDocument/2006/relationships/hyperlink" Target="https://www.oecd-ilibrary.org/docserver/health_glance-2017-en.pdf?expires=1564008067&amp;id=id&amp;accname=guest&amp;checksum=D0ABDB5402647B576A76E200E17FD74F" TargetMode="External"/><Relationship Id="rId1047" Type="http://schemas.openxmlformats.org/officeDocument/2006/relationships/hyperlink" Target="https://apps.who.int/iris/bitstream/handle/10665/259951/WHO-HIS-IER-GPM-2018.1-eng.pdf;jsessionid=47FB126CD095961CAC9D15E3FBF39514?sequence=1" TargetMode="External"/><Relationship Id="rId491" Type="http://schemas.openxmlformats.org/officeDocument/2006/relationships/hyperlink" Target="https://interactives.commonwealthfund.org/2018/state-scorecard/files/Radley_State_Scorecard_2018.pdf" TargetMode="External"/><Relationship Id="rId490" Type="http://schemas.openxmlformats.org/officeDocument/2006/relationships/hyperlink" Target="https://apps.who.int/iris/bitstream/handle/10665/259951/WHO-HIS-IER-GPM-2018.1-eng.pdf;jsessionid=47FB126CD095961CAC9D15E3FBF39514?sequence=1" TargetMode="External"/><Relationship Id="rId249" Type="http://schemas.openxmlformats.org/officeDocument/2006/relationships/hyperlink" Target="https://www.cms.gov/Medicare/Quality-Initiatives-Patient-Assessment-Instruments/QualityInitiativesGenInfo/MMF/General-info-Sub-Page.html" TargetMode="External"/><Relationship Id="rId248" Type="http://schemas.openxmlformats.org/officeDocument/2006/relationships/hyperlink" Target="https://www.americashealthrankings.org/explore/annual" TargetMode="External"/><Relationship Id="rId247" Type="http://schemas.openxmlformats.org/officeDocument/2006/relationships/hyperlink" Target="https://stats.oecd.org/index.aspx?DataSetCode=HEALTH_STAT" TargetMode="External"/><Relationship Id="rId489" Type="http://schemas.openxmlformats.org/officeDocument/2006/relationships/hyperlink" Target="https://www.americashealthrankings.org/explore/health-of-women-and-children/measure/IMR_MCH/state/ALL" TargetMode="External"/><Relationship Id="rId1070" Type="http://schemas.openxmlformats.org/officeDocument/2006/relationships/hyperlink" Target="https://stats.oecd.org/index.aspx?DataSetCode=HEALTH_STAT" TargetMode="External"/><Relationship Id="rId1071" Type="http://schemas.openxmlformats.org/officeDocument/2006/relationships/hyperlink" Target="https://www.gapminder.org/data/" TargetMode="External"/><Relationship Id="rId1072" Type="http://schemas.openxmlformats.org/officeDocument/2006/relationships/hyperlink" Target="https://stats.oecd.org/index.aspx?DataSetCode=HEALTH_STAT" TargetMode="External"/><Relationship Id="rId242" Type="http://schemas.openxmlformats.org/officeDocument/2006/relationships/hyperlink" Target="https://usafacts.org/missions/promote-welfare/12" TargetMode="External"/><Relationship Id="rId484" Type="http://schemas.openxmlformats.org/officeDocument/2006/relationships/hyperlink" Target="https://www.oecd-ilibrary.org/docserver/health_glance-2017-en.pdf?expires=1564008067&amp;id=id&amp;accname=guest&amp;checksum=D0ABDB5402647B576A76E200E17FD74F" TargetMode="External"/><Relationship Id="rId1073" Type="http://schemas.openxmlformats.org/officeDocument/2006/relationships/hyperlink" Target="https://www.cms.gov/Medicare/Quality-Initiatives-Patient-Assessment-Instruments/QualityInitiativesGenInfo/MMF/General-info-Sub-Page.html" TargetMode="External"/><Relationship Id="rId241" Type="http://schemas.openxmlformats.org/officeDocument/2006/relationships/hyperlink" Target="https://stats.oecd.org/index.aspx?DataSetCode=HEALTH_STAT" TargetMode="External"/><Relationship Id="rId483" Type="http://schemas.openxmlformats.org/officeDocument/2006/relationships/hyperlink" Target="https://usafacts.org/missions/promote-welfare/12" TargetMode="External"/><Relationship Id="rId1074" Type="http://schemas.openxmlformats.org/officeDocument/2006/relationships/hyperlink" Target="https://wwwn.cdc.gov/psr/NationalSummary/NationalSummary.aspx" TargetMode="External"/><Relationship Id="rId240" Type="http://schemas.openxmlformats.org/officeDocument/2006/relationships/hyperlink" Target="https://apps.who.int/iris/bitstream/handle/10665/259951/WHO-HIS-IER-GPM-2018.1-eng.pdf;jsessionid=47FB126CD095961CAC9D15E3FBF39514?sequence=1" TargetMode="External"/><Relationship Id="rId482" Type="http://schemas.openxmlformats.org/officeDocument/2006/relationships/hyperlink" Target="https://www.oecd-ilibrary.org/docserver/health_glance-2017-en.pdf?expires=1564008067&amp;id=id&amp;accname=guest&amp;checksum=D0ABDB5402647B576A76E200E17FD74F" TargetMode="External"/><Relationship Id="rId1075" Type="http://schemas.openxmlformats.org/officeDocument/2006/relationships/hyperlink" Target="https://apps.who.int/iris/bitstream/handle/10665/259951/WHO-HIS-IER-GPM-2018.1-eng.pdf;jsessionid=47FB126CD095961CAC9D15E3FBF39514?sequence=1" TargetMode="External"/><Relationship Id="rId481" Type="http://schemas.openxmlformats.org/officeDocument/2006/relationships/hyperlink" Target="https://apps.who.int/iris/bitstream/handle/10665/259951/WHO-HIS-IER-GPM-2018.1-eng.pdf;jsessionid=47FB126CD095961CAC9D15E3FBF39514?sequence=1" TargetMode="External"/><Relationship Id="rId1076" Type="http://schemas.openxmlformats.org/officeDocument/2006/relationships/hyperlink" Target="https://international.commonwealthfund.org/stats/" TargetMode="External"/><Relationship Id="rId246" Type="http://schemas.openxmlformats.org/officeDocument/2006/relationships/hyperlink" Target="https://interactives.commonwealthfund.org/2018/state-scorecard/files/Radley_State_Scorecard_2018.pdf" TargetMode="External"/><Relationship Id="rId488" Type="http://schemas.openxmlformats.org/officeDocument/2006/relationships/hyperlink" Target="https://interactives.commonwealthfund.org/2018/state-scorecard/files/Radley_State_Scorecard_2018.pdf" TargetMode="External"/><Relationship Id="rId1077" Type="http://schemas.openxmlformats.org/officeDocument/2006/relationships/hyperlink" Target="https://stats.oecd.org/index.aspx?DataSetCode=HEALTH_STAT" TargetMode="External"/><Relationship Id="rId245" Type="http://schemas.openxmlformats.org/officeDocument/2006/relationships/hyperlink" Target="https://www.cdc.gov/nchs/healthy_people/hp2020/hp2020_indicators.htm" TargetMode="External"/><Relationship Id="rId487" Type="http://schemas.openxmlformats.org/officeDocument/2006/relationships/hyperlink" Target="https://interactives.commonwealthfund.org/2018/state-scorecard/files/Radley_State_Scorecard_2018.pdf" TargetMode="External"/><Relationship Id="rId1078" Type="http://schemas.openxmlformats.org/officeDocument/2006/relationships/hyperlink" Target="https://usafacts.org/missions/promote-welfare/12" TargetMode="External"/><Relationship Id="rId244" Type="http://schemas.openxmlformats.org/officeDocument/2006/relationships/hyperlink" Target="https://data.worldbank.org/indicator/" TargetMode="External"/><Relationship Id="rId486" Type="http://schemas.openxmlformats.org/officeDocument/2006/relationships/hyperlink" Target="https://interactives.commonwealthfund.org/2018/state-scorecard/files/Radley_State_Scorecard_2018.pdf" TargetMode="External"/><Relationship Id="rId1079" Type="http://schemas.openxmlformats.org/officeDocument/2006/relationships/hyperlink" Target="https://data.worldbank.org/indicator/" TargetMode="External"/><Relationship Id="rId243" Type="http://schemas.openxmlformats.org/officeDocument/2006/relationships/hyperlink" Target="https://www.americashealthrankings.org/explore/annual" TargetMode="External"/><Relationship Id="rId485" Type="http://schemas.openxmlformats.org/officeDocument/2006/relationships/hyperlink" Target="https://international.commonwealthfund.org/stats/" TargetMode="External"/><Relationship Id="rId480" Type="http://schemas.openxmlformats.org/officeDocument/2006/relationships/hyperlink" Target="https://international.commonwealthfund.org/stats/" TargetMode="External"/><Relationship Id="rId239" Type="http://schemas.openxmlformats.org/officeDocument/2006/relationships/hyperlink" Target="https://wwwn.cdc.gov/psr/NationalSummary/NationalSummary.aspx" TargetMode="External"/><Relationship Id="rId238" Type="http://schemas.openxmlformats.org/officeDocument/2006/relationships/hyperlink" Target="https://data.worldbank.org/indicator/" TargetMode="External"/><Relationship Id="rId237" Type="http://schemas.openxmlformats.org/officeDocument/2006/relationships/hyperlink" Target="https://www.gapminder.org/data/" TargetMode="External"/><Relationship Id="rId479" Type="http://schemas.openxmlformats.org/officeDocument/2006/relationships/hyperlink" Target="https://international.commonwealthfund.org/stats/" TargetMode="External"/><Relationship Id="rId236" Type="http://schemas.openxmlformats.org/officeDocument/2006/relationships/hyperlink" Target="https://usafacts.org/missions/promote-welfare/12" TargetMode="External"/><Relationship Id="rId478" Type="http://schemas.openxmlformats.org/officeDocument/2006/relationships/hyperlink" Target="https://international.commonwealthfund.org/stats/" TargetMode="External"/><Relationship Id="rId1060" Type="http://schemas.openxmlformats.org/officeDocument/2006/relationships/hyperlink" Target="https://stats.oecd.org/index.aspx?DataSetCode=HEALTH_STAT" TargetMode="External"/><Relationship Id="rId1061" Type="http://schemas.openxmlformats.org/officeDocument/2006/relationships/hyperlink" Target="https://stats.oecd.org/index.aspx?DataSetCode=HEALTH_STAT" TargetMode="External"/><Relationship Id="rId231" Type="http://schemas.openxmlformats.org/officeDocument/2006/relationships/hyperlink" Target="https://www.gapminder.org/data/" TargetMode="External"/><Relationship Id="rId473" Type="http://schemas.openxmlformats.org/officeDocument/2006/relationships/hyperlink" Target="https://apps.who.int/iris/bitstream/handle/10665/259951/WHO-HIS-IER-GPM-2018.1-eng.pdf;jsessionid=47FB126CD095961CAC9D15E3FBF39514?sequence=1" TargetMode="External"/><Relationship Id="rId1062" Type="http://schemas.openxmlformats.org/officeDocument/2006/relationships/hyperlink" Target="https://stats.oecd.org/index.aspx?DataSetCode=HEALTH_STAT" TargetMode="External"/><Relationship Id="rId230" Type="http://schemas.openxmlformats.org/officeDocument/2006/relationships/hyperlink" Target="https://usafacts.org/missions/promote-welfare/12" TargetMode="External"/><Relationship Id="rId472" Type="http://schemas.openxmlformats.org/officeDocument/2006/relationships/hyperlink" Target="https://apps.who.int/iris/bitstream/handle/10665/259951/WHO-HIS-IER-GPM-2018.1-eng.pdf;jsessionid=47FB126CD095961CAC9D15E3FBF39514?sequence=1" TargetMode="External"/><Relationship Id="rId1063" Type="http://schemas.openxmlformats.org/officeDocument/2006/relationships/hyperlink" Target="https://www.oecd-ilibrary.org/docserver/health_glance-2017-en.pdf?expires=1564008067&amp;id=id&amp;accname=guest&amp;checksum=D0ABDB5402647B576A76E200E17FD74F" TargetMode="External"/><Relationship Id="rId471" Type="http://schemas.openxmlformats.org/officeDocument/2006/relationships/hyperlink" Target="https://apps.who.int/iris/bitstream/handle/10665/259951/WHO-HIS-IER-GPM-2018.1-eng.pdf;jsessionid=47FB126CD095961CAC9D15E3FBF39514?sequence=1" TargetMode="External"/><Relationship Id="rId1064" Type="http://schemas.openxmlformats.org/officeDocument/2006/relationships/hyperlink" Target="https://usafacts.org/missions/promote-welfare/12" TargetMode="External"/><Relationship Id="rId470" Type="http://schemas.openxmlformats.org/officeDocument/2006/relationships/hyperlink" Target="https://apps.who.int/iris/bitstream/handle/10665/259951/WHO-HIS-IER-GPM-2018.1-eng.pdf;jsessionid=47FB126CD095961CAC9D15E3FBF39514?sequence=1" TargetMode="External"/><Relationship Id="rId1065" Type="http://schemas.openxmlformats.org/officeDocument/2006/relationships/hyperlink" Target="https://stats.oecd.org/index.aspx?DataSetCode=HEALTH_STAT" TargetMode="External"/><Relationship Id="rId235" Type="http://schemas.openxmlformats.org/officeDocument/2006/relationships/hyperlink" Target="https://stats.oecd.org/index.aspx?DataSetCode=HEALTH_STAT" TargetMode="External"/><Relationship Id="rId477" Type="http://schemas.openxmlformats.org/officeDocument/2006/relationships/hyperlink" Target="https://www.cms.gov/Medicare/Quality-Initiatives-Patient-Assessment-Instruments/QualityInitiativesGenInfo/MMF/General-info-Sub-Page.html" TargetMode="External"/><Relationship Id="rId1066" Type="http://schemas.openxmlformats.org/officeDocument/2006/relationships/hyperlink" Target="https://international.commonwealthfund.org/stats/" TargetMode="External"/><Relationship Id="rId234" Type="http://schemas.openxmlformats.org/officeDocument/2006/relationships/hyperlink" Target="https://apps.who.int/iris/bitstream/handle/10665/259951/WHO-HIS-IER-GPM-2018.1-eng.pdf;jsessionid=47FB126CD095961CAC9D15E3FBF39514?sequence=1" TargetMode="External"/><Relationship Id="rId476" Type="http://schemas.openxmlformats.org/officeDocument/2006/relationships/hyperlink" Target="https://apps.who.int/iris/bitstream/handle/10665/259951/WHO-HIS-IER-GPM-2018.1-eng.pdf;jsessionid=47FB126CD095961CAC9D15E3FBF39514?sequence=1" TargetMode="External"/><Relationship Id="rId1067" Type="http://schemas.openxmlformats.org/officeDocument/2006/relationships/hyperlink" Target="https://www.cms.gov/Medicare/Quality-Initiatives-Patient-Assessment-Instruments/QualityInitiativesGenInfo/MMF/General-info-Sub-Page.html" TargetMode="External"/><Relationship Id="rId233" Type="http://schemas.openxmlformats.org/officeDocument/2006/relationships/hyperlink" Target="https://wwwn.cdc.gov/psr/NationalSummary/NationalSummary.aspx" TargetMode="External"/><Relationship Id="rId475" Type="http://schemas.openxmlformats.org/officeDocument/2006/relationships/hyperlink" Target="https://apps.who.int/iris/bitstream/handle/10665/259951/WHO-HIS-IER-GPM-2018.1-eng.pdf;jsessionid=47FB126CD095961CAC9D15E3FBF39514?sequence=1" TargetMode="External"/><Relationship Id="rId1068" Type="http://schemas.openxmlformats.org/officeDocument/2006/relationships/hyperlink" Target="https://apps.who.int/iris/bitstream/handle/10665/259951/WHO-HIS-IER-GPM-2018.1-eng.pdf;jsessionid=47FB126CD095961CAC9D15E3FBF39514?sequence=1" TargetMode="External"/><Relationship Id="rId232" Type="http://schemas.openxmlformats.org/officeDocument/2006/relationships/hyperlink" Target="https://data.worldbank.org/indicator/" TargetMode="External"/><Relationship Id="rId474" Type="http://schemas.openxmlformats.org/officeDocument/2006/relationships/hyperlink" Target="https://apps.who.int/iris/bitstream/handle/10665/259951/WHO-HIS-IER-GPM-2018.1-eng.pdf;jsessionid=47FB126CD095961CAC9D15E3FBF39514?sequence=1" TargetMode="External"/><Relationship Id="rId1069" Type="http://schemas.openxmlformats.org/officeDocument/2006/relationships/hyperlink" Target="https://international.commonwealthfund.org/stats/" TargetMode="External"/><Relationship Id="rId1015" Type="http://schemas.openxmlformats.org/officeDocument/2006/relationships/hyperlink" Target="https://data.worldbank.org/indicator/" TargetMode="External"/><Relationship Id="rId1257" Type="http://schemas.openxmlformats.org/officeDocument/2006/relationships/hyperlink" Target="https://stats.oecd.org/index.aspx?DataSetCode=HEALTH_STAT" TargetMode="External"/><Relationship Id="rId1016" Type="http://schemas.openxmlformats.org/officeDocument/2006/relationships/hyperlink" Target="https://apps.who.int/iris/bitstream/handle/10665/259951/WHO-HIS-IER-GPM-2018.1-eng.pdf;jsessionid=47FB126CD095961CAC9D15E3FBF39514?sequence=1" TargetMode="External"/><Relationship Id="rId1258" Type="http://schemas.openxmlformats.org/officeDocument/2006/relationships/hyperlink" Target="https://www.cms.gov/about-cms/story-page/our-16-strategic-initiatives.html" TargetMode="External"/><Relationship Id="rId1017" Type="http://schemas.openxmlformats.org/officeDocument/2006/relationships/hyperlink" Target="https://www.americashealthrankings.org/explore/annual" TargetMode="External"/><Relationship Id="rId1259" Type="http://schemas.openxmlformats.org/officeDocument/2006/relationships/hyperlink" Target="https://stats.oecd.org/index.aspx?DataSetCode=HEALTH_STAT" TargetMode="External"/><Relationship Id="rId1018" Type="http://schemas.openxmlformats.org/officeDocument/2006/relationships/hyperlink" Target="https://interactives.commonwealthfund.org/2018/state-scorecard/files/Radley_State_Scorecard_2018.pdf" TargetMode="External"/><Relationship Id="rId1019" Type="http://schemas.openxmlformats.org/officeDocument/2006/relationships/hyperlink" Target="https://stats.oecd.org/index.aspx?DataSetCode=HEALTH_STAT" TargetMode="External"/><Relationship Id="rId426" Type="http://schemas.openxmlformats.org/officeDocument/2006/relationships/hyperlink" Target="https://international.commonwealthfund.org/stats/" TargetMode="External"/><Relationship Id="rId668" Type="http://schemas.openxmlformats.org/officeDocument/2006/relationships/hyperlink" Target="http://www.paho.org/data/index.php/en/indicators/visualization.html" TargetMode="External"/><Relationship Id="rId425" Type="http://schemas.openxmlformats.org/officeDocument/2006/relationships/hyperlink" Target="https://usafacts.org/missions/promote-welfare/12" TargetMode="External"/><Relationship Id="rId667" Type="http://schemas.openxmlformats.org/officeDocument/2006/relationships/hyperlink" Target="http://www.paho.org/data/index.php/en/indicators/visualization.html" TargetMode="External"/><Relationship Id="rId424" Type="http://schemas.openxmlformats.org/officeDocument/2006/relationships/hyperlink" Target="https://stats.oecd.org/index.aspx?DataSetCode=HEALTH_STAT" TargetMode="External"/><Relationship Id="rId666" Type="http://schemas.openxmlformats.org/officeDocument/2006/relationships/hyperlink" Target="https://stats.oecd.org/index.aspx?DataSetCode=HEALTH_STAT" TargetMode="External"/><Relationship Id="rId423" Type="http://schemas.openxmlformats.org/officeDocument/2006/relationships/hyperlink" Target="https://international.commonwealthfund.org/stats/" TargetMode="External"/><Relationship Id="rId665" Type="http://schemas.openxmlformats.org/officeDocument/2006/relationships/hyperlink" Target="https://interactives.commonwealthfund.org/2018/state-scorecard/files/Radley_State_Scorecard_2018.pdf" TargetMode="External"/><Relationship Id="rId429" Type="http://schemas.openxmlformats.org/officeDocument/2006/relationships/hyperlink" Target="https://www.oecd-ilibrary.org/social-issues-migration-health/health-at-a-glance-2017_health_glance-2017-en" TargetMode="External"/><Relationship Id="rId428" Type="http://schemas.openxmlformats.org/officeDocument/2006/relationships/hyperlink" Target="https://www.gapminder.org/data/" TargetMode="External"/><Relationship Id="rId427" Type="http://schemas.openxmlformats.org/officeDocument/2006/relationships/hyperlink" Target="https://www.oecd-ilibrary.org/social-issues-migration-health/health-at-a-glance-2017_health_glance-2017-en" TargetMode="External"/><Relationship Id="rId669" Type="http://schemas.openxmlformats.org/officeDocument/2006/relationships/hyperlink" Target="http://www.paho.org/data/index.php/en/indicators/visualization.html" TargetMode="External"/><Relationship Id="rId660" Type="http://schemas.openxmlformats.org/officeDocument/2006/relationships/hyperlink" Target="https://www.americashealthrankings.org/explore/annual" TargetMode="External"/><Relationship Id="rId1250" Type="http://schemas.openxmlformats.org/officeDocument/2006/relationships/hyperlink" Target="https://interactives.commonwealthfund.org/2018/state-scorecard/files/Radley_State_Scorecard_2018.pdf" TargetMode="External"/><Relationship Id="rId1251" Type="http://schemas.openxmlformats.org/officeDocument/2006/relationships/hyperlink" Target="https://www.cdc.gov/nchs/healthy_people/hp2020/hp2020_indicators.htm" TargetMode="External"/><Relationship Id="rId1010" Type="http://schemas.openxmlformats.org/officeDocument/2006/relationships/hyperlink" Target="https://international.commonwealthfund.org/stats/" TargetMode="External"/><Relationship Id="rId1252" Type="http://schemas.openxmlformats.org/officeDocument/2006/relationships/hyperlink" Target="https://apps.who.int/iris/bitstream/handle/10665/259951/WHO-HIS-IER-GPM-2018.1-eng.pdf;jsessionid=47FB126CD095961CAC9D15E3FBF39514?sequence=1" TargetMode="External"/><Relationship Id="rId422" Type="http://schemas.openxmlformats.org/officeDocument/2006/relationships/hyperlink" Target="https://apps.who.int/iris/bitstream/handle/10665/259951/WHO-HIS-IER-GPM-2018.1-eng.pdf;jsessionid=47FB126CD095961CAC9D15E3FBF39514?sequence=1" TargetMode="External"/><Relationship Id="rId664" Type="http://schemas.openxmlformats.org/officeDocument/2006/relationships/hyperlink" Target="https://www.americashealthrankings.org/explore/annual" TargetMode="External"/><Relationship Id="rId1011" Type="http://schemas.openxmlformats.org/officeDocument/2006/relationships/hyperlink" Target="https://stats.oecd.org/index.aspx?DataSetCode=HEALTH_STAT" TargetMode="External"/><Relationship Id="rId1253" Type="http://schemas.openxmlformats.org/officeDocument/2006/relationships/hyperlink" Target="https://apps.who.int/iris/bitstream/handle/10665/259951/WHO-HIS-IER-GPM-2018.1-eng.pdf;jsessionid=47FB126CD095961CAC9D15E3FBF39514?sequence=1" TargetMode="External"/><Relationship Id="rId421" Type="http://schemas.openxmlformats.org/officeDocument/2006/relationships/hyperlink" Target="https://www.cdc.gov/nchs/healthy_people/hp2020/hp2020_indicators.htm" TargetMode="External"/><Relationship Id="rId663" Type="http://schemas.openxmlformats.org/officeDocument/2006/relationships/hyperlink" Target="https://interactives.commonwealthfund.org/2018/state-scorecard/files/Radley_State_Scorecard_2018.pdf" TargetMode="External"/><Relationship Id="rId1012" Type="http://schemas.openxmlformats.org/officeDocument/2006/relationships/hyperlink" Target="https://usafacts.org/missions/promote-welfare/12" TargetMode="External"/><Relationship Id="rId1254" Type="http://schemas.openxmlformats.org/officeDocument/2006/relationships/hyperlink" Target="https://international.commonwealthfund.org/stats/" TargetMode="External"/><Relationship Id="rId420" Type="http://schemas.openxmlformats.org/officeDocument/2006/relationships/hyperlink" Target="https://data.worldbank.org/indicator/" TargetMode="External"/><Relationship Id="rId662" Type="http://schemas.openxmlformats.org/officeDocument/2006/relationships/hyperlink" Target="https://www.americashealthrankings.org/explore/annual" TargetMode="External"/><Relationship Id="rId1013" Type="http://schemas.openxmlformats.org/officeDocument/2006/relationships/hyperlink" Target="https://www.cms.gov/Medicare/Quality-Initiatives-Patient-Assessment-Instruments/QualityInitiativesGenInfo/MMF/General-info-Sub-Page.html" TargetMode="External"/><Relationship Id="rId1255" Type="http://schemas.openxmlformats.org/officeDocument/2006/relationships/hyperlink" Target="https://usafacts.org/missions/promote-welfare/12" TargetMode="External"/><Relationship Id="rId661" Type="http://schemas.openxmlformats.org/officeDocument/2006/relationships/hyperlink" Target="https://apps.who.int/iris/bitstream/handle/10665/259951/WHO-HIS-IER-GPM-2018.1-eng.pdf;jsessionid=47FB126CD095961CAC9D15E3FBF39514?sequence=1" TargetMode="External"/><Relationship Id="rId1014" Type="http://schemas.openxmlformats.org/officeDocument/2006/relationships/hyperlink" Target="https://apps.who.int/iris/bitstream/handle/10665/259951/WHO-HIS-IER-GPM-2018.1-eng.pdf;jsessionid=47FB126CD095961CAC9D15E3FBF39514?sequence=1" TargetMode="External"/><Relationship Id="rId1256" Type="http://schemas.openxmlformats.org/officeDocument/2006/relationships/hyperlink" Target="https://stats.oecd.org/index.aspx?DataSetCode=HEALTH_STAT" TargetMode="External"/><Relationship Id="rId1004" Type="http://schemas.openxmlformats.org/officeDocument/2006/relationships/hyperlink" Target="https://apps.who.int/iris/bitstream/handle/10665/259951/WHO-HIS-IER-GPM-2018.1-eng.pdf;jsessionid=47FB126CD095961CAC9D15E3FBF39514?sequence=1" TargetMode="External"/><Relationship Id="rId1246" Type="http://schemas.openxmlformats.org/officeDocument/2006/relationships/hyperlink" Target="https://apps.who.int/iris/bitstream/handle/10665/259951/WHO-HIS-IER-GPM-2018.1-eng.pdf;jsessionid=47FB126CD095961CAC9D15E3FBF39514?sequence=1" TargetMode="External"/><Relationship Id="rId1005" Type="http://schemas.openxmlformats.org/officeDocument/2006/relationships/hyperlink" Target="https://www.gapminder.org/data/" TargetMode="External"/><Relationship Id="rId1247" Type="http://schemas.openxmlformats.org/officeDocument/2006/relationships/hyperlink" Target="https://apps.who.int/iris/bitstream/handle/10665/259951/WHO-HIS-IER-GPM-2018.1-eng.pdf;jsessionid=47FB126CD095961CAC9D15E3FBF39514?sequence=1" TargetMode="External"/><Relationship Id="rId1006" Type="http://schemas.openxmlformats.org/officeDocument/2006/relationships/hyperlink" Target="https://data.worldbank.org/indicator/" TargetMode="External"/><Relationship Id="rId1248" Type="http://schemas.openxmlformats.org/officeDocument/2006/relationships/hyperlink" Target="https://apps.who.int/iris/bitstream/handle/10665/259951/WHO-HIS-IER-GPM-2018.1-eng.pdf;jsessionid=47FB126CD095961CAC9D15E3FBF39514?sequence=1" TargetMode="External"/><Relationship Id="rId1007" Type="http://schemas.openxmlformats.org/officeDocument/2006/relationships/hyperlink" Target="https://apps.who.int/iris/bitstream/handle/10665/259951/WHO-HIS-IER-GPM-2018.1-eng.pdf;jsessionid=47FB126CD095961CAC9D15E3FBF39514?sequence=1" TargetMode="External"/><Relationship Id="rId1249" Type="http://schemas.openxmlformats.org/officeDocument/2006/relationships/hyperlink" Target="https://www.americashealthrankings.org/explore/annual" TargetMode="External"/><Relationship Id="rId1008" Type="http://schemas.openxmlformats.org/officeDocument/2006/relationships/hyperlink" Target="https://apps.who.int/iris/bitstream/handle/10665/259951/WHO-HIS-IER-GPM-2018.1-eng.pdf;jsessionid=47FB126CD095961CAC9D15E3FBF39514?sequence=1" TargetMode="External"/><Relationship Id="rId1009" Type="http://schemas.openxmlformats.org/officeDocument/2006/relationships/hyperlink" Target="https://apps.who.int/iris/bitstream/handle/10665/259951/WHO-HIS-IER-GPM-2018.1-eng.pdf;jsessionid=47FB126CD095961CAC9D15E3FBF39514?sequence=1" TargetMode="External"/><Relationship Id="rId415" Type="http://schemas.openxmlformats.org/officeDocument/2006/relationships/hyperlink" Target="https://www.oecd-ilibrary.org/social-issues-migration-health/health-at-a-glance-2017_health_glance-2017-en" TargetMode="External"/><Relationship Id="rId657" Type="http://schemas.openxmlformats.org/officeDocument/2006/relationships/hyperlink" Target="https://interactives.commonwealthfund.org/2018/state-scorecard/files/Radley_State_Scorecard_2018.pdf" TargetMode="External"/><Relationship Id="rId899" Type="http://schemas.openxmlformats.org/officeDocument/2006/relationships/hyperlink" Target="https://www.oecd-ilibrary.org/social-issues-migration-health/health-at-a-glance-2017_health_glance-2017-en" TargetMode="External"/><Relationship Id="rId414" Type="http://schemas.openxmlformats.org/officeDocument/2006/relationships/hyperlink" Target="https://international.commonwealthfund.org/stats/" TargetMode="External"/><Relationship Id="rId656" Type="http://schemas.openxmlformats.org/officeDocument/2006/relationships/hyperlink" Target="https://apps.who.int/iris/bitstream/handle/10665/259951/WHO-HIS-IER-GPM-2018.1-eng.pdf;jsessionid=47FB126CD095961CAC9D15E3FBF39514?sequence=1" TargetMode="External"/><Relationship Id="rId898" Type="http://schemas.openxmlformats.org/officeDocument/2006/relationships/hyperlink" Target="https://www.gapminder.org/data/" TargetMode="External"/><Relationship Id="rId413" Type="http://schemas.openxmlformats.org/officeDocument/2006/relationships/hyperlink" Target="https://data.worldbank.org/indicator/" TargetMode="External"/><Relationship Id="rId655" Type="http://schemas.openxmlformats.org/officeDocument/2006/relationships/hyperlink" Target="https://www.cms.gov/Medicare/Quality-Initiatives-Patient-Assessment-Instruments/QualityInitiativesGenInfo/MMF/General-info-Sub-Page.html" TargetMode="External"/><Relationship Id="rId897" Type="http://schemas.openxmlformats.org/officeDocument/2006/relationships/hyperlink" Target="https://usafacts.org/missions/promote-welfare/12" TargetMode="External"/><Relationship Id="rId412" Type="http://schemas.openxmlformats.org/officeDocument/2006/relationships/hyperlink" Target="https://interactives.commonwealthfund.org/2018/state-scorecard/files/Radley_State_Scorecard_2018.pdf" TargetMode="External"/><Relationship Id="rId654" Type="http://schemas.openxmlformats.org/officeDocument/2006/relationships/hyperlink" Target="https://stats.oecd.org/index.aspx?DataSetCode=HEALTH_STAT" TargetMode="External"/><Relationship Id="rId896" Type="http://schemas.openxmlformats.org/officeDocument/2006/relationships/hyperlink" Target="https://www.oecd-ilibrary.org/social-issues-migration-health/health-at-a-glance-2017_health_glance-2017-en" TargetMode="External"/><Relationship Id="rId419" Type="http://schemas.openxmlformats.org/officeDocument/2006/relationships/hyperlink" Target="https://apps.who.int/iris/bitstream/handle/10665/259951/WHO-HIS-IER-GPM-2018.1-eng.pdf;jsessionid=47FB126CD095961CAC9D15E3FBF39514?sequence=1" TargetMode="External"/><Relationship Id="rId418" Type="http://schemas.openxmlformats.org/officeDocument/2006/relationships/hyperlink" Target="https://www.oecd-ilibrary.org/social-issues-migration-health/health-at-a-glance-2017_health_glance-2017-en" TargetMode="External"/><Relationship Id="rId417" Type="http://schemas.openxmlformats.org/officeDocument/2006/relationships/hyperlink" Target="https://www.gapminder.org/data/" TargetMode="External"/><Relationship Id="rId659" Type="http://schemas.openxmlformats.org/officeDocument/2006/relationships/hyperlink" Target="https://apps.who.int/iris/bitstream/handle/10665/259951/WHO-HIS-IER-GPM-2018.1-eng.pdf;jsessionid=47FB126CD095961CAC9D15E3FBF39514?sequence=1" TargetMode="External"/><Relationship Id="rId416" Type="http://schemas.openxmlformats.org/officeDocument/2006/relationships/hyperlink" Target="https://usafacts.org/missions/promote-welfare/12" TargetMode="External"/><Relationship Id="rId658" Type="http://schemas.openxmlformats.org/officeDocument/2006/relationships/hyperlink" Target="https://usafacts.org/missions/promote-welfare/12" TargetMode="External"/><Relationship Id="rId891" Type="http://schemas.openxmlformats.org/officeDocument/2006/relationships/hyperlink" Target="https://data.worldbank.org/indicator/" TargetMode="External"/><Relationship Id="rId890" Type="http://schemas.openxmlformats.org/officeDocument/2006/relationships/hyperlink" Target="https://interactives.commonwealthfund.org/2018/state-scorecard/files/Radley_State_Scorecard_2018.pdf" TargetMode="External"/><Relationship Id="rId1240" Type="http://schemas.openxmlformats.org/officeDocument/2006/relationships/hyperlink" Target="https://stats.oecd.org/index.aspx?DataSetCode=HEALTH_STAT" TargetMode="External"/><Relationship Id="rId1241" Type="http://schemas.openxmlformats.org/officeDocument/2006/relationships/hyperlink" Target="https://stats.oecd.org/index.aspx?DataSetCode=HEALTH_STAT" TargetMode="External"/><Relationship Id="rId411" Type="http://schemas.openxmlformats.org/officeDocument/2006/relationships/hyperlink" Target="https://apps.who.int/iris/bitstream/handle/10665/259951/WHO-HIS-IER-GPM-2018.1-eng.pdf;jsessionid=47FB126CD095961CAC9D15E3FBF39514?sequence=1" TargetMode="External"/><Relationship Id="rId653" Type="http://schemas.openxmlformats.org/officeDocument/2006/relationships/hyperlink" Target="https://apps.who.int/iris/bitstream/handle/10665/259951/WHO-HIS-IER-GPM-2018.1-eng.pdf;jsessionid=47FB126CD095961CAC9D15E3FBF39514?sequence=1" TargetMode="External"/><Relationship Id="rId895" Type="http://schemas.openxmlformats.org/officeDocument/2006/relationships/hyperlink" Target="https://international.commonwealthfund.org/stats/" TargetMode="External"/><Relationship Id="rId1000" Type="http://schemas.openxmlformats.org/officeDocument/2006/relationships/hyperlink" Target="https://www.cdc.gov/nchs/healthy_people/hp2020/hp2020_indicators.htm" TargetMode="External"/><Relationship Id="rId1242" Type="http://schemas.openxmlformats.org/officeDocument/2006/relationships/hyperlink" Target="https://stats.oecd.org/index.aspx?DataSetCode=HEALTH_STAT" TargetMode="External"/><Relationship Id="rId410" Type="http://schemas.openxmlformats.org/officeDocument/2006/relationships/hyperlink" Target="https://data.worldbank.org/indicator/" TargetMode="External"/><Relationship Id="rId652" Type="http://schemas.openxmlformats.org/officeDocument/2006/relationships/hyperlink" Target="https://stats.oecd.org/index.aspx?DataSetCode=HEALTH_STAT" TargetMode="External"/><Relationship Id="rId894" Type="http://schemas.openxmlformats.org/officeDocument/2006/relationships/hyperlink" Target="https://data.worldbank.org/indicator/" TargetMode="External"/><Relationship Id="rId1001" Type="http://schemas.openxmlformats.org/officeDocument/2006/relationships/hyperlink" Target="https://apps.who.int/iris/bitstream/handle/10665/259951/WHO-HIS-IER-GPM-2018.1-eng.pdf;jsessionid=47FB126CD095961CAC9D15E3FBF39514?sequence=1" TargetMode="External"/><Relationship Id="rId1243" Type="http://schemas.openxmlformats.org/officeDocument/2006/relationships/hyperlink" Target="https://stats.oecd.org/index.aspx?DataSetCode=HEALTH_STAT" TargetMode="External"/><Relationship Id="rId651" Type="http://schemas.openxmlformats.org/officeDocument/2006/relationships/hyperlink" Target="https://www.americashealthrankings.org/explore/annual" TargetMode="External"/><Relationship Id="rId893" Type="http://schemas.openxmlformats.org/officeDocument/2006/relationships/hyperlink" Target="https://interactives.commonwealthfund.org/2018/state-scorecard/files/Radley_State_Scorecard_2018.pdf" TargetMode="External"/><Relationship Id="rId1002" Type="http://schemas.openxmlformats.org/officeDocument/2006/relationships/hyperlink" Target="https://data.worldbank.org/indicator/" TargetMode="External"/><Relationship Id="rId1244" Type="http://schemas.openxmlformats.org/officeDocument/2006/relationships/hyperlink" Target="https://usafacts.org/missions/promote-welfare/12" TargetMode="External"/><Relationship Id="rId650" Type="http://schemas.openxmlformats.org/officeDocument/2006/relationships/hyperlink" Target="https://www.americashealthrankings.org/explore/annual" TargetMode="External"/><Relationship Id="rId892" Type="http://schemas.openxmlformats.org/officeDocument/2006/relationships/hyperlink" Target="https://apps.who.int/iris/bitstream/handle/10665/259951/WHO-HIS-IER-GPM-2018.1-eng.pdf;jsessionid=47FB126CD095961CAC9D15E3FBF39514?sequence=1" TargetMode="External"/><Relationship Id="rId1003" Type="http://schemas.openxmlformats.org/officeDocument/2006/relationships/hyperlink" Target="https://www.cdc.gov/nchs/healthy_people/hp2020/hp2020_indicators.htm" TargetMode="External"/><Relationship Id="rId1245" Type="http://schemas.openxmlformats.org/officeDocument/2006/relationships/hyperlink" Target="https://apps.who.int/iris/bitstream/handle/10665/259951/WHO-HIS-IER-GPM-2018.1-eng.pdf;jsessionid=47FB126CD095961CAC9D15E3FBF39514?sequence=1" TargetMode="External"/><Relationship Id="rId1037" Type="http://schemas.openxmlformats.org/officeDocument/2006/relationships/hyperlink" Target="https://stats.oecd.org/index.aspx?DataSetCode=HEALTH_STAT" TargetMode="External"/><Relationship Id="rId1038" Type="http://schemas.openxmlformats.org/officeDocument/2006/relationships/hyperlink" Target="https://www.americashealthrankings.org/explore/annual" TargetMode="External"/><Relationship Id="rId1039" Type="http://schemas.openxmlformats.org/officeDocument/2006/relationships/hyperlink" Target="https://stats.oecd.org/index.aspx?DataSetCode=HEALTH_STAT" TargetMode="External"/><Relationship Id="rId206" Type="http://schemas.openxmlformats.org/officeDocument/2006/relationships/hyperlink" Target="https://usafacts.org/missions/promote-welfare/12" TargetMode="External"/><Relationship Id="rId448" Type="http://schemas.openxmlformats.org/officeDocument/2006/relationships/hyperlink" Target="https://stats.oecd.org/index.aspx?DataSetCode=HEALTH_STAT" TargetMode="External"/><Relationship Id="rId205" Type="http://schemas.openxmlformats.org/officeDocument/2006/relationships/hyperlink" Target="https://www.americashealthrankings.org/explore/annual" TargetMode="External"/><Relationship Id="rId447" Type="http://schemas.openxmlformats.org/officeDocument/2006/relationships/hyperlink" Target="https://international.commonwealthfund.org/stats/" TargetMode="External"/><Relationship Id="rId689" Type="http://schemas.openxmlformats.org/officeDocument/2006/relationships/hyperlink" Target="https://www.americashealthrankings.org/explore/annual" TargetMode="External"/><Relationship Id="rId204" Type="http://schemas.openxmlformats.org/officeDocument/2006/relationships/hyperlink" Target="https://usafacts.org/missions/promote-welfare/12" TargetMode="External"/><Relationship Id="rId446" Type="http://schemas.openxmlformats.org/officeDocument/2006/relationships/hyperlink" Target="https://apps.who.int/iris/bitstream/handle/10665/259951/WHO-HIS-IER-GPM-2018.1-eng.pdf;jsessionid=47FB126CD095961CAC9D15E3FBF39514?sequence=1" TargetMode="External"/><Relationship Id="rId688" Type="http://schemas.openxmlformats.org/officeDocument/2006/relationships/hyperlink" Target="https://www.cdc.gov/nchs/healthy_people/hp2020/hp2020_indicators.htm" TargetMode="External"/><Relationship Id="rId203" Type="http://schemas.openxmlformats.org/officeDocument/2006/relationships/hyperlink" Target="https://interactives.commonwealthfund.org/2018/state-scorecard/files/Radley_State_Scorecard_2018.pdf" TargetMode="External"/><Relationship Id="rId445" Type="http://schemas.openxmlformats.org/officeDocument/2006/relationships/hyperlink" Target="https://stats.oecd.org/index.aspx?DataSetCode=HEALTH_STAT" TargetMode="External"/><Relationship Id="rId687" Type="http://schemas.openxmlformats.org/officeDocument/2006/relationships/hyperlink" Target="https://www.cdc.gov/nchs/healthy_people/hp2020/hp2020_indicators.htm" TargetMode="External"/><Relationship Id="rId209" Type="http://schemas.openxmlformats.org/officeDocument/2006/relationships/hyperlink" Target="https://www.americashealthrankings.org/explore/annual" TargetMode="External"/><Relationship Id="rId208" Type="http://schemas.openxmlformats.org/officeDocument/2006/relationships/hyperlink" Target="https://usafacts.org/missions/promote-welfare/12" TargetMode="External"/><Relationship Id="rId207" Type="http://schemas.openxmlformats.org/officeDocument/2006/relationships/hyperlink" Target="https://www.americashealthrankings.org/explore/annual" TargetMode="External"/><Relationship Id="rId449" Type="http://schemas.openxmlformats.org/officeDocument/2006/relationships/hyperlink" Target="https://international.commonwealthfund.org/stats/" TargetMode="External"/><Relationship Id="rId1270" Type="http://schemas.openxmlformats.org/officeDocument/2006/relationships/hyperlink" Target="https://www.cms.gov/Medicare/Quality-Initiatives-Patient-Assessment-Instruments/QualityInitiativesGenInfo/MMF/General-info-Sub-Page.html" TargetMode="External"/><Relationship Id="rId440" Type="http://schemas.openxmlformats.org/officeDocument/2006/relationships/hyperlink" Target="https://apps.who.int/iris/bitstream/handle/10665/259951/WHO-HIS-IER-GPM-2018.1-eng.pdf;jsessionid=47FB126CD095961CAC9D15E3FBF39514?sequence=1" TargetMode="External"/><Relationship Id="rId682" Type="http://schemas.openxmlformats.org/officeDocument/2006/relationships/hyperlink" Target="https://apps.who.int/iris/bitstream/handle/10665/259951/WHO-HIS-IER-GPM-2018.1-eng.pdf;jsessionid=47FB126CD095961CAC9D15E3FBF39514?sequence=1" TargetMode="External"/><Relationship Id="rId1271" Type="http://schemas.openxmlformats.org/officeDocument/2006/relationships/hyperlink" Target="https://www.americashealthrankings.org/explore/annual" TargetMode="External"/><Relationship Id="rId681" Type="http://schemas.openxmlformats.org/officeDocument/2006/relationships/hyperlink" Target="https://www.americashealthrankings.org/explore/annual" TargetMode="External"/><Relationship Id="rId1030" Type="http://schemas.openxmlformats.org/officeDocument/2006/relationships/hyperlink" Target="https://stats.oecd.org/index.aspx?DataSetCode=HEALTH_STAT" TargetMode="External"/><Relationship Id="rId1272" Type="http://schemas.openxmlformats.org/officeDocument/2006/relationships/drawing" Target="../drawings/drawing4.xml"/><Relationship Id="rId680" Type="http://schemas.openxmlformats.org/officeDocument/2006/relationships/hyperlink" Target="https://data.worldbank.org/indicator/" TargetMode="External"/><Relationship Id="rId1031" Type="http://schemas.openxmlformats.org/officeDocument/2006/relationships/hyperlink" Target="https://international.commonwealthfund.org/stats/" TargetMode="External"/><Relationship Id="rId1032" Type="http://schemas.openxmlformats.org/officeDocument/2006/relationships/hyperlink" Target="https://stats.oecd.org/index.aspx?DataSetCode=HEALTH_STAT" TargetMode="External"/><Relationship Id="rId202" Type="http://schemas.openxmlformats.org/officeDocument/2006/relationships/hyperlink" Target="https://apps.who.int/iris/bitstream/handle/10665/259951/WHO-HIS-IER-GPM-2018.1-eng.pdf;jsessionid=47FB126CD095961CAC9D15E3FBF39514?sequence=1" TargetMode="External"/><Relationship Id="rId444" Type="http://schemas.openxmlformats.org/officeDocument/2006/relationships/hyperlink" Target="https://interactives.commonwealthfund.org/2018/state-scorecard/files/Radley_State_Scorecard_2018.pdf" TargetMode="External"/><Relationship Id="rId686" Type="http://schemas.openxmlformats.org/officeDocument/2006/relationships/hyperlink" Target="https://interactives.commonwealthfund.org/2018/state-scorecard/files/Radley_State_Scorecard_2018.pdf" TargetMode="External"/><Relationship Id="rId1033" Type="http://schemas.openxmlformats.org/officeDocument/2006/relationships/hyperlink" Target="https://international.commonwealthfund.org/stats/" TargetMode="External"/><Relationship Id="rId201" Type="http://schemas.openxmlformats.org/officeDocument/2006/relationships/hyperlink" Target="https://wwwn.cdc.gov/psr/NationalSummary/NationalSummary.aspx" TargetMode="External"/><Relationship Id="rId443" Type="http://schemas.openxmlformats.org/officeDocument/2006/relationships/hyperlink" Target="https://www.cdc.gov/nchs/healthy_people/hp2020/hp2020_indicators.htm" TargetMode="External"/><Relationship Id="rId685" Type="http://schemas.openxmlformats.org/officeDocument/2006/relationships/hyperlink" Target="https://www.americashealthrankings.org/explore/annual" TargetMode="External"/><Relationship Id="rId1034" Type="http://schemas.openxmlformats.org/officeDocument/2006/relationships/hyperlink" Target="https://stats.oecd.org/index.aspx?DataSetCode=HEALTH_STAT" TargetMode="External"/><Relationship Id="rId200" Type="http://schemas.openxmlformats.org/officeDocument/2006/relationships/hyperlink" Target="https://www.americashealthrankings.org/explore/annual" TargetMode="External"/><Relationship Id="rId442" Type="http://schemas.openxmlformats.org/officeDocument/2006/relationships/hyperlink" Target="https://www.cms.gov/Medicare/Quality-Initiatives-Patient-Assessment-Instruments/QualityInitiativesGenInfo/MMF/General-info-Sub-Page.html" TargetMode="External"/><Relationship Id="rId684" Type="http://schemas.openxmlformats.org/officeDocument/2006/relationships/hyperlink" Target="https://apps.who.int/iris/bitstream/handle/10665/259951/WHO-HIS-IER-GPM-2018.1-eng.pdf;jsessionid=47FB126CD095961CAC9D15E3FBF39514?sequence=1" TargetMode="External"/><Relationship Id="rId1035" Type="http://schemas.openxmlformats.org/officeDocument/2006/relationships/hyperlink" Target="https://international.commonwealthfund.org/stats/" TargetMode="External"/><Relationship Id="rId441" Type="http://schemas.openxmlformats.org/officeDocument/2006/relationships/hyperlink" Target="https://www.americashealthrankings.org/explore/annual" TargetMode="External"/><Relationship Id="rId683" Type="http://schemas.openxmlformats.org/officeDocument/2006/relationships/hyperlink" Target="https://apps.who.int/iris/bitstream/handle/10665/259951/WHO-HIS-IER-GPM-2018.1-eng.pdf;jsessionid=47FB126CD095961CAC9D15E3FBF39514?sequence=1" TargetMode="External"/><Relationship Id="rId1036" Type="http://schemas.openxmlformats.org/officeDocument/2006/relationships/hyperlink" Target="https://stats.oecd.org/index.aspx?DataSetCode=HEALTH_STAT" TargetMode="External"/><Relationship Id="rId1026" Type="http://schemas.openxmlformats.org/officeDocument/2006/relationships/hyperlink" Target="https://stats.oecd.org/index.aspx?DataSetCode=HEALTH_STAT" TargetMode="External"/><Relationship Id="rId1268" Type="http://schemas.openxmlformats.org/officeDocument/2006/relationships/hyperlink" Target="https://usafacts.org/missions/promote-welfare/12" TargetMode="External"/><Relationship Id="rId1027" Type="http://schemas.openxmlformats.org/officeDocument/2006/relationships/hyperlink" Target="https://international.commonwealthfund.org/stats/" TargetMode="External"/><Relationship Id="rId1269" Type="http://schemas.openxmlformats.org/officeDocument/2006/relationships/hyperlink" Target="https://www.cms.gov/about-cms/story-page/our-16-strategic-initiatives.html" TargetMode="External"/><Relationship Id="rId1028" Type="http://schemas.openxmlformats.org/officeDocument/2006/relationships/hyperlink" Target="https://stats.oecd.org/index.aspx?DataSetCode=HEALTH_STAT" TargetMode="External"/><Relationship Id="rId1029" Type="http://schemas.openxmlformats.org/officeDocument/2006/relationships/hyperlink" Target="https://international.commonwealthfund.org/stats/" TargetMode="External"/><Relationship Id="rId437" Type="http://schemas.openxmlformats.org/officeDocument/2006/relationships/hyperlink" Target="https://www.americashealthrankings.org/explore/annual" TargetMode="External"/><Relationship Id="rId679" Type="http://schemas.openxmlformats.org/officeDocument/2006/relationships/hyperlink" Target="https://data.worldbank.org/indicator/" TargetMode="External"/><Relationship Id="rId436" Type="http://schemas.openxmlformats.org/officeDocument/2006/relationships/hyperlink" Target="https://interactives.commonwealthfund.org/2018/state-scorecard/files/Radley_State_Scorecard_2018.pdf" TargetMode="External"/><Relationship Id="rId678" Type="http://schemas.openxmlformats.org/officeDocument/2006/relationships/hyperlink" Target="https://www.americashealthrankings.org/explore/annual" TargetMode="External"/><Relationship Id="rId435" Type="http://schemas.openxmlformats.org/officeDocument/2006/relationships/hyperlink" Target="https://www.cms.gov/Medicare/Quality-Initiatives-Patient-Assessment-Instruments/QualityInitiativesGenInfo/MMF/General-info-Sub-Page.html" TargetMode="External"/><Relationship Id="rId677" Type="http://schemas.openxmlformats.org/officeDocument/2006/relationships/hyperlink" Target="https://www.americashealthrankings.org/explore/annual" TargetMode="External"/><Relationship Id="rId434" Type="http://schemas.openxmlformats.org/officeDocument/2006/relationships/hyperlink" Target="https://www.americashealthrankings.org/explore/annual" TargetMode="External"/><Relationship Id="rId676" Type="http://schemas.openxmlformats.org/officeDocument/2006/relationships/hyperlink" Target="https://www.americashealthrankings.org/explore/annual" TargetMode="External"/><Relationship Id="rId439" Type="http://schemas.openxmlformats.org/officeDocument/2006/relationships/hyperlink" Target="https://data.worldbank.org/indicator/" TargetMode="External"/><Relationship Id="rId438" Type="http://schemas.openxmlformats.org/officeDocument/2006/relationships/hyperlink" Target="https://apps.who.int/iris/bitstream/handle/10665/259951/WHO-HIS-IER-GPM-2018.1-eng.pdf;jsessionid=47FB126CD095961CAC9D15E3FBF39514?sequence=1" TargetMode="External"/><Relationship Id="rId671" Type="http://schemas.openxmlformats.org/officeDocument/2006/relationships/hyperlink" Target="https://www.americashealthrankings.org/explore/annual" TargetMode="External"/><Relationship Id="rId1260" Type="http://schemas.openxmlformats.org/officeDocument/2006/relationships/hyperlink" Target="https://international.commonwealthfund.org/stats/" TargetMode="External"/><Relationship Id="rId670" Type="http://schemas.openxmlformats.org/officeDocument/2006/relationships/hyperlink" Target="http://www.paho.org/data/index.php/en/indicators/visualization.html" TargetMode="External"/><Relationship Id="rId1261" Type="http://schemas.openxmlformats.org/officeDocument/2006/relationships/hyperlink" Target="https://www.cms.gov/about-cms/story-page/our-16-strategic-initiatives.html" TargetMode="External"/><Relationship Id="rId1020" Type="http://schemas.openxmlformats.org/officeDocument/2006/relationships/hyperlink" Target="https://apps.who.int/iris/bitstream/handle/10665/259951/WHO-HIS-IER-GPM-2018.1-eng.pdf;jsessionid=47FB126CD095961CAC9D15E3FBF39514?sequence=1" TargetMode="External"/><Relationship Id="rId1262" Type="http://schemas.openxmlformats.org/officeDocument/2006/relationships/hyperlink" Target="https://www.cms.gov/about-cms/story-page/our-16-strategic-initiatives.html" TargetMode="External"/><Relationship Id="rId1021" Type="http://schemas.openxmlformats.org/officeDocument/2006/relationships/hyperlink" Target="https://international.commonwealthfund.org/stats/" TargetMode="External"/><Relationship Id="rId1263" Type="http://schemas.openxmlformats.org/officeDocument/2006/relationships/hyperlink" Target="https://www.cms.gov/about-cms/story-page/our-16-strategic-initiatives.html" TargetMode="External"/><Relationship Id="rId433" Type="http://schemas.openxmlformats.org/officeDocument/2006/relationships/hyperlink" Target="http://www.paho.org/data/index.php/en/indicators/visualization.html" TargetMode="External"/><Relationship Id="rId675" Type="http://schemas.openxmlformats.org/officeDocument/2006/relationships/hyperlink" Target="https://www.americashealthrankings.org/explore/annual" TargetMode="External"/><Relationship Id="rId1022" Type="http://schemas.openxmlformats.org/officeDocument/2006/relationships/hyperlink" Target="https://www.cms.gov/about-cms/story-page/our-16-strategic-initiatives.html" TargetMode="External"/><Relationship Id="rId1264" Type="http://schemas.openxmlformats.org/officeDocument/2006/relationships/hyperlink" Target="https://interactives.commonwealthfund.org/2018/state-scorecard/files/Radley_State_Scorecard_2018.pdf" TargetMode="External"/><Relationship Id="rId432" Type="http://schemas.openxmlformats.org/officeDocument/2006/relationships/hyperlink" Target="http://www.paho.org/data/index.php/en/indicators/visualization.html" TargetMode="External"/><Relationship Id="rId674" Type="http://schemas.openxmlformats.org/officeDocument/2006/relationships/hyperlink" Target="https://data.worldbank.org/indicator/" TargetMode="External"/><Relationship Id="rId1023" Type="http://schemas.openxmlformats.org/officeDocument/2006/relationships/hyperlink" Target="https://international.commonwealthfund.org/stats/" TargetMode="External"/><Relationship Id="rId1265" Type="http://schemas.openxmlformats.org/officeDocument/2006/relationships/hyperlink" Target="https://apps.who.int/iris/bitstream/handle/10665/259951/WHO-HIS-IER-GPM-2018.1-eng.pdf;jsessionid=47FB126CD095961CAC9D15E3FBF39514?sequence=1" TargetMode="External"/><Relationship Id="rId431" Type="http://schemas.openxmlformats.org/officeDocument/2006/relationships/hyperlink" Target="https://www.oecd-ilibrary.org/social-issues-migration-health/health-at-a-glance-2017_health_glance-2017-en" TargetMode="External"/><Relationship Id="rId673" Type="http://schemas.openxmlformats.org/officeDocument/2006/relationships/hyperlink" Target="http://www.paho.org/data/index.php/en/indicators/visualization.html" TargetMode="External"/><Relationship Id="rId1024" Type="http://schemas.openxmlformats.org/officeDocument/2006/relationships/hyperlink" Target="https://stats.oecd.org/index.aspx?DataSetCode=HEALTH_STAT" TargetMode="External"/><Relationship Id="rId1266" Type="http://schemas.openxmlformats.org/officeDocument/2006/relationships/hyperlink" Target="https://apps.who.int/iris/bitstream/handle/10665/259951/WHO-HIS-IER-GPM-2018.1-eng.pdf;jsessionid=47FB126CD095961CAC9D15E3FBF39514?sequence=1" TargetMode="External"/><Relationship Id="rId430" Type="http://schemas.openxmlformats.org/officeDocument/2006/relationships/hyperlink" Target="https://www.oecd-ilibrary.org/social-issues-migration-health/health-at-a-glance-2017_health_glance-2017-en" TargetMode="External"/><Relationship Id="rId672" Type="http://schemas.openxmlformats.org/officeDocument/2006/relationships/hyperlink" Target="http://www.paho.org/data/index.php/en/indicators/visualization.html" TargetMode="External"/><Relationship Id="rId1025" Type="http://schemas.openxmlformats.org/officeDocument/2006/relationships/hyperlink" Target="https://international.commonwealthfund.org/stats/" TargetMode="External"/><Relationship Id="rId1267" Type="http://schemas.openxmlformats.org/officeDocument/2006/relationships/hyperlink" Target="https://usafacts.org/missions/promote-welfare/1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3.57"/>
    <col customWidth="1" min="3" max="3" width="14.57"/>
    <col customWidth="1" min="5" max="5" width="19.86"/>
    <col customWidth="1" min="10" max="10" width="20.0"/>
    <col customWidth="1" min="14" max="14" width="24.29"/>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3"/>
      <c r="V1" s="3"/>
      <c r="W1" s="3"/>
      <c r="X1" s="3"/>
      <c r="Y1" s="3"/>
      <c r="Z1" s="3"/>
      <c r="AA1" s="3"/>
      <c r="AB1" s="3"/>
      <c r="AC1" s="3"/>
      <c r="AD1" s="3"/>
      <c r="AE1" s="3"/>
      <c r="AF1" s="3"/>
      <c r="AG1" s="3"/>
      <c r="AH1" s="3"/>
      <c r="AI1" s="3"/>
      <c r="AJ1" s="3"/>
      <c r="AK1" s="3"/>
      <c r="AL1" s="3"/>
      <c r="AM1" s="3"/>
      <c r="AN1" s="3"/>
      <c r="AO1" s="3"/>
      <c r="AP1" s="3"/>
      <c r="AQ1" s="3"/>
    </row>
    <row r="2">
      <c r="A2" s="8" t="s">
        <v>23</v>
      </c>
      <c r="B2" s="8"/>
      <c r="C2" s="8"/>
      <c r="D2" s="8"/>
      <c r="E2" s="8"/>
      <c r="F2" s="8"/>
      <c r="G2" s="8"/>
      <c r="H2" s="8"/>
      <c r="I2" s="8"/>
      <c r="J2" s="8"/>
      <c r="K2" s="8"/>
      <c r="L2" s="8"/>
      <c r="M2" s="8"/>
      <c r="N2" s="8"/>
      <c r="O2" s="8"/>
      <c r="P2" s="8"/>
      <c r="Q2" s="8"/>
      <c r="R2" s="8"/>
      <c r="S2" s="8"/>
      <c r="T2" s="10">
        <f t="shared" ref="T2:T1210" si="1">COUNTIFS(I2:S2,"*",I2:S2,"&lt;&gt; ")</f>
        <v>0</v>
      </c>
      <c r="U2" s="8"/>
      <c r="V2" s="8"/>
      <c r="W2" s="8"/>
      <c r="X2" s="8"/>
      <c r="Y2" s="8"/>
      <c r="Z2" s="8"/>
      <c r="AA2" s="8"/>
      <c r="AB2" s="8"/>
      <c r="AC2" s="8"/>
      <c r="AD2" s="8"/>
      <c r="AE2" s="8"/>
      <c r="AF2" s="8"/>
      <c r="AG2" s="8"/>
      <c r="AH2" s="8"/>
      <c r="AI2" s="8"/>
      <c r="AJ2" s="8"/>
      <c r="AK2" s="8"/>
      <c r="AL2" s="8"/>
      <c r="AM2" s="8"/>
      <c r="AN2" s="8"/>
      <c r="AO2" s="8"/>
      <c r="AP2" s="8"/>
      <c r="AQ2" s="8"/>
    </row>
    <row r="3">
      <c r="A3" s="12" t="s">
        <v>22</v>
      </c>
      <c r="B3" s="12"/>
      <c r="C3" s="12"/>
      <c r="D3" s="12"/>
      <c r="E3" s="12"/>
      <c r="F3" s="12"/>
      <c r="G3" s="12"/>
      <c r="H3" s="12"/>
      <c r="I3" s="12"/>
      <c r="J3" s="12"/>
      <c r="K3" s="12"/>
      <c r="L3" s="12"/>
      <c r="M3" s="12"/>
      <c r="N3" s="12"/>
      <c r="O3" s="12"/>
      <c r="P3" s="12"/>
      <c r="Q3" s="12"/>
      <c r="R3" s="12"/>
      <c r="S3" s="12"/>
      <c r="T3" s="10">
        <f t="shared" si="1"/>
        <v>0</v>
      </c>
      <c r="U3" s="12"/>
      <c r="V3" s="12"/>
      <c r="W3" s="12"/>
      <c r="X3" s="12"/>
      <c r="Y3" s="12"/>
      <c r="Z3" s="12"/>
      <c r="AA3" s="12"/>
      <c r="AB3" s="12"/>
      <c r="AC3" s="12"/>
      <c r="AD3" s="12"/>
      <c r="AE3" s="12"/>
      <c r="AF3" s="12"/>
      <c r="AG3" s="12"/>
      <c r="AH3" s="12"/>
      <c r="AI3" s="12"/>
      <c r="AJ3" s="12"/>
      <c r="AK3" s="12"/>
      <c r="AL3" s="12"/>
      <c r="AM3" s="12"/>
      <c r="AN3" s="12"/>
      <c r="AO3" s="12"/>
      <c r="AP3" s="12"/>
      <c r="AQ3" s="12"/>
    </row>
    <row r="4">
      <c r="A4" s="14" t="s">
        <v>22</v>
      </c>
      <c r="B4" s="14">
        <v>3.267668E8</v>
      </c>
      <c r="C4" s="15" t="s">
        <v>66</v>
      </c>
      <c r="D4" s="14"/>
      <c r="E4" s="16"/>
      <c r="F4" s="14">
        <v>2018.0</v>
      </c>
      <c r="G4" s="14" t="s">
        <v>74</v>
      </c>
      <c r="H4" s="16"/>
      <c r="I4" s="15" t="s">
        <v>66</v>
      </c>
      <c r="J4" s="15" t="s">
        <v>77</v>
      </c>
      <c r="K4" s="15" t="s">
        <v>86</v>
      </c>
      <c r="L4" s="14"/>
      <c r="M4" s="14"/>
      <c r="N4" s="16"/>
      <c r="O4" s="15" t="s">
        <v>96</v>
      </c>
      <c r="P4" s="16"/>
      <c r="Q4" s="16"/>
      <c r="R4" s="14" t="s">
        <v>102</v>
      </c>
      <c r="S4" s="14"/>
      <c r="T4" s="10">
        <f t="shared" si="1"/>
        <v>5</v>
      </c>
      <c r="U4" s="16"/>
      <c r="V4" s="16"/>
      <c r="W4" s="16"/>
      <c r="X4" s="16"/>
      <c r="Y4" s="16"/>
      <c r="Z4" s="16"/>
      <c r="AA4" s="16"/>
      <c r="AB4" s="16"/>
      <c r="AC4" s="16"/>
      <c r="AD4" s="16"/>
      <c r="AE4" s="16"/>
      <c r="AF4" s="16"/>
      <c r="AG4" s="16"/>
      <c r="AH4" s="16"/>
      <c r="AI4" s="16"/>
      <c r="AJ4" s="16"/>
      <c r="AK4" s="16"/>
      <c r="AL4" s="16"/>
      <c r="AM4" s="16"/>
      <c r="AN4" s="16"/>
      <c r="AO4" s="16"/>
      <c r="AP4" s="16"/>
      <c r="AQ4" s="16"/>
    </row>
    <row r="5">
      <c r="A5" s="14" t="s">
        <v>108</v>
      </c>
      <c r="B5" s="14">
        <v>18.8</v>
      </c>
      <c r="C5" s="15" t="s">
        <v>66</v>
      </c>
      <c r="D5" s="14"/>
      <c r="E5" s="16"/>
      <c r="F5" s="14">
        <v>2018.0</v>
      </c>
      <c r="G5" s="14" t="s">
        <v>74</v>
      </c>
      <c r="H5" s="16"/>
      <c r="I5" s="15" t="s">
        <v>66</v>
      </c>
      <c r="J5" s="14"/>
      <c r="K5" s="14" t="s">
        <v>122</v>
      </c>
      <c r="L5" s="14"/>
      <c r="M5" s="14"/>
      <c r="N5" s="16"/>
      <c r="O5" s="15" t="s">
        <v>96</v>
      </c>
      <c r="P5" s="16"/>
      <c r="Q5" s="16"/>
      <c r="R5" s="14" t="s">
        <v>102</v>
      </c>
      <c r="S5" s="14"/>
      <c r="T5" s="10">
        <f t="shared" si="1"/>
        <v>4</v>
      </c>
      <c r="U5" s="16"/>
      <c r="V5" s="16"/>
      <c r="W5" s="16"/>
      <c r="X5" s="16"/>
      <c r="Y5" s="16"/>
      <c r="Z5" s="16"/>
      <c r="AA5" s="16"/>
      <c r="AB5" s="16"/>
      <c r="AC5" s="16"/>
      <c r="AD5" s="16"/>
      <c r="AE5" s="16"/>
      <c r="AF5" s="16"/>
      <c r="AG5" s="16"/>
      <c r="AH5" s="16"/>
      <c r="AI5" s="16"/>
      <c r="AJ5" s="16"/>
      <c r="AK5" s="16"/>
      <c r="AL5" s="16"/>
      <c r="AM5" s="16"/>
      <c r="AN5" s="16"/>
      <c r="AO5" s="16"/>
      <c r="AP5" s="16"/>
      <c r="AQ5" s="16"/>
    </row>
    <row r="6">
      <c r="A6" s="14" t="s">
        <v>129</v>
      </c>
      <c r="B6" s="14">
        <v>16.0</v>
      </c>
      <c r="C6" s="15" t="s">
        <v>66</v>
      </c>
      <c r="D6" s="16"/>
      <c r="E6" s="16"/>
      <c r="F6" s="14">
        <v>2018.0</v>
      </c>
      <c r="G6" s="14" t="s">
        <v>74</v>
      </c>
      <c r="H6" s="16"/>
      <c r="I6" s="15" t="s">
        <v>66</v>
      </c>
      <c r="J6" s="15" t="s">
        <v>77</v>
      </c>
      <c r="K6" s="20" t="s">
        <v>122</v>
      </c>
      <c r="L6" s="16"/>
      <c r="M6" s="16"/>
      <c r="N6" s="16"/>
      <c r="O6" s="15" t="s">
        <v>96</v>
      </c>
      <c r="P6" s="16"/>
      <c r="Q6" s="16"/>
      <c r="R6" s="14" t="s">
        <v>102</v>
      </c>
      <c r="S6" s="16"/>
      <c r="T6" s="10">
        <f t="shared" si="1"/>
        <v>5</v>
      </c>
      <c r="U6" s="16"/>
      <c r="V6" s="16"/>
      <c r="W6" s="16"/>
      <c r="X6" s="16"/>
      <c r="Y6" s="16"/>
      <c r="Z6" s="16"/>
      <c r="AA6" s="16"/>
      <c r="AB6" s="16"/>
      <c r="AC6" s="16"/>
      <c r="AD6" s="16"/>
      <c r="AE6" s="16"/>
      <c r="AF6" s="16"/>
      <c r="AG6" s="16"/>
      <c r="AH6" s="16"/>
      <c r="AI6" s="16"/>
      <c r="AJ6" s="16"/>
      <c r="AK6" s="16"/>
      <c r="AL6" s="16"/>
      <c r="AM6" s="16"/>
      <c r="AN6" s="16"/>
      <c r="AO6" s="16"/>
      <c r="AP6" s="16"/>
      <c r="AQ6" s="16"/>
    </row>
    <row r="7">
      <c r="A7" s="14" t="s">
        <v>135</v>
      </c>
      <c r="B7" s="14"/>
      <c r="C7" s="14"/>
      <c r="D7" s="16"/>
      <c r="E7" s="16"/>
      <c r="F7" s="14"/>
      <c r="G7" s="14"/>
      <c r="H7" s="16"/>
      <c r="I7" s="14"/>
      <c r="J7" s="16"/>
      <c r="K7" s="16"/>
      <c r="L7" s="16"/>
      <c r="M7" s="16"/>
      <c r="N7" s="16"/>
      <c r="O7" s="15" t="s">
        <v>96</v>
      </c>
      <c r="P7" s="16"/>
      <c r="Q7" s="16"/>
      <c r="R7" s="14" t="s">
        <v>102</v>
      </c>
      <c r="S7" s="16"/>
      <c r="T7" s="10">
        <f t="shared" si="1"/>
        <v>2</v>
      </c>
      <c r="U7" s="16"/>
      <c r="V7" s="16"/>
      <c r="W7" s="16"/>
      <c r="X7" s="16"/>
      <c r="Y7" s="16"/>
      <c r="Z7" s="16"/>
      <c r="AA7" s="16"/>
      <c r="AB7" s="16"/>
      <c r="AC7" s="16"/>
      <c r="AD7" s="16"/>
      <c r="AE7" s="16"/>
      <c r="AF7" s="16"/>
      <c r="AG7" s="16"/>
      <c r="AH7" s="16"/>
      <c r="AI7" s="16"/>
      <c r="AJ7" s="16"/>
      <c r="AK7" s="16"/>
      <c r="AL7" s="16"/>
      <c r="AM7" s="16"/>
      <c r="AN7" s="16"/>
      <c r="AO7" s="16"/>
      <c r="AP7" s="16"/>
      <c r="AQ7" s="16"/>
    </row>
    <row r="8">
      <c r="A8" s="14" t="s">
        <v>140</v>
      </c>
      <c r="B8" s="14">
        <v>0.7</v>
      </c>
      <c r="C8" s="15" t="s">
        <v>66</v>
      </c>
      <c r="D8" s="16"/>
      <c r="E8" s="16"/>
      <c r="F8" s="14">
        <v>2018.0</v>
      </c>
      <c r="G8" s="14" t="s">
        <v>74</v>
      </c>
      <c r="H8" s="16"/>
      <c r="I8" s="15" t="s">
        <v>66</v>
      </c>
      <c r="J8" s="16"/>
      <c r="K8" s="16"/>
      <c r="L8" s="16"/>
      <c r="M8" s="16"/>
      <c r="N8" s="16"/>
      <c r="O8" s="15" t="s">
        <v>96</v>
      </c>
      <c r="P8" s="16"/>
      <c r="Q8" s="16"/>
      <c r="R8" s="16"/>
      <c r="S8" s="16"/>
      <c r="T8" s="10">
        <f t="shared" si="1"/>
        <v>2</v>
      </c>
      <c r="U8" s="16"/>
      <c r="V8" s="16"/>
      <c r="W8" s="16"/>
      <c r="X8" s="16"/>
      <c r="Y8" s="16"/>
      <c r="Z8" s="16"/>
      <c r="AA8" s="16"/>
      <c r="AB8" s="16"/>
      <c r="AC8" s="16"/>
      <c r="AD8" s="16"/>
      <c r="AE8" s="16"/>
      <c r="AF8" s="16"/>
      <c r="AG8" s="16"/>
      <c r="AH8" s="16"/>
      <c r="AI8" s="16"/>
      <c r="AJ8" s="16"/>
      <c r="AK8" s="16"/>
      <c r="AL8" s="16"/>
      <c r="AM8" s="16"/>
      <c r="AN8" s="16"/>
      <c r="AO8" s="16"/>
      <c r="AP8" s="16"/>
      <c r="AQ8" s="16"/>
    </row>
    <row r="9">
      <c r="A9" s="14" t="s">
        <v>147</v>
      </c>
      <c r="B9" s="14">
        <v>82.0</v>
      </c>
      <c r="C9" s="15" t="s">
        <v>66</v>
      </c>
      <c r="D9" s="16"/>
      <c r="E9" s="16"/>
      <c r="F9" s="14">
        <v>2018.0</v>
      </c>
      <c r="G9" s="14" t="s">
        <v>74</v>
      </c>
      <c r="H9" s="16"/>
      <c r="I9" s="15" t="s">
        <v>66</v>
      </c>
      <c r="J9" s="16"/>
      <c r="K9" s="16"/>
      <c r="L9" s="16"/>
      <c r="M9" s="16"/>
      <c r="N9" s="16"/>
      <c r="O9" s="16"/>
      <c r="P9" s="16"/>
      <c r="Q9" s="16"/>
      <c r="R9" s="16"/>
      <c r="S9" s="16"/>
      <c r="T9" s="10">
        <f t="shared" si="1"/>
        <v>1</v>
      </c>
      <c r="U9" s="16"/>
      <c r="V9" s="16"/>
      <c r="W9" s="16"/>
      <c r="X9" s="16"/>
      <c r="Y9" s="16"/>
      <c r="Z9" s="16"/>
      <c r="AA9" s="16"/>
      <c r="AB9" s="16"/>
      <c r="AC9" s="16"/>
      <c r="AD9" s="16"/>
      <c r="AE9" s="16"/>
      <c r="AF9" s="16"/>
      <c r="AG9" s="16"/>
      <c r="AH9" s="16"/>
      <c r="AI9" s="16"/>
      <c r="AJ9" s="16"/>
      <c r="AK9" s="16"/>
      <c r="AL9" s="16"/>
      <c r="AM9" s="16"/>
      <c r="AN9" s="16"/>
      <c r="AO9" s="16"/>
      <c r="AP9" s="16"/>
      <c r="AQ9" s="16"/>
    </row>
    <row r="10">
      <c r="A10" s="12" t="s">
        <v>24</v>
      </c>
      <c r="B10" s="12"/>
      <c r="C10" s="12"/>
      <c r="D10" s="12"/>
      <c r="E10" s="12"/>
      <c r="F10" s="12"/>
      <c r="G10" s="12"/>
      <c r="H10" s="12"/>
      <c r="I10" s="12"/>
      <c r="J10" s="12"/>
      <c r="K10" s="12"/>
      <c r="L10" s="12"/>
      <c r="M10" s="12"/>
      <c r="N10" s="12"/>
      <c r="O10" s="12"/>
      <c r="P10" s="12"/>
      <c r="Q10" s="12"/>
      <c r="R10" s="12"/>
      <c r="S10" s="12"/>
      <c r="T10" s="10">
        <f t="shared" si="1"/>
        <v>0</v>
      </c>
      <c r="U10" s="12"/>
      <c r="V10" s="12"/>
      <c r="W10" s="12"/>
      <c r="X10" s="12"/>
      <c r="Y10" s="12"/>
      <c r="Z10" s="12"/>
      <c r="AA10" s="12"/>
      <c r="AB10" s="12"/>
      <c r="AC10" s="12"/>
      <c r="AD10" s="12"/>
      <c r="AE10" s="12"/>
      <c r="AF10" s="12"/>
      <c r="AG10" s="12"/>
      <c r="AH10" s="12"/>
      <c r="AI10" s="12"/>
      <c r="AJ10" s="12"/>
      <c r="AK10" s="12"/>
      <c r="AL10" s="12"/>
      <c r="AM10" s="12"/>
      <c r="AN10" s="12"/>
      <c r="AO10" s="12"/>
      <c r="AP10" s="12"/>
      <c r="AQ10" s="12"/>
    </row>
    <row r="11">
      <c r="A11" s="14" t="s">
        <v>156</v>
      </c>
      <c r="B11" s="14">
        <v>13.5</v>
      </c>
      <c r="C11" s="15" t="s">
        <v>66</v>
      </c>
      <c r="D11" s="16"/>
      <c r="E11" s="16"/>
      <c r="F11" s="14">
        <v>2015.0</v>
      </c>
      <c r="G11" s="14" t="s">
        <v>74</v>
      </c>
      <c r="H11" s="16"/>
      <c r="I11" s="15" t="s">
        <v>66</v>
      </c>
      <c r="J11" s="16"/>
      <c r="K11" s="16"/>
      <c r="L11" s="16"/>
      <c r="M11" s="16"/>
      <c r="N11" s="16"/>
      <c r="O11" s="16"/>
      <c r="P11" s="16"/>
      <c r="Q11" s="16"/>
      <c r="R11" s="16"/>
      <c r="S11" s="16"/>
      <c r="T11" s="10">
        <f t="shared" si="1"/>
        <v>1</v>
      </c>
      <c r="U11" s="16"/>
      <c r="V11" s="16"/>
      <c r="W11" s="16"/>
      <c r="X11" s="16"/>
      <c r="Y11" s="16"/>
      <c r="Z11" s="16"/>
      <c r="AA11" s="16"/>
      <c r="AB11" s="16"/>
      <c r="AC11" s="16"/>
      <c r="AD11" s="16"/>
      <c r="AE11" s="16"/>
      <c r="AF11" s="16"/>
      <c r="AG11" s="16"/>
      <c r="AH11" s="16"/>
      <c r="AI11" s="16"/>
      <c r="AJ11" s="16"/>
      <c r="AK11" s="16"/>
      <c r="AL11" s="16"/>
      <c r="AM11" s="16"/>
      <c r="AN11" s="16"/>
      <c r="AO11" s="16"/>
      <c r="AP11" s="16"/>
      <c r="AQ11" s="16"/>
    </row>
    <row r="12">
      <c r="A12" s="14" t="s">
        <v>161</v>
      </c>
      <c r="B12" s="14"/>
      <c r="C12" s="14"/>
      <c r="D12" s="16"/>
      <c r="E12" s="16"/>
      <c r="F12" s="14"/>
      <c r="G12" s="14"/>
      <c r="H12" s="14" t="s">
        <v>163</v>
      </c>
      <c r="I12" s="14"/>
      <c r="J12" s="16"/>
      <c r="K12" s="16"/>
      <c r="L12" s="16"/>
      <c r="M12" s="16"/>
      <c r="N12" s="15" t="s">
        <v>164</v>
      </c>
      <c r="O12" s="16"/>
      <c r="P12" s="16"/>
      <c r="Q12" s="16"/>
      <c r="R12" s="14" t="s">
        <v>102</v>
      </c>
      <c r="S12" s="16"/>
      <c r="T12" s="10">
        <f t="shared" si="1"/>
        <v>2</v>
      </c>
      <c r="U12" s="16"/>
      <c r="V12" s="16"/>
      <c r="W12" s="16"/>
      <c r="X12" s="16"/>
      <c r="Y12" s="16"/>
      <c r="Z12" s="16"/>
      <c r="AA12" s="16"/>
      <c r="AB12" s="16"/>
      <c r="AC12" s="16"/>
      <c r="AD12" s="16"/>
      <c r="AE12" s="16"/>
      <c r="AF12" s="16"/>
      <c r="AG12" s="16"/>
      <c r="AH12" s="16"/>
      <c r="AI12" s="16"/>
      <c r="AJ12" s="16"/>
      <c r="AK12" s="16"/>
      <c r="AL12" s="16"/>
      <c r="AM12" s="16"/>
      <c r="AN12" s="16"/>
      <c r="AO12" s="16"/>
      <c r="AP12" s="16"/>
      <c r="AQ12" s="16"/>
    </row>
    <row r="13">
      <c r="A13" s="14" t="s">
        <v>169</v>
      </c>
      <c r="B13" s="14"/>
      <c r="C13" s="14"/>
      <c r="D13" s="16"/>
      <c r="E13" s="16"/>
      <c r="F13" s="14"/>
      <c r="G13" s="14"/>
      <c r="H13" s="14"/>
      <c r="I13" s="14"/>
      <c r="J13" s="16"/>
      <c r="K13" s="16"/>
      <c r="L13" s="16"/>
      <c r="M13" s="16"/>
      <c r="N13" s="14" t="s">
        <v>164</v>
      </c>
      <c r="O13" s="16"/>
      <c r="P13" s="16"/>
      <c r="Q13" s="16"/>
      <c r="R13" s="14"/>
      <c r="S13" s="16"/>
      <c r="T13" s="10">
        <f t="shared" si="1"/>
        <v>1</v>
      </c>
      <c r="U13" s="16"/>
      <c r="V13" s="16"/>
      <c r="W13" s="16"/>
      <c r="X13" s="16"/>
      <c r="Y13" s="16"/>
      <c r="Z13" s="16"/>
      <c r="AA13" s="16"/>
      <c r="AB13" s="16"/>
      <c r="AC13" s="16"/>
      <c r="AD13" s="16"/>
      <c r="AE13" s="16"/>
      <c r="AF13" s="16"/>
      <c r="AG13" s="16"/>
      <c r="AH13" s="16"/>
      <c r="AI13" s="16"/>
      <c r="AJ13" s="16"/>
      <c r="AK13" s="16"/>
      <c r="AL13" s="16"/>
      <c r="AM13" s="16"/>
      <c r="AN13" s="16"/>
      <c r="AO13" s="16"/>
      <c r="AP13" s="16"/>
      <c r="AQ13" s="16"/>
    </row>
    <row r="14">
      <c r="A14" s="12" t="s">
        <v>25</v>
      </c>
      <c r="B14" s="12"/>
      <c r="C14" s="12"/>
      <c r="D14" s="12"/>
      <c r="E14" s="12"/>
      <c r="F14" s="12"/>
      <c r="G14" s="12"/>
      <c r="H14" s="12"/>
      <c r="I14" s="12"/>
      <c r="J14" s="12"/>
      <c r="K14" s="12"/>
      <c r="L14" s="12"/>
      <c r="M14" s="12"/>
      <c r="N14" s="12"/>
      <c r="O14" s="12"/>
      <c r="P14" s="12"/>
      <c r="Q14" s="12"/>
      <c r="R14" s="12"/>
      <c r="S14" s="12"/>
      <c r="T14" s="10">
        <f t="shared" si="1"/>
        <v>0</v>
      </c>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c r="A15" s="14" t="s">
        <v>173</v>
      </c>
      <c r="B15" s="14">
        <v>58270.0</v>
      </c>
      <c r="C15" s="15" t="s">
        <v>66</v>
      </c>
      <c r="D15" s="16"/>
      <c r="E15" s="16"/>
      <c r="F15" s="14">
        <v>2017.0</v>
      </c>
      <c r="G15" s="14" t="s">
        <v>74</v>
      </c>
      <c r="H15" s="14" t="s">
        <v>176</v>
      </c>
      <c r="I15" s="15" t="s">
        <v>66</v>
      </c>
      <c r="J15" s="16"/>
      <c r="K15" s="16"/>
      <c r="L15" s="16"/>
      <c r="M15" s="16"/>
      <c r="N15" s="15" t="s">
        <v>164</v>
      </c>
      <c r="O15" s="16"/>
      <c r="P15" s="16"/>
      <c r="Q15" s="16"/>
      <c r="R15" s="16"/>
      <c r="S15" s="16"/>
      <c r="T15" s="10">
        <f t="shared" si="1"/>
        <v>2</v>
      </c>
      <c r="U15" s="16"/>
      <c r="V15" s="16"/>
      <c r="W15" s="16"/>
      <c r="X15" s="16"/>
      <c r="Y15" s="16"/>
      <c r="Z15" s="16"/>
      <c r="AA15" s="16"/>
      <c r="AB15" s="16"/>
      <c r="AC15" s="16"/>
      <c r="AD15" s="16"/>
      <c r="AE15" s="16"/>
      <c r="AF15" s="16"/>
      <c r="AG15" s="16"/>
      <c r="AH15" s="16"/>
      <c r="AI15" s="16"/>
      <c r="AJ15" s="16"/>
      <c r="AK15" s="16"/>
      <c r="AL15" s="16"/>
      <c r="AM15" s="16"/>
      <c r="AN15" s="16"/>
      <c r="AO15" s="16"/>
      <c r="AP15" s="16"/>
      <c r="AQ15" s="16"/>
    </row>
    <row r="16">
      <c r="A16" s="14" t="s">
        <v>180</v>
      </c>
      <c r="B16" s="14">
        <v>2.3</v>
      </c>
      <c r="C16" s="15" t="s">
        <v>66</v>
      </c>
      <c r="D16" s="16"/>
      <c r="E16" s="16"/>
      <c r="F16" s="14">
        <v>2017.0</v>
      </c>
      <c r="G16" s="14" t="s">
        <v>74</v>
      </c>
      <c r="H16" s="16"/>
      <c r="I16" s="15" t="s">
        <v>66</v>
      </c>
      <c r="J16" s="16"/>
      <c r="K16" s="16"/>
      <c r="L16" s="16"/>
      <c r="M16" s="16"/>
      <c r="N16" s="16"/>
      <c r="O16" s="16"/>
      <c r="P16" s="16"/>
      <c r="Q16" s="16"/>
      <c r="R16" s="16"/>
      <c r="S16" s="16"/>
      <c r="T16" s="10">
        <f t="shared" si="1"/>
        <v>1</v>
      </c>
      <c r="U16" s="16"/>
      <c r="V16" s="16"/>
      <c r="W16" s="16"/>
      <c r="X16" s="16"/>
      <c r="Y16" s="16"/>
      <c r="Z16" s="16"/>
      <c r="AA16" s="16"/>
      <c r="AB16" s="16"/>
      <c r="AC16" s="16"/>
      <c r="AD16" s="16"/>
      <c r="AE16" s="16"/>
      <c r="AF16" s="16"/>
      <c r="AG16" s="16"/>
      <c r="AH16" s="16"/>
      <c r="AI16" s="16"/>
      <c r="AJ16" s="16"/>
      <c r="AK16" s="16"/>
      <c r="AL16" s="16"/>
      <c r="AM16" s="16"/>
      <c r="AN16" s="16"/>
      <c r="AO16" s="16"/>
      <c r="AP16" s="16"/>
      <c r="AQ16" s="16"/>
    </row>
    <row r="17">
      <c r="A17" s="14" t="s">
        <v>186</v>
      </c>
      <c r="B17" s="14">
        <v>41.5</v>
      </c>
      <c r="C17" s="15" t="s">
        <v>66</v>
      </c>
      <c r="D17" s="16"/>
      <c r="E17" s="16"/>
      <c r="F17" s="14">
        <v>2016.0</v>
      </c>
      <c r="G17" s="14" t="s">
        <v>74</v>
      </c>
      <c r="H17" s="16"/>
      <c r="I17" s="15" t="s">
        <v>66</v>
      </c>
      <c r="J17" s="16"/>
      <c r="K17" s="16"/>
      <c r="L17" s="16"/>
      <c r="M17" s="16"/>
      <c r="N17" s="15" t="s">
        <v>164</v>
      </c>
      <c r="O17" s="16"/>
      <c r="P17" s="16"/>
      <c r="Q17" s="16"/>
      <c r="R17" s="16"/>
      <c r="S17" s="16"/>
      <c r="T17" s="10">
        <f t="shared" si="1"/>
        <v>2</v>
      </c>
      <c r="U17" s="16"/>
      <c r="V17" s="16"/>
      <c r="W17" s="16"/>
      <c r="X17" s="16"/>
      <c r="Y17" s="16"/>
      <c r="Z17" s="16"/>
      <c r="AA17" s="16"/>
      <c r="AB17" s="16"/>
      <c r="AC17" s="16"/>
      <c r="AD17" s="16"/>
      <c r="AE17" s="16"/>
      <c r="AF17" s="16"/>
      <c r="AG17" s="16"/>
      <c r="AH17" s="16"/>
      <c r="AI17" s="16"/>
      <c r="AJ17" s="16"/>
      <c r="AK17" s="16"/>
      <c r="AL17" s="16"/>
      <c r="AM17" s="16"/>
      <c r="AN17" s="16"/>
      <c r="AO17" s="16"/>
      <c r="AP17" s="16"/>
      <c r="AQ17" s="16"/>
    </row>
    <row r="18">
      <c r="A18" s="14" t="s">
        <v>190</v>
      </c>
      <c r="B18" s="14"/>
      <c r="C18" s="14"/>
      <c r="D18" s="16"/>
      <c r="E18" s="16"/>
      <c r="F18" s="14"/>
      <c r="G18" s="14"/>
      <c r="H18" s="16"/>
      <c r="I18" s="14"/>
      <c r="J18" s="16"/>
      <c r="K18" s="16"/>
      <c r="L18" s="16"/>
      <c r="M18" s="16"/>
      <c r="N18" s="16"/>
      <c r="O18" s="15" t="s">
        <v>96</v>
      </c>
      <c r="P18" s="16"/>
      <c r="Q18" s="16"/>
      <c r="R18" s="16"/>
      <c r="S18" s="16"/>
      <c r="T18" s="10">
        <f t="shared" si="1"/>
        <v>1</v>
      </c>
      <c r="U18" s="16"/>
      <c r="V18" s="16"/>
      <c r="W18" s="16"/>
      <c r="X18" s="16"/>
      <c r="Y18" s="16"/>
      <c r="Z18" s="16"/>
      <c r="AA18" s="16"/>
      <c r="AB18" s="16"/>
      <c r="AC18" s="16"/>
      <c r="AD18" s="16"/>
      <c r="AE18" s="16"/>
      <c r="AF18" s="16"/>
      <c r="AG18" s="16"/>
      <c r="AH18" s="16"/>
      <c r="AI18" s="16"/>
      <c r="AJ18" s="16"/>
      <c r="AK18" s="16"/>
      <c r="AL18" s="16"/>
      <c r="AM18" s="16"/>
      <c r="AN18" s="16"/>
      <c r="AO18" s="16"/>
      <c r="AP18" s="16"/>
      <c r="AQ18" s="16"/>
    </row>
    <row r="19">
      <c r="A19" s="14" t="s">
        <v>191</v>
      </c>
      <c r="B19" s="14"/>
      <c r="C19" s="14"/>
      <c r="D19" s="16"/>
      <c r="E19" s="16"/>
      <c r="F19" s="14"/>
      <c r="G19" s="14"/>
      <c r="H19" s="14" t="s">
        <v>192</v>
      </c>
      <c r="I19" s="14"/>
      <c r="J19" s="16"/>
      <c r="K19" s="16"/>
      <c r="L19" s="15" t="s">
        <v>193</v>
      </c>
      <c r="M19" s="14"/>
      <c r="N19" s="15" t="s">
        <v>164</v>
      </c>
      <c r="O19" s="14"/>
      <c r="P19" s="16"/>
      <c r="Q19" s="16"/>
      <c r="R19" s="14" t="s">
        <v>102</v>
      </c>
      <c r="S19" s="16"/>
      <c r="T19" s="10">
        <f t="shared" si="1"/>
        <v>3</v>
      </c>
      <c r="U19" s="16"/>
      <c r="V19" s="16"/>
      <c r="W19" s="16"/>
      <c r="X19" s="16"/>
      <c r="Y19" s="16"/>
      <c r="Z19" s="16"/>
      <c r="AA19" s="16"/>
      <c r="AB19" s="16"/>
      <c r="AC19" s="16"/>
      <c r="AD19" s="16"/>
      <c r="AE19" s="16"/>
      <c r="AF19" s="16"/>
      <c r="AG19" s="16"/>
      <c r="AH19" s="16"/>
      <c r="AI19" s="16"/>
      <c r="AJ19" s="16"/>
      <c r="AK19" s="16"/>
      <c r="AL19" s="16"/>
      <c r="AM19" s="16"/>
      <c r="AN19" s="16"/>
      <c r="AO19" s="16"/>
      <c r="AP19" s="16"/>
      <c r="AQ19" s="16"/>
    </row>
    <row r="20">
      <c r="A20" s="14" t="s">
        <v>194</v>
      </c>
      <c r="B20" s="14"/>
      <c r="C20" s="14"/>
      <c r="D20" s="16"/>
      <c r="E20" s="16"/>
      <c r="F20" s="14"/>
      <c r="G20" s="14"/>
      <c r="H20" s="14" t="s">
        <v>195</v>
      </c>
      <c r="I20" s="14"/>
      <c r="J20" s="16"/>
      <c r="K20" s="16"/>
      <c r="L20" s="16"/>
      <c r="M20" s="16"/>
      <c r="N20" s="15" t="s">
        <v>164</v>
      </c>
      <c r="O20" s="14"/>
      <c r="P20" s="16"/>
      <c r="Q20" s="16"/>
      <c r="R20" s="14" t="s">
        <v>102</v>
      </c>
      <c r="S20" s="16"/>
      <c r="T20" s="10">
        <f t="shared" si="1"/>
        <v>2</v>
      </c>
      <c r="U20" s="16"/>
      <c r="V20" s="16"/>
      <c r="W20" s="16"/>
      <c r="X20" s="16"/>
      <c r="Y20" s="16"/>
      <c r="Z20" s="16"/>
      <c r="AA20" s="16"/>
      <c r="AB20" s="16"/>
      <c r="AC20" s="16"/>
      <c r="AD20" s="16"/>
      <c r="AE20" s="16"/>
      <c r="AF20" s="16"/>
      <c r="AG20" s="16"/>
      <c r="AH20" s="16"/>
      <c r="AI20" s="16"/>
      <c r="AJ20" s="16"/>
      <c r="AK20" s="16"/>
      <c r="AL20" s="16"/>
      <c r="AM20" s="16"/>
      <c r="AN20" s="16"/>
      <c r="AO20" s="16"/>
      <c r="AP20" s="16"/>
      <c r="AQ20" s="16"/>
    </row>
    <row r="21">
      <c r="A21" s="14" t="s">
        <v>196</v>
      </c>
      <c r="B21" s="14"/>
      <c r="C21" s="14"/>
      <c r="D21" s="16"/>
      <c r="E21" s="16"/>
      <c r="F21" s="14"/>
      <c r="G21" s="14"/>
      <c r="H21" s="14" t="s">
        <v>197</v>
      </c>
      <c r="I21" s="14"/>
      <c r="J21" s="16"/>
      <c r="K21" s="15" t="s">
        <v>122</v>
      </c>
      <c r="L21" s="16"/>
      <c r="M21" s="16"/>
      <c r="N21" s="16"/>
      <c r="O21" s="14"/>
      <c r="P21" s="16"/>
      <c r="Q21" s="16"/>
      <c r="R21" s="14" t="s">
        <v>102</v>
      </c>
      <c r="S21" s="16"/>
      <c r="T21" s="10">
        <f t="shared" si="1"/>
        <v>2</v>
      </c>
      <c r="U21" s="16"/>
      <c r="V21" s="16"/>
      <c r="W21" s="16"/>
      <c r="X21" s="16"/>
      <c r="Y21" s="16"/>
      <c r="Z21" s="16"/>
      <c r="AA21" s="16"/>
      <c r="AB21" s="16"/>
      <c r="AC21" s="16"/>
      <c r="AD21" s="16"/>
      <c r="AE21" s="16"/>
      <c r="AF21" s="16"/>
      <c r="AG21" s="16"/>
      <c r="AH21" s="16"/>
      <c r="AI21" s="16"/>
      <c r="AJ21" s="16"/>
      <c r="AK21" s="16"/>
      <c r="AL21" s="16"/>
      <c r="AM21" s="16"/>
      <c r="AN21" s="16"/>
      <c r="AO21" s="16"/>
      <c r="AP21" s="16"/>
      <c r="AQ21" s="16"/>
    </row>
    <row r="22">
      <c r="A22" s="12" t="s">
        <v>26</v>
      </c>
      <c r="B22" s="12"/>
      <c r="C22" s="12"/>
      <c r="D22" s="12"/>
      <c r="E22" s="12"/>
      <c r="F22" s="12"/>
      <c r="G22" s="12"/>
      <c r="H22" s="12"/>
      <c r="I22" s="12"/>
      <c r="J22" s="12"/>
      <c r="K22" s="12"/>
      <c r="L22" s="12"/>
      <c r="M22" s="12"/>
      <c r="N22" s="12"/>
      <c r="O22" s="12"/>
      <c r="P22" s="12"/>
      <c r="Q22" s="12"/>
      <c r="R22" s="12"/>
      <c r="S22" s="12"/>
      <c r="T22" s="10">
        <f t="shared" si="1"/>
        <v>0</v>
      </c>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c r="A23" s="14" t="s">
        <v>198</v>
      </c>
      <c r="B23" s="14"/>
      <c r="C23" s="14"/>
      <c r="D23" s="16"/>
      <c r="E23" s="16"/>
      <c r="F23" s="14"/>
      <c r="G23" s="14"/>
      <c r="H23" s="16"/>
      <c r="I23" s="14"/>
      <c r="J23" s="16"/>
      <c r="K23" s="16"/>
      <c r="L23" s="16"/>
      <c r="M23" s="16"/>
      <c r="N23" s="15" t="s">
        <v>164</v>
      </c>
      <c r="O23" s="14"/>
      <c r="P23" s="16"/>
      <c r="Q23" s="16"/>
      <c r="R23" s="14"/>
      <c r="S23" s="16"/>
      <c r="T23" s="10">
        <f t="shared" si="1"/>
        <v>1</v>
      </c>
      <c r="U23" s="16"/>
      <c r="V23" s="16"/>
      <c r="W23" s="16"/>
      <c r="X23" s="16"/>
      <c r="Y23" s="16"/>
      <c r="Z23" s="16"/>
      <c r="AA23" s="16"/>
      <c r="AB23" s="16"/>
      <c r="AC23" s="16"/>
      <c r="AD23" s="16"/>
      <c r="AE23" s="16"/>
      <c r="AF23" s="16"/>
      <c r="AG23" s="16"/>
      <c r="AH23" s="16"/>
      <c r="AI23" s="16"/>
      <c r="AJ23" s="16"/>
      <c r="AK23" s="16"/>
      <c r="AL23" s="16"/>
      <c r="AM23" s="16"/>
      <c r="AN23" s="16"/>
      <c r="AO23" s="16"/>
      <c r="AP23" s="16"/>
      <c r="AQ23" s="16"/>
    </row>
    <row r="24">
      <c r="A24" s="14" t="s">
        <v>199</v>
      </c>
      <c r="B24" s="14"/>
      <c r="C24" s="14"/>
      <c r="D24" s="16"/>
      <c r="E24" s="16"/>
      <c r="F24" s="14"/>
      <c r="G24" s="14"/>
      <c r="H24" s="16"/>
      <c r="I24" s="14"/>
      <c r="J24" s="16"/>
      <c r="K24" s="16"/>
      <c r="L24" s="16"/>
      <c r="M24" s="16"/>
      <c r="N24" s="15" t="s">
        <v>164</v>
      </c>
      <c r="O24" s="14"/>
      <c r="P24" s="16"/>
      <c r="Q24" s="16"/>
      <c r="R24" s="14"/>
      <c r="S24" s="16"/>
      <c r="T24" s="10">
        <f t="shared" si="1"/>
        <v>1</v>
      </c>
      <c r="U24" s="16"/>
      <c r="V24" s="16"/>
      <c r="W24" s="16"/>
      <c r="X24" s="16"/>
      <c r="Y24" s="16"/>
      <c r="Z24" s="16"/>
      <c r="AA24" s="16"/>
      <c r="AB24" s="16"/>
      <c r="AC24" s="16"/>
      <c r="AD24" s="16"/>
      <c r="AE24" s="16"/>
      <c r="AF24" s="16"/>
      <c r="AG24" s="16"/>
      <c r="AH24" s="16"/>
      <c r="AI24" s="16"/>
      <c r="AJ24" s="16"/>
      <c r="AK24" s="16"/>
      <c r="AL24" s="16"/>
      <c r="AM24" s="16"/>
      <c r="AN24" s="16"/>
      <c r="AO24" s="16"/>
      <c r="AP24" s="16"/>
      <c r="AQ24" s="16"/>
    </row>
    <row r="25">
      <c r="A25" s="14" t="s">
        <v>200</v>
      </c>
      <c r="B25" s="14"/>
      <c r="C25" s="14"/>
      <c r="D25" s="16"/>
      <c r="E25" s="16"/>
      <c r="F25" s="14"/>
      <c r="G25" s="14"/>
      <c r="H25" s="16"/>
      <c r="I25" s="14"/>
      <c r="J25" s="16"/>
      <c r="K25" s="16"/>
      <c r="L25" s="16"/>
      <c r="M25" s="16"/>
      <c r="N25" s="15" t="s">
        <v>164</v>
      </c>
      <c r="O25" s="14"/>
      <c r="P25" s="16"/>
      <c r="Q25" s="16"/>
      <c r="R25" s="14"/>
      <c r="S25" s="16"/>
      <c r="T25" s="10">
        <f t="shared" si="1"/>
        <v>1</v>
      </c>
      <c r="U25" s="16"/>
      <c r="V25" s="16"/>
      <c r="W25" s="16"/>
      <c r="X25" s="16"/>
      <c r="Y25" s="16"/>
      <c r="Z25" s="16"/>
      <c r="AA25" s="16"/>
      <c r="AB25" s="16"/>
      <c r="AC25" s="16"/>
      <c r="AD25" s="16"/>
      <c r="AE25" s="16"/>
      <c r="AF25" s="16"/>
      <c r="AG25" s="16"/>
      <c r="AH25" s="16"/>
      <c r="AI25" s="16"/>
      <c r="AJ25" s="16"/>
      <c r="AK25" s="16"/>
      <c r="AL25" s="16"/>
      <c r="AM25" s="16"/>
      <c r="AN25" s="16"/>
      <c r="AO25" s="16"/>
      <c r="AP25" s="16"/>
      <c r="AQ25" s="16"/>
    </row>
    <row r="26">
      <c r="A26" s="14" t="s">
        <v>201</v>
      </c>
      <c r="B26" s="14"/>
      <c r="C26" s="14"/>
      <c r="D26" s="16"/>
      <c r="E26" s="16"/>
      <c r="F26" s="14"/>
      <c r="G26" s="14"/>
      <c r="H26" s="16"/>
      <c r="I26" s="14"/>
      <c r="J26" s="16"/>
      <c r="K26" s="16"/>
      <c r="L26" s="16"/>
      <c r="M26" s="16"/>
      <c r="N26" s="14" t="s">
        <v>164</v>
      </c>
      <c r="O26" s="14"/>
      <c r="P26" s="16"/>
      <c r="Q26" s="16"/>
      <c r="R26" s="14"/>
      <c r="S26" s="16"/>
      <c r="T26" s="10">
        <f t="shared" si="1"/>
        <v>1</v>
      </c>
      <c r="U26" s="16"/>
      <c r="V26" s="16"/>
      <c r="W26" s="16"/>
      <c r="X26" s="16"/>
      <c r="Y26" s="16"/>
      <c r="Z26" s="16"/>
      <c r="AA26" s="16"/>
      <c r="AB26" s="16"/>
      <c r="AC26" s="16"/>
      <c r="AD26" s="16"/>
      <c r="AE26" s="16"/>
      <c r="AF26" s="16"/>
      <c r="AG26" s="16"/>
      <c r="AH26" s="16"/>
      <c r="AI26" s="16"/>
      <c r="AJ26" s="16"/>
      <c r="AK26" s="16"/>
      <c r="AL26" s="16"/>
      <c r="AM26" s="16"/>
      <c r="AN26" s="16"/>
      <c r="AO26" s="16"/>
      <c r="AP26" s="16"/>
      <c r="AQ26" s="16"/>
    </row>
    <row r="27">
      <c r="A27" s="12" t="s">
        <v>27</v>
      </c>
      <c r="B27" s="12"/>
      <c r="C27" s="12"/>
      <c r="D27" s="12"/>
      <c r="E27" s="12"/>
      <c r="F27" s="12"/>
      <c r="G27" s="12"/>
      <c r="H27" s="12"/>
      <c r="I27" s="12"/>
      <c r="J27" s="12"/>
      <c r="K27" s="12"/>
      <c r="L27" s="12"/>
      <c r="M27" s="12"/>
      <c r="N27" s="12"/>
      <c r="O27" s="12"/>
      <c r="P27" s="12"/>
      <c r="Q27" s="12"/>
      <c r="R27" s="12"/>
      <c r="S27" s="12"/>
      <c r="T27" s="10">
        <f t="shared" si="1"/>
        <v>0</v>
      </c>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c r="A28" s="14" t="s">
        <v>202</v>
      </c>
      <c r="B28" s="14"/>
      <c r="C28" s="14"/>
      <c r="D28" s="16"/>
      <c r="E28" s="16"/>
      <c r="F28" s="14"/>
      <c r="G28" s="14"/>
      <c r="H28" s="16"/>
      <c r="I28" s="14"/>
      <c r="J28" s="16"/>
      <c r="K28" s="16"/>
      <c r="L28" s="16"/>
      <c r="M28" s="16"/>
      <c r="N28" s="16"/>
      <c r="O28" s="15" t="s">
        <v>96</v>
      </c>
      <c r="P28" s="16"/>
      <c r="Q28" s="16"/>
      <c r="R28" s="16"/>
      <c r="S28" s="16"/>
      <c r="T28" s="10">
        <f t="shared" si="1"/>
        <v>1</v>
      </c>
      <c r="U28" s="16"/>
      <c r="V28" s="16"/>
      <c r="W28" s="16"/>
      <c r="X28" s="16"/>
      <c r="Y28" s="16"/>
      <c r="Z28" s="16"/>
      <c r="AA28" s="16"/>
      <c r="AB28" s="16"/>
      <c r="AC28" s="16"/>
      <c r="AD28" s="16"/>
      <c r="AE28" s="16"/>
      <c r="AF28" s="16"/>
      <c r="AG28" s="16"/>
      <c r="AH28" s="16"/>
      <c r="AI28" s="16"/>
      <c r="AJ28" s="16"/>
      <c r="AK28" s="16"/>
      <c r="AL28" s="16"/>
      <c r="AM28" s="16"/>
      <c r="AN28" s="16"/>
      <c r="AO28" s="16"/>
      <c r="AP28" s="16"/>
      <c r="AQ28" s="16"/>
    </row>
    <row r="29">
      <c r="A29" s="14" t="s">
        <v>203</v>
      </c>
      <c r="B29" s="14"/>
      <c r="C29" s="14"/>
      <c r="D29" s="16"/>
      <c r="E29" s="16"/>
      <c r="F29" s="14"/>
      <c r="G29" s="14"/>
      <c r="H29" s="14" t="s">
        <v>204</v>
      </c>
      <c r="I29" s="14"/>
      <c r="J29" s="16"/>
      <c r="K29" s="16"/>
      <c r="L29" s="16"/>
      <c r="M29" s="16"/>
      <c r="N29" s="16"/>
      <c r="O29" s="15" t="s">
        <v>96</v>
      </c>
      <c r="P29" s="16"/>
      <c r="Q29" s="16"/>
      <c r="R29" s="16"/>
      <c r="S29" s="16"/>
      <c r="T29" s="10">
        <f t="shared" si="1"/>
        <v>1</v>
      </c>
      <c r="U29" s="16"/>
      <c r="V29" s="16"/>
      <c r="W29" s="16"/>
      <c r="X29" s="16"/>
      <c r="Y29" s="16"/>
      <c r="Z29" s="16"/>
      <c r="AA29" s="16"/>
      <c r="AB29" s="16"/>
      <c r="AC29" s="16"/>
      <c r="AD29" s="16"/>
      <c r="AE29" s="16"/>
      <c r="AF29" s="16"/>
      <c r="AG29" s="16"/>
      <c r="AH29" s="16"/>
      <c r="AI29" s="16"/>
      <c r="AJ29" s="16"/>
      <c r="AK29" s="16"/>
      <c r="AL29" s="16"/>
      <c r="AM29" s="16"/>
      <c r="AN29" s="16"/>
      <c r="AO29" s="16"/>
      <c r="AP29" s="16"/>
      <c r="AQ29" s="16"/>
    </row>
    <row r="30">
      <c r="A30" s="21" t="s">
        <v>205</v>
      </c>
      <c r="B30" s="21"/>
      <c r="C30" s="21"/>
      <c r="D30" s="21"/>
      <c r="E30" s="21"/>
      <c r="F30" s="21"/>
      <c r="G30" s="21"/>
      <c r="H30" s="21"/>
      <c r="I30" s="21"/>
      <c r="J30" s="21"/>
      <c r="K30" s="21"/>
      <c r="L30" s="21"/>
      <c r="M30" s="21"/>
      <c r="N30" s="21"/>
      <c r="O30" s="21"/>
      <c r="P30" s="21"/>
      <c r="Q30" s="21"/>
      <c r="R30" s="21"/>
      <c r="S30" s="21"/>
      <c r="T30" s="10">
        <f t="shared" si="1"/>
        <v>0</v>
      </c>
      <c r="U30" s="21"/>
      <c r="V30" s="21"/>
      <c r="W30" s="21"/>
      <c r="X30" s="21"/>
      <c r="Y30" s="21"/>
      <c r="Z30" s="21"/>
      <c r="AA30" s="21"/>
      <c r="AB30" s="21"/>
      <c r="AC30" s="21"/>
      <c r="AD30" s="21"/>
      <c r="AE30" s="21"/>
      <c r="AF30" s="21"/>
      <c r="AG30" s="21"/>
      <c r="AH30" s="21"/>
      <c r="AI30" s="21"/>
      <c r="AJ30" s="21"/>
      <c r="AK30" s="21"/>
      <c r="AL30" s="21"/>
      <c r="AM30" s="21"/>
      <c r="AN30" s="21"/>
      <c r="AO30" s="21"/>
      <c r="AP30" s="21"/>
      <c r="AQ30" s="21"/>
    </row>
    <row r="31">
      <c r="A31" s="22" t="s">
        <v>206</v>
      </c>
      <c r="B31" s="22"/>
      <c r="C31" s="22"/>
      <c r="D31" s="22"/>
      <c r="E31" s="22"/>
      <c r="F31" s="22"/>
      <c r="G31" s="22"/>
      <c r="H31" s="22"/>
      <c r="I31" s="22"/>
      <c r="J31" s="22"/>
      <c r="K31" s="22"/>
      <c r="L31" s="22"/>
      <c r="M31" s="22"/>
      <c r="N31" s="22"/>
      <c r="O31" s="22"/>
      <c r="P31" s="22"/>
      <c r="Q31" s="22"/>
      <c r="R31" s="22"/>
      <c r="S31" s="22"/>
      <c r="T31" s="10">
        <f t="shared" si="1"/>
        <v>0</v>
      </c>
      <c r="U31" s="22"/>
      <c r="V31" s="22"/>
      <c r="W31" s="22"/>
      <c r="X31" s="22"/>
      <c r="Y31" s="22"/>
      <c r="Z31" s="22"/>
      <c r="AA31" s="22"/>
      <c r="AB31" s="22"/>
      <c r="AC31" s="22"/>
      <c r="AD31" s="22"/>
      <c r="AE31" s="22"/>
      <c r="AF31" s="22"/>
      <c r="AG31" s="22"/>
      <c r="AH31" s="22"/>
      <c r="AI31" s="22"/>
      <c r="AJ31" s="22"/>
      <c r="AK31" s="22"/>
      <c r="AL31" s="22"/>
      <c r="AM31" s="22"/>
      <c r="AN31" s="22"/>
      <c r="AO31" s="22"/>
      <c r="AP31" s="22"/>
      <c r="AQ31" s="22"/>
    </row>
    <row r="32">
      <c r="A32" s="23" t="s">
        <v>207</v>
      </c>
      <c r="B32" s="23">
        <v>79.7</v>
      </c>
      <c r="C32" s="24" t="s">
        <v>66</v>
      </c>
      <c r="D32" s="25"/>
      <c r="E32" s="25"/>
      <c r="F32" s="23">
        <v>2018.0</v>
      </c>
      <c r="G32" s="23" t="s">
        <v>208</v>
      </c>
      <c r="H32" s="25"/>
      <c r="I32" s="24" t="s">
        <v>209</v>
      </c>
      <c r="J32" s="25"/>
      <c r="K32" s="24" t="s">
        <v>122</v>
      </c>
      <c r="L32" s="24" t="s">
        <v>193</v>
      </c>
      <c r="M32" s="23"/>
      <c r="N32" s="25"/>
      <c r="O32" s="24" t="s">
        <v>96</v>
      </c>
      <c r="P32" s="25"/>
      <c r="Q32" s="25"/>
      <c r="R32" s="23" t="s">
        <v>102</v>
      </c>
      <c r="S32" s="25"/>
      <c r="T32" s="10">
        <f t="shared" si="1"/>
        <v>5</v>
      </c>
      <c r="U32" s="25"/>
      <c r="V32" s="25"/>
      <c r="W32" s="25"/>
      <c r="X32" s="25"/>
      <c r="Y32" s="25"/>
      <c r="Z32" s="25"/>
      <c r="AA32" s="25"/>
      <c r="AB32" s="25"/>
      <c r="AC32" s="25"/>
      <c r="AD32" s="25"/>
      <c r="AE32" s="25"/>
      <c r="AF32" s="25"/>
      <c r="AG32" s="25"/>
      <c r="AH32" s="25"/>
      <c r="AI32" s="25"/>
      <c r="AJ32" s="25"/>
      <c r="AK32" s="25"/>
      <c r="AL32" s="25"/>
      <c r="AM32" s="25"/>
      <c r="AN32" s="25"/>
      <c r="AO32" s="25"/>
      <c r="AP32" s="25"/>
      <c r="AQ32" s="25"/>
    </row>
    <row r="33">
      <c r="A33" s="23" t="s">
        <v>210</v>
      </c>
      <c r="B33" s="23">
        <v>20.7</v>
      </c>
      <c r="C33" s="24" t="s">
        <v>211</v>
      </c>
      <c r="D33" s="25"/>
      <c r="E33" s="25"/>
      <c r="F33" s="23">
        <v>2015.0</v>
      </c>
      <c r="G33" s="23" t="s">
        <v>212</v>
      </c>
      <c r="H33" s="23" t="s">
        <v>213</v>
      </c>
      <c r="I33" s="24" t="s">
        <v>209</v>
      </c>
      <c r="J33" s="25"/>
      <c r="K33" s="24" t="s">
        <v>122</v>
      </c>
      <c r="L33" s="25"/>
      <c r="M33" s="24" t="s">
        <v>214</v>
      </c>
      <c r="N33" s="24" t="s">
        <v>211</v>
      </c>
      <c r="O33" s="24" t="s">
        <v>96</v>
      </c>
      <c r="P33" s="23" t="s">
        <v>215</v>
      </c>
      <c r="Q33" s="25"/>
      <c r="R33" s="23" t="s">
        <v>102</v>
      </c>
      <c r="S33" s="23" t="s">
        <v>216</v>
      </c>
      <c r="T33" s="10">
        <f t="shared" si="1"/>
        <v>8</v>
      </c>
      <c r="U33" s="25"/>
      <c r="V33" s="25"/>
      <c r="W33" s="25"/>
      <c r="X33" s="25"/>
      <c r="Y33" s="25"/>
      <c r="Z33" s="25"/>
      <c r="AA33" s="25"/>
      <c r="AB33" s="25"/>
      <c r="AC33" s="25"/>
      <c r="AD33" s="25"/>
      <c r="AE33" s="25"/>
      <c r="AF33" s="25"/>
      <c r="AG33" s="25"/>
      <c r="AH33" s="25"/>
      <c r="AI33" s="25"/>
      <c r="AJ33" s="25"/>
      <c r="AK33" s="25"/>
      <c r="AL33" s="25"/>
      <c r="AM33" s="25"/>
      <c r="AN33" s="25"/>
      <c r="AO33" s="25"/>
      <c r="AP33" s="25"/>
      <c r="AQ33" s="25"/>
    </row>
    <row r="34">
      <c r="A34" s="23" t="s">
        <v>217</v>
      </c>
      <c r="B34" s="23">
        <v>5.9</v>
      </c>
      <c r="C34" s="24" t="s">
        <v>218</v>
      </c>
      <c r="D34" s="25"/>
      <c r="E34" s="25"/>
      <c r="F34" s="23">
        <v>2016.0</v>
      </c>
      <c r="G34" s="23" t="s">
        <v>212</v>
      </c>
      <c r="H34" s="23" t="s">
        <v>219</v>
      </c>
      <c r="I34" s="24" t="s">
        <v>209</v>
      </c>
      <c r="J34" s="24" t="s">
        <v>220</v>
      </c>
      <c r="K34" s="24" t="s">
        <v>122</v>
      </c>
      <c r="L34" s="24" t="s">
        <v>193</v>
      </c>
      <c r="M34" s="24" t="s">
        <v>214</v>
      </c>
      <c r="N34" s="24" t="s">
        <v>218</v>
      </c>
      <c r="O34" s="24" t="s">
        <v>96</v>
      </c>
      <c r="P34" s="25"/>
      <c r="Q34" s="24" t="s">
        <v>221</v>
      </c>
      <c r="R34" s="23" t="s">
        <v>102</v>
      </c>
      <c r="S34" s="25"/>
      <c r="T34" s="10">
        <f t="shared" si="1"/>
        <v>9</v>
      </c>
      <c r="U34" s="25"/>
      <c r="V34" s="25"/>
      <c r="W34" s="25"/>
      <c r="X34" s="25"/>
      <c r="Y34" s="25"/>
      <c r="Z34" s="25"/>
      <c r="AA34" s="25"/>
      <c r="AB34" s="25"/>
      <c r="AC34" s="25"/>
      <c r="AD34" s="25"/>
      <c r="AE34" s="25"/>
      <c r="AF34" s="25"/>
      <c r="AG34" s="25"/>
      <c r="AH34" s="25"/>
      <c r="AI34" s="25"/>
      <c r="AJ34" s="25"/>
      <c r="AK34" s="25"/>
      <c r="AL34" s="25"/>
      <c r="AM34" s="25"/>
      <c r="AN34" s="25"/>
      <c r="AO34" s="25"/>
      <c r="AP34" s="25"/>
      <c r="AQ34" s="25"/>
    </row>
    <row r="35">
      <c r="A35" s="23" t="s">
        <v>222</v>
      </c>
      <c r="B35" s="23">
        <v>3.9</v>
      </c>
      <c r="C35" s="24" t="s">
        <v>66</v>
      </c>
      <c r="D35" s="25"/>
      <c r="E35" s="25"/>
      <c r="F35" s="23">
        <v>2015.0</v>
      </c>
      <c r="G35" s="23" t="s">
        <v>212</v>
      </c>
      <c r="H35" s="23" t="s">
        <v>223</v>
      </c>
      <c r="I35" s="24" t="s">
        <v>209</v>
      </c>
      <c r="J35" s="25"/>
      <c r="K35" s="24" t="s">
        <v>122</v>
      </c>
      <c r="L35" s="24" t="s">
        <v>193</v>
      </c>
      <c r="M35" s="24" t="s">
        <v>214</v>
      </c>
      <c r="N35" s="24" t="s">
        <v>224</v>
      </c>
      <c r="O35" s="24" t="s">
        <v>96</v>
      </c>
      <c r="P35" s="25"/>
      <c r="Q35" s="24" t="s">
        <v>221</v>
      </c>
      <c r="R35" s="25"/>
      <c r="S35" s="25"/>
      <c r="T35" s="10">
        <f t="shared" si="1"/>
        <v>7</v>
      </c>
      <c r="U35" s="25"/>
      <c r="V35" s="25"/>
      <c r="W35" s="25"/>
      <c r="X35" s="25"/>
      <c r="Y35" s="25"/>
      <c r="Z35" s="25"/>
      <c r="AA35" s="25"/>
      <c r="AB35" s="25"/>
      <c r="AC35" s="25"/>
      <c r="AD35" s="25"/>
      <c r="AE35" s="25"/>
      <c r="AF35" s="25"/>
      <c r="AG35" s="25"/>
      <c r="AH35" s="25"/>
      <c r="AI35" s="25"/>
      <c r="AJ35" s="25"/>
      <c r="AK35" s="25"/>
      <c r="AL35" s="25"/>
      <c r="AM35" s="25"/>
      <c r="AN35" s="25"/>
      <c r="AO35" s="25"/>
      <c r="AP35" s="25"/>
      <c r="AQ35" s="25"/>
    </row>
    <row r="36">
      <c r="A36" s="23" t="s">
        <v>225</v>
      </c>
      <c r="B36" s="23">
        <v>5.9</v>
      </c>
      <c r="C36" s="26" t="s">
        <v>226</v>
      </c>
      <c r="D36" s="25"/>
      <c r="E36" s="25"/>
      <c r="F36" s="23">
        <v>2014.0</v>
      </c>
      <c r="G36" s="23" t="s">
        <v>212</v>
      </c>
      <c r="H36" s="23" t="s">
        <v>227</v>
      </c>
      <c r="I36" s="24" t="s">
        <v>209</v>
      </c>
      <c r="J36" s="25"/>
      <c r="K36" s="24" t="s">
        <v>122</v>
      </c>
      <c r="L36" s="25"/>
      <c r="M36" s="24" t="s">
        <v>214</v>
      </c>
      <c r="N36" s="24" t="s">
        <v>164</v>
      </c>
      <c r="O36" s="24" t="s">
        <v>96</v>
      </c>
      <c r="P36" s="25"/>
      <c r="Q36" s="24" t="s">
        <v>221</v>
      </c>
      <c r="R36" s="25"/>
      <c r="S36" s="25"/>
      <c r="T36" s="10">
        <f t="shared" si="1"/>
        <v>6</v>
      </c>
      <c r="U36" s="25"/>
      <c r="V36" s="25"/>
      <c r="W36" s="25"/>
      <c r="X36" s="25"/>
      <c r="Y36" s="25"/>
      <c r="Z36" s="25"/>
      <c r="AA36" s="25"/>
      <c r="AB36" s="25"/>
      <c r="AC36" s="25"/>
      <c r="AD36" s="25"/>
      <c r="AE36" s="25"/>
      <c r="AF36" s="25"/>
      <c r="AG36" s="25"/>
      <c r="AH36" s="25"/>
      <c r="AI36" s="25"/>
      <c r="AJ36" s="25"/>
      <c r="AK36" s="25"/>
      <c r="AL36" s="25"/>
      <c r="AM36" s="25"/>
      <c r="AN36" s="25"/>
      <c r="AO36" s="25"/>
      <c r="AP36" s="25"/>
      <c r="AQ36" s="25"/>
    </row>
    <row r="37">
      <c r="A37" s="23" t="s">
        <v>228</v>
      </c>
      <c r="B37" s="23">
        <v>6.9</v>
      </c>
      <c r="C37" s="24" t="s">
        <v>66</v>
      </c>
      <c r="D37" s="25"/>
      <c r="E37" s="25"/>
      <c r="F37" s="23">
        <v>2015.0</v>
      </c>
      <c r="G37" s="23" t="s">
        <v>212</v>
      </c>
      <c r="H37" s="23" t="s">
        <v>229</v>
      </c>
      <c r="I37" s="24" t="s">
        <v>209</v>
      </c>
      <c r="J37" s="25"/>
      <c r="K37" s="24" t="s">
        <v>122</v>
      </c>
      <c r="L37" s="25"/>
      <c r="M37" s="25"/>
      <c r="N37" s="24" t="s">
        <v>164</v>
      </c>
      <c r="O37" s="24" t="s">
        <v>96</v>
      </c>
      <c r="P37" s="25"/>
      <c r="Q37" s="25"/>
      <c r="R37" s="25"/>
      <c r="S37" s="25"/>
      <c r="T37" s="10">
        <f t="shared" si="1"/>
        <v>4</v>
      </c>
      <c r="U37" s="25"/>
      <c r="V37" s="25"/>
      <c r="W37" s="25"/>
      <c r="X37" s="25"/>
      <c r="Y37" s="25"/>
      <c r="Z37" s="25"/>
      <c r="AA37" s="25"/>
      <c r="AB37" s="25"/>
      <c r="AC37" s="25"/>
      <c r="AD37" s="25"/>
      <c r="AE37" s="25"/>
      <c r="AF37" s="25"/>
      <c r="AG37" s="25"/>
      <c r="AH37" s="25"/>
      <c r="AI37" s="25"/>
      <c r="AJ37" s="25"/>
      <c r="AK37" s="25"/>
      <c r="AL37" s="25"/>
      <c r="AM37" s="25"/>
      <c r="AN37" s="25"/>
      <c r="AO37" s="25"/>
      <c r="AP37" s="25"/>
      <c r="AQ37" s="25"/>
    </row>
    <row r="38">
      <c r="A38" s="23" t="s">
        <v>230</v>
      </c>
      <c r="B38" s="23">
        <v>22.3</v>
      </c>
      <c r="C38" s="26" t="s">
        <v>231</v>
      </c>
      <c r="D38" s="25"/>
      <c r="E38" s="25"/>
      <c r="F38" s="23">
        <v>2015.0</v>
      </c>
      <c r="G38" s="23" t="s">
        <v>212</v>
      </c>
      <c r="H38" s="23" t="s">
        <v>232</v>
      </c>
      <c r="I38" s="24" t="s">
        <v>209</v>
      </c>
      <c r="J38" s="25"/>
      <c r="K38" s="24" t="s">
        <v>122</v>
      </c>
      <c r="L38" s="24" t="s">
        <v>193</v>
      </c>
      <c r="M38" s="23"/>
      <c r="N38" s="26" t="s">
        <v>231</v>
      </c>
      <c r="O38" s="24" t="s">
        <v>96</v>
      </c>
      <c r="P38" s="25"/>
      <c r="Q38" s="25"/>
      <c r="R38" s="25"/>
      <c r="S38" s="25"/>
      <c r="T38" s="10">
        <f t="shared" si="1"/>
        <v>5</v>
      </c>
      <c r="U38" s="25"/>
      <c r="V38" s="25"/>
      <c r="W38" s="25"/>
      <c r="X38" s="25"/>
      <c r="Y38" s="25"/>
      <c r="Z38" s="25"/>
      <c r="AA38" s="25"/>
      <c r="AB38" s="25"/>
      <c r="AC38" s="25"/>
      <c r="AD38" s="25"/>
      <c r="AE38" s="25"/>
      <c r="AF38" s="25"/>
      <c r="AG38" s="25"/>
      <c r="AH38" s="25"/>
      <c r="AI38" s="25"/>
      <c r="AJ38" s="25"/>
      <c r="AK38" s="25"/>
      <c r="AL38" s="25"/>
      <c r="AM38" s="25"/>
      <c r="AN38" s="25"/>
      <c r="AO38" s="25"/>
      <c r="AP38" s="25"/>
      <c r="AQ38" s="25"/>
    </row>
    <row r="39">
      <c r="A39" s="23" t="s">
        <v>233</v>
      </c>
      <c r="B39" s="23">
        <v>863.8</v>
      </c>
      <c r="C39" s="26" t="s">
        <v>234</v>
      </c>
      <c r="D39" s="25"/>
      <c r="E39" s="25"/>
      <c r="F39" s="23">
        <v>2017.0</v>
      </c>
      <c r="G39" s="23" t="s">
        <v>212</v>
      </c>
      <c r="H39" s="23" t="s">
        <v>235</v>
      </c>
      <c r="I39" s="24" t="s">
        <v>209</v>
      </c>
      <c r="J39" s="25"/>
      <c r="K39" s="24" t="s">
        <v>122</v>
      </c>
      <c r="L39" s="24" t="s">
        <v>193</v>
      </c>
      <c r="M39" s="23"/>
      <c r="N39" s="24" t="s">
        <v>164</v>
      </c>
      <c r="O39" s="24" t="s">
        <v>96</v>
      </c>
      <c r="P39" s="25"/>
      <c r="Q39" s="25"/>
      <c r="R39" s="23" t="s">
        <v>102</v>
      </c>
      <c r="S39" s="25"/>
      <c r="T39" s="10">
        <f t="shared" si="1"/>
        <v>6</v>
      </c>
      <c r="U39" s="25"/>
      <c r="V39" s="25"/>
      <c r="W39" s="25"/>
      <c r="X39" s="25"/>
      <c r="Y39" s="25"/>
      <c r="Z39" s="25"/>
      <c r="AA39" s="25"/>
      <c r="AB39" s="25"/>
      <c r="AC39" s="25"/>
      <c r="AD39" s="25"/>
      <c r="AE39" s="25"/>
      <c r="AF39" s="25"/>
      <c r="AG39" s="25"/>
      <c r="AH39" s="25"/>
      <c r="AI39" s="25"/>
      <c r="AJ39" s="25"/>
      <c r="AK39" s="25"/>
      <c r="AL39" s="25"/>
      <c r="AM39" s="25"/>
      <c r="AN39" s="25"/>
      <c r="AO39" s="25"/>
      <c r="AP39" s="25"/>
      <c r="AQ39" s="25"/>
    </row>
    <row r="40" ht="3.75" customHeight="1">
      <c r="A40" s="27"/>
      <c r="B40" s="28"/>
      <c r="C40" s="29"/>
      <c r="D40" s="29"/>
      <c r="E40" s="29"/>
      <c r="F40" s="29"/>
      <c r="G40" s="29"/>
      <c r="H40" s="27"/>
      <c r="I40" s="29"/>
      <c r="J40" s="29"/>
      <c r="K40" s="29"/>
      <c r="L40" s="29"/>
      <c r="M40" s="29"/>
      <c r="N40" s="29"/>
      <c r="O40" s="29"/>
      <c r="P40" s="29"/>
      <c r="Q40" s="29"/>
      <c r="R40" s="29"/>
      <c r="S40" s="29"/>
      <c r="T40" s="10">
        <f t="shared" si="1"/>
        <v>0</v>
      </c>
      <c r="U40" s="29"/>
      <c r="V40" s="29"/>
      <c r="W40" s="29"/>
      <c r="X40" s="29"/>
      <c r="Y40" s="29"/>
      <c r="Z40" s="29"/>
      <c r="AA40" s="29"/>
      <c r="AB40" s="29"/>
      <c r="AC40" s="29"/>
      <c r="AD40" s="29"/>
      <c r="AE40" s="29"/>
      <c r="AF40" s="29"/>
      <c r="AG40" s="29"/>
      <c r="AH40" s="29"/>
      <c r="AI40" s="29"/>
      <c r="AJ40" s="29"/>
      <c r="AK40" s="29"/>
      <c r="AL40" s="29"/>
      <c r="AM40" s="29"/>
      <c r="AN40" s="29"/>
      <c r="AO40" s="29"/>
      <c r="AP40" s="29"/>
      <c r="AQ40" s="29"/>
    </row>
    <row r="41">
      <c r="A41" s="23" t="s">
        <v>236</v>
      </c>
      <c r="B41" s="23"/>
      <c r="C41" s="23"/>
      <c r="D41" s="25"/>
      <c r="E41" s="25"/>
      <c r="F41" s="23"/>
      <c r="G41" s="23"/>
      <c r="H41" s="25"/>
      <c r="I41" s="23"/>
      <c r="J41" s="25"/>
      <c r="K41" s="23"/>
      <c r="L41" s="24" t="s">
        <v>193</v>
      </c>
      <c r="M41" s="23"/>
      <c r="N41" s="25"/>
      <c r="O41" s="23"/>
      <c r="P41" s="25"/>
      <c r="Q41" s="25"/>
      <c r="R41" s="23"/>
      <c r="S41" s="25"/>
      <c r="T41" s="10">
        <f t="shared" si="1"/>
        <v>1</v>
      </c>
      <c r="U41" s="25"/>
      <c r="V41" s="25"/>
      <c r="W41" s="25"/>
      <c r="X41" s="25"/>
      <c r="Y41" s="25"/>
      <c r="Z41" s="25"/>
      <c r="AA41" s="25"/>
      <c r="AB41" s="25"/>
      <c r="AC41" s="25"/>
      <c r="AD41" s="25"/>
      <c r="AE41" s="25"/>
      <c r="AF41" s="25"/>
      <c r="AG41" s="25"/>
      <c r="AH41" s="25"/>
      <c r="AI41" s="25"/>
      <c r="AJ41" s="25"/>
      <c r="AK41" s="25"/>
      <c r="AL41" s="25"/>
      <c r="AM41" s="25"/>
      <c r="AN41" s="25"/>
      <c r="AO41" s="25"/>
      <c r="AP41" s="25"/>
      <c r="AQ41" s="25"/>
    </row>
    <row r="42">
      <c r="A42" s="22" t="s">
        <v>30</v>
      </c>
      <c r="B42" s="22"/>
      <c r="C42" s="22"/>
      <c r="D42" s="22"/>
      <c r="E42" s="22"/>
      <c r="F42" s="22"/>
      <c r="G42" s="22"/>
      <c r="H42" s="22"/>
      <c r="I42" s="22"/>
      <c r="J42" s="22"/>
      <c r="K42" s="22"/>
      <c r="L42" s="22"/>
      <c r="M42" s="22"/>
      <c r="N42" s="22"/>
      <c r="O42" s="22"/>
      <c r="P42" s="22"/>
      <c r="Q42" s="22"/>
      <c r="R42" s="22"/>
      <c r="S42" s="22"/>
      <c r="T42" s="10">
        <f t="shared" si="1"/>
        <v>0</v>
      </c>
      <c r="U42" s="22"/>
      <c r="V42" s="22"/>
      <c r="W42" s="22"/>
      <c r="X42" s="22"/>
      <c r="Y42" s="22"/>
      <c r="Z42" s="22"/>
      <c r="AA42" s="22"/>
      <c r="AB42" s="22"/>
      <c r="AC42" s="22"/>
      <c r="AD42" s="22"/>
      <c r="AE42" s="22"/>
      <c r="AF42" s="22"/>
      <c r="AG42" s="22"/>
      <c r="AH42" s="22"/>
      <c r="AI42" s="22"/>
      <c r="AJ42" s="22"/>
      <c r="AK42" s="22"/>
      <c r="AL42" s="22"/>
      <c r="AM42" s="22"/>
      <c r="AN42" s="22"/>
      <c r="AO42" s="22"/>
      <c r="AP42" s="22"/>
      <c r="AQ42" s="22"/>
    </row>
    <row r="43">
      <c r="A43" s="23" t="s">
        <v>237</v>
      </c>
      <c r="B43" s="23">
        <v>2.8</v>
      </c>
      <c r="C43" s="26" t="s">
        <v>238</v>
      </c>
      <c r="D43" s="25"/>
      <c r="E43" s="25"/>
      <c r="F43" s="23">
        <v>2017.0</v>
      </c>
      <c r="G43" s="23" t="s">
        <v>239</v>
      </c>
      <c r="H43" s="23" t="s">
        <v>240</v>
      </c>
      <c r="I43" s="24" t="s">
        <v>209</v>
      </c>
      <c r="J43" s="25"/>
      <c r="K43" s="24" t="s">
        <v>122</v>
      </c>
      <c r="L43" s="25"/>
      <c r="M43" s="25"/>
      <c r="N43" s="25"/>
      <c r="O43" s="24" t="s">
        <v>96</v>
      </c>
      <c r="P43" s="25"/>
      <c r="Q43" s="25"/>
      <c r="R43" s="25"/>
      <c r="S43" s="25"/>
      <c r="T43" s="10">
        <f t="shared" si="1"/>
        <v>3</v>
      </c>
      <c r="U43" s="25"/>
      <c r="V43" s="25"/>
      <c r="W43" s="25"/>
      <c r="X43" s="25"/>
      <c r="Y43" s="25"/>
      <c r="Z43" s="25"/>
      <c r="AA43" s="25"/>
      <c r="AB43" s="25"/>
      <c r="AC43" s="25"/>
      <c r="AD43" s="25"/>
      <c r="AE43" s="25"/>
      <c r="AF43" s="25"/>
      <c r="AG43" s="25"/>
      <c r="AH43" s="25"/>
      <c r="AI43" s="25"/>
      <c r="AJ43" s="25"/>
      <c r="AK43" s="25"/>
      <c r="AL43" s="25"/>
      <c r="AM43" s="25"/>
      <c r="AN43" s="25"/>
      <c r="AO43" s="25"/>
      <c r="AP43" s="25"/>
      <c r="AQ43" s="25"/>
    </row>
    <row r="44">
      <c r="A44" s="23" t="s">
        <v>241</v>
      </c>
      <c r="B44" s="30"/>
      <c r="C44" s="25"/>
      <c r="D44" s="25"/>
      <c r="E44" s="25"/>
      <c r="F44" s="25"/>
      <c r="G44" s="25"/>
      <c r="H44" s="25"/>
      <c r="I44" s="24" t="s">
        <v>209</v>
      </c>
      <c r="J44" s="25"/>
      <c r="K44" s="24" t="s">
        <v>122</v>
      </c>
      <c r="L44" s="25"/>
      <c r="M44" s="24" t="s">
        <v>214</v>
      </c>
      <c r="N44" s="25"/>
      <c r="O44" s="25"/>
      <c r="P44" s="25"/>
      <c r="Q44" s="24" t="s">
        <v>242</v>
      </c>
      <c r="R44" s="23" t="s">
        <v>102</v>
      </c>
      <c r="S44" s="25"/>
      <c r="T44" s="10">
        <f t="shared" si="1"/>
        <v>5</v>
      </c>
      <c r="U44" s="25"/>
      <c r="V44" s="25"/>
      <c r="W44" s="25"/>
      <c r="X44" s="25"/>
      <c r="Y44" s="25"/>
      <c r="Z44" s="25"/>
      <c r="AA44" s="25"/>
      <c r="AB44" s="25"/>
      <c r="AC44" s="25"/>
      <c r="AD44" s="25"/>
      <c r="AE44" s="25"/>
      <c r="AF44" s="25"/>
      <c r="AG44" s="25"/>
      <c r="AH44" s="25"/>
      <c r="AI44" s="25"/>
      <c r="AJ44" s="25"/>
      <c r="AK44" s="25"/>
      <c r="AL44" s="25"/>
      <c r="AM44" s="25"/>
      <c r="AN44" s="25"/>
      <c r="AO44" s="25"/>
      <c r="AP44" s="25"/>
      <c r="AQ44" s="25"/>
    </row>
    <row r="45">
      <c r="A45" s="23" t="s">
        <v>243</v>
      </c>
      <c r="B45" s="23">
        <v>2053.0</v>
      </c>
      <c r="C45" s="24" t="s">
        <v>66</v>
      </c>
      <c r="D45" s="25"/>
      <c r="E45" s="25"/>
      <c r="F45" s="23">
        <v>2016.0</v>
      </c>
      <c r="G45" s="23" t="s">
        <v>239</v>
      </c>
      <c r="H45" s="25"/>
      <c r="I45" s="24" t="s">
        <v>209</v>
      </c>
      <c r="J45" s="25"/>
      <c r="K45" s="24" t="s">
        <v>122</v>
      </c>
      <c r="L45" s="25"/>
      <c r="M45" s="24" t="s">
        <v>214</v>
      </c>
      <c r="N45" s="25"/>
      <c r="O45" s="25"/>
      <c r="P45" s="25"/>
      <c r="Q45" s="25"/>
      <c r="R45" s="23"/>
      <c r="S45" s="25"/>
      <c r="T45" s="10">
        <f t="shared" si="1"/>
        <v>3</v>
      </c>
      <c r="U45" s="25"/>
      <c r="V45" s="25"/>
      <c r="W45" s="25"/>
      <c r="X45" s="25"/>
      <c r="Y45" s="25"/>
      <c r="Z45" s="25"/>
      <c r="AA45" s="25"/>
      <c r="AB45" s="25"/>
      <c r="AC45" s="25"/>
      <c r="AD45" s="25"/>
      <c r="AE45" s="25"/>
      <c r="AF45" s="25"/>
      <c r="AG45" s="25"/>
      <c r="AH45" s="25"/>
      <c r="AI45" s="25"/>
      <c r="AJ45" s="25"/>
      <c r="AK45" s="25"/>
      <c r="AL45" s="25"/>
      <c r="AM45" s="25"/>
      <c r="AN45" s="25"/>
      <c r="AO45" s="25"/>
      <c r="AP45" s="25"/>
      <c r="AQ45" s="25"/>
    </row>
    <row r="46">
      <c r="A46" s="23" t="s">
        <v>244</v>
      </c>
      <c r="B46" s="30"/>
      <c r="C46" s="25"/>
      <c r="D46" s="25"/>
      <c r="E46" s="25"/>
      <c r="F46" s="25"/>
      <c r="G46" s="25"/>
      <c r="H46" s="23" t="s">
        <v>245</v>
      </c>
      <c r="I46" s="24" t="s">
        <v>209</v>
      </c>
      <c r="J46" s="25"/>
      <c r="K46" s="24" t="s">
        <v>122</v>
      </c>
      <c r="L46" s="25"/>
      <c r="M46" s="25"/>
      <c r="N46" s="25"/>
      <c r="O46" s="24" t="s">
        <v>96</v>
      </c>
      <c r="P46" s="25"/>
      <c r="Q46" s="25"/>
      <c r="R46" s="25"/>
      <c r="S46" s="25"/>
      <c r="T46" s="10">
        <f t="shared" si="1"/>
        <v>3</v>
      </c>
      <c r="U46" s="25"/>
      <c r="V46" s="25"/>
      <c r="W46" s="25"/>
      <c r="X46" s="25"/>
      <c r="Y46" s="25"/>
      <c r="Z46" s="25"/>
      <c r="AA46" s="25"/>
      <c r="AB46" s="25"/>
      <c r="AC46" s="25"/>
      <c r="AD46" s="25"/>
      <c r="AE46" s="25"/>
      <c r="AF46" s="25"/>
      <c r="AG46" s="25"/>
      <c r="AH46" s="25"/>
      <c r="AI46" s="25"/>
      <c r="AJ46" s="25"/>
      <c r="AK46" s="25"/>
      <c r="AL46" s="25"/>
      <c r="AM46" s="25"/>
      <c r="AN46" s="25"/>
      <c r="AO46" s="25"/>
      <c r="AP46" s="25"/>
      <c r="AQ46" s="25"/>
    </row>
    <row r="47">
      <c r="A47" s="23" t="s">
        <v>246</v>
      </c>
      <c r="B47" s="30"/>
      <c r="C47" s="25"/>
      <c r="D47" s="25"/>
      <c r="E47" s="25"/>
      <c r="F47" s="25"/>
      <c r="G47" s="25"/>
      <c r="H47" s="23" t="s">
        <v>247</v>
      </c>
      <c r="I47" s="24" t="s">
        <v>209</v>
      </c>
      <c r="J47" s="25"/>
      <c r="K47" s="24" t="s">
        <v>122</v>
      </c>
      <c r="L47" s="25"/>
      <c r="M47" s="25"/>
      <c r="N47" s="25"/>
      <c r="O47" s="25"/>
      <c r="P47" s="25"/>
      <c r="Q47" s="24" t="s">
        <v>221</v>
      </c>
      <c r="R47" s="25"/>
      <c r="S47" s="23" t="s">
        <v>248</v>
      </c>
      <c r="T47" s="10">
        <f t="shared" si="1"/>
        <v>4</v>
      </c>
      <c r="U47" s="25"/>
      <c r="V47" s="25"/>
      <c r="W47" s="25"/>
      <c r="X47" s="25"/>
      <c r="Y47" s="25"/>
      <c r="Z47" s="25"/>
      <c r="AA47" s="25"/>
      <c r="AB47" s="25"/>
      <c r="AC47" s="25"/>
      <c r="AD47" s="25"/>
      <c r="AE47" s="25"/>
      <c r="AF47" s="25"/>
      <c r="AG47" s="25"/>
      <c r="AH47" s="25"/>
      <c r="AI47" s="25"/>
      <c r="AJ47" s="25"/>
      <c r="AK47" s="25"/>
      <c r="AL47" s="25"/>
      <c r="AM47" s="25"/>
      <c r="AN47" s="25"/>
      <c r="AO47" s="25"/>
      <c r="AP47" s="25"/>
      <c r="AQ47" s="25"/>
    </row>
    <row r="48">
      <c r="A48" s="23" t="s">
        <v>249</v>
      </c>
      <c r="B48" s="30"/>
      <c r="C48" s="25"/>
      <c r="D48" s="25"/>
      <c r="E48" s="25"/>
      <c r="F48" s="25"/>
      <c r="G48" s="25"/>
      <c r="H48" s="23" t="s">
        <v>250</v>
      </c>
      <c r="I48" s="24" t="s">
        <v>209</v>
      </c>
      <c r="J48" s="25"/>
      <c r="K48" s="24" t="s">
        <v>122</v>
      </c>
      <c r="L48" s="25"/>
      <c r="M48" s="25"/>
      <c r="N48" s="25"/>
      <c r="O48" s="25"/>
      <c r="P48" s="25"/>
      <c r="Q48" s="25"/>
      <c r="R48" s="25"/>
      <c r="S48" s="23" t="s">
        <v>248</v>
      </c>
      <c r="T48" s="10">
        <f t="shared" si="1"/>
        <v>3</v>
      </c>
      <c r="U48" s="25"/>
      <c r="V48" s="25"/>
      <c r="W48" s="25"/>
      <c r="X48" s="25"/>
      <c r="Y48" s="25"/>
      <c r="Z48" s="25"/>
      <c r="AA48" s="25"/>
      <c r="AB48" s="25"/>
      <c r="AC48" s="25"/>
      <c r="AD48" s="25"/>
      <c r="AE48" s="25"/>
      <c r="AF48" s="25"/>
      <c r="AG48" s="25"/>
      <c r="AH48" s="25"/>
      <c r="AI48" s="25"/>
      <c r="AJ48" s="25"/>
      <c r="AK48" s="25"/>
      <c r="AL48" s="25"/>
      <c r="AM48" s="25"/>
      <c r="AN48" s="25"/>
      <c r="AO48" s="25"/>
      <c r="AP48" s="25"/>
      <c r="AQ48" s="25"/>
    </row>
    <row r="49">
      <c r="A49" s="23" t="s">
        <v>251</v>
      </c>
      <c r="B49" s="30"/>
      <c r="C49" s="25"/>
      <c r="D49" s="25"/>
      <c r="E49" s="25"/>
      <c r="F49" s="25"/>
      <c r="G49" s="25"/>
      <c r="H49" s="23" t="s">
        <v>252</v>
      </c>
      <c r="I49" s="24" t="s">
        <v>209</v>
      </c>
      <c r="J49" s="25"/>
      <c r="K49" s="24" t="s">
        <v>122</v>
      </c>
      <c r="L49" s="25"/>
      <c r="M49" s="25"/>
      <c r="N49" s="25"/>
      <c r="O49" s="25"/>
      <c r="P49" s="25"/>
      <c r="Q49" s="25"/>
      <c r="R49" s="25"/>
      <c r="S49" s="25"/>
      <c r="T49" s="10">
        <f t="shared" si="1"/>
        <v>2</v>
      </c>
      <c r="U49" s="25"/>
      <c r="V49" s="25"/>
      <c r="W49" s="25"/>
      <c r="X49" s="25"/>
      <c r="Y49" s="25"/>
      <c r="Z49" s="25"/>
      <c r="AA49" s="25"/>
      <c r="AB49" s="25"/>
      <c r="AC49" s="25"/>
      <c r="AD49" s="25"/>
      <c r="AE49" s="25"/>
      <c r="AF49" s="25"/>
      <c r="AG49" s="25"/>
      <c r="AH49" s="25"/>
      <c r="AI49" s="25"/>
      <c r="AJ49" s="25"/>
      <c r="AK49" s="25"/>
      <c r="AL49" s="25"/>
      <c r="AM49" s="25"/>
      <c r="AN49" s="25"/>
      <c r="AO49" s="25"/>
      <c r="AP49" s="25"/>
      <c r="AQ49" s="25"/>
    </row>
    <row r="50">
      <c r="A50" s="23" t="s">
        <v>253</v>
      </c>
      <c r="B50" s="30"/>
      <c r="C50" s="25"/>
      <c r="D50" s="25"/>
      <c r="E50" s="25"/>
      <c r="F50" s="25"/>
      <c r="G50" s="23" t="s">
        <v>254</v>
      </c>
      <c r="H50" s="23" t="s">
        <v>255</v>
      </c>
      <c r="I50" s="24" t="s">
        <v>209</v>
      </c>
      <c r="J50" s="31" t="s">
        <v>256</v>
      </c>
      <c r="K50" s="24" t="s">
        <v>122</v>
      </c>
      <c r="L50" s="25"/>
      <c r="M50" s="24" t="s">
        <v>214</v>
      </c>
      <c r="N50" s="31" t="s">
        <v>164</v>
      </c>
      <c r="O50" s="25"/>
      <c r="P50" s="23" t="s">
        <v>257</v>
      </c>
      <c r="Q50" s="24" t="s">
        <v>221</v>
      </c>
      <c r="R50" s="23" t="s">
        <v>102</v>
      </c>
      <c r="S50" s="23" t="s">
        <v>258</v>
      </c>
      <c r="T50" s="10">
        <f t="shared" si="1"/>
        <v>9</v>
      </c>
      <c r="U50" s="25"/>
      <c r="V50" s="25"/>
      <c r="W50" s="25"/>
      <c r="X50" s="25"/>
      <c r="Y50" s="25"/>
      <c r="Z50" s="25"/>
      <c r="AA50" s="25"/>
      <c r="AB50" s="25"/>
      <c r="AC50" s="25"/>
      <c r="AD50" s="25"/>
      <c r="AE50" s="25"/>
      <c r="AF50" s="25"/>
      <c r="AG50" s="25"/>
      <c r="AH50" s="25"/>
      <c r="AI50" s="25"/>
      <c r="AJ50" s="25"/>
      <c r="AK50" s="25"/>
      <c r="AL50" s="25"/>
      <c r="AM50" s="25"/>
      <c r="AN50" s="25"/>
      <c r="AO50" s="25"/>
      <c r="AP50" s="25"/>
      <c r="AQ50" s="25"/>
    </row>
    <row r="51">
      <c r="A51" s="23" t="s">
        <v>259</v>
      </c>
      <c r="B51" s="30"/>
      <c r="C51" s="25"/>
      <c r="D51" s="25"/>
      <c r="E51" s="25"/>
      <c r="F51" s="25"/>
      <c r="G51" s="25"/>
      <c r="H51" s="23" t="s">
        <v>260</v>
      </c>
      <c r="I51" s="24" t="s">
        <v>209</v>
      </c>
      <c r="J51" s="25"/>
      <c r="K51" s="24" t="s">
        <v>122</v>
      </c>
      <c r="L51" s="25"/>
      <c r="M51" s="25"/>
      <c r="N51" s="25"/>
      <c r="O51" s="24" t="s">
        <v>96</v>
      </c>
      <c r="P51" s="25"/>
      <c r="Q51" s="23" t="s">
        <v>261</v>
      </c>
      <c r="R51" s="23" t="s">
        <v>102</v>
      </c>
      <c r="S51" s="23" t="s">
        <v>262</v>
      </c>
      <c r="T51" s="10">
        <f t="shared" si="1"/>
        <v>6</v>
      </c>
      <c r="U51" s="25"/>
      <c r="V51" s="25"/>
      <c r="W51" s="25"/>
      <c r="X51" s="25"/>
      <c r="Y51" s="25"/>
      <c r="Z51" s="25"/>
      <c r="AA51" s="25"/>
      <c r="AB51" s="25"/>
      <c r="AC51" s="25"/>
      <c r="AD51" s="25"/>
      <c r="AE51" s="25"/>
      <c r="AF51" s="25"/>
      <c r="AG51" s="25"/>
      <c r="AH51" s="25"/>
      <c r="AI51" s="25"/>
      <c r="AJ51" s="25"/>
      <c r="AK51" s="25"/>
      <c r="AL51" s="25"/>
      <c r="AM51" s="25"/>
      <c r="AN51" s="25"/>
      <c r="AO51" s="25"/>
      <c r="AP51" s="25"/>
      <c r="AQ51" s="25"/>
    </row>
    <row r="52">
      <c r="A52" s="23" t="s">
        <v>263</v>
      </c>
      <c r="B52" s="30"/>
      <c r="C52" s="25"/>
      <c r="D52" s="25"/>
      <c r="E52" s="25"/>
      <c r="F52" s="25"/>
      <c r="G52" s="25"/>
      <c r="H52" s="23" t="s">
        <v>264</v>
      </c>
      <c r="I52" s="24" t="s">
        <v>209</v>
      </c>
      <c r="J52" s="25"/>
      <c r="K52" s="24" t="s">
        <v>122</v>
      </c>
      <c r="L52" s="25"/>
      <c r="M52" s="25"/>
      <c r="N52" s="25"/>
      <c r="O52" s="25"/>
      <c r="P52" s="25"/>
      <c r="Q52" s="25"/>
      <c r="R52" s="25"/>
      <c r="S52" s="25"/>
      <c r="T52" s="10">
        <f t="shared" si="1"/>
        <v>2</v>
      </c>
      <c r="U52" s="25"/>
      <c r="V52" s="25"/>
      <c r="W52" s="25"/>
      <c r="X52" s="25"/>
      <c r="Y52" s="25"/>
      <c r="Z52" s="25"/>
      <c r="AA52" s="25"/>
      <c r="AB52" s="25"/>
      <c r="AC52" s="25"/>
      <c r="AD52" s="25"/>
      <c r="AE52" s="25"/>
      <c r="AF52" s="25"/>
      <c r="AG52" s="25"/>
      <c r="AH52" s="25"/>
      <c r="AI52" s="25"/>
      <c r="AJ52" s="25"/>
      <c r="AK52" s="25"/>
      <c r="AL52" s="25"/>
      <c r="AM52" s="25"/>
      <c r="AN52" s="25"/>
      <c r="AO52" s="25"/>
      <c r="AP52" s="25"/>
      <c r="AQ52" s="25"/>
    </row>
    <row r="53">
      <c r="A53" s="23" t="s">
        <v>265</v>
      </c>
      <c r="B53" s="30"/>
      <c r="C53" s="25"/>
      <c r="D53" s="25"/>
      <c r="E53" s="25"/>
      <c r="F53" s="25"/>
      <c r="G53" s="25"/>
      <c r="H53" s="23" t="s">
        <v>266</v>
      </c>
      <c r="I53" s="24" t="s">
        <v>209</v>
      </c>
      <c r="J53" s="25"/>
      <c r="K53" s="24" t="s">
        <v>122</v>
      </c>
      <c r="L53" s="25"/>
      <c r="M53" s="25"/>
      <c r="N53" s="24" t="s">
        <v>164</v>
      </c>
      <c r="O53" s="25"/>
      <c r="P53" s="25"/>
      <c r="Q53" s="24" t="s">
        <v>221</v>
      </c>
      <c r="R53" s="23" t="s">
        <v>102</v>
      </c>
      <c r="S53" s="25"/>
      <c r="T53" s="10">
        <f t="shared" si="1"/>
        <v>5</v>
      </c>
      <c r="U53" s="25"/>
      <c r="V53" s="25"/>
      <c r="W53" s="25"/>
      <c r="X53" s="25"/>
      <c r="Y53" s="25"/>
      <c r="Z53" s="25"/>
      <c r="AA53" s="25"/>
      <c r="AB53" s="25"/>
      <c r="AC53" s="25"/>
      <c r="AD53" s="25"/>
      <c r="AE53" s="25"/>
      <c r="AF53" s="25"/>
      <c r="AG53" s="25"/>
      <c r="AH53" s="25"/>
      <c r="AI53" s="25"/>
      <c r="AJ53" s="25"/>
      <c r="AK53" s="25"/>
      <c r="AL53" s="25"/>
      <c r="AM53" s="25"/>
      <c r="AN53" s="25"/>
      <c r="AO53" s="25"/>
      <c r="AP53" s="25"/>
      <c r="AQ53" s="25"/>
    </row>
    <row r="54" ht="3.75" customHeight="1">
      <c r="A54" s="27"/>
      <c r="B54" s="28"/>
      <c r="C54" s="29"/>
      <c r="D54" s="29"/>
      <c r="E54" s="29"/>
      <c r="F54" s="29"/>
      <c r="G54" s="29"/>
      <c r="H54" s="27"/>
      <c r="I54" s="29"/>
      <c r="J54" s="29"/>
      <c r="K54" s="29"/>
      <c r="L54" s="29"/>
      <c r="M54" s="29"/>
      <c r="N54" s="29"/>
      <c r="O54" s="29"/>
      <c r="P54" s="29"/>
      <c r="Q54" s="29"/>
      <c r="R54" s="29"/>
      <c r="S54" s="29"/>
      <c r="T54" s="10">
        <f t="shared" si="1"/>
        <v>0</v>
      </c>
      <c r="U54" s="29"/>
      <c r="V54" s="29"/>
      <c r="W54" s="29"/>
      <c r="X54" s="29"/>
      <c r="Y54" s="29"/>
      <c r="Z54" s="29"/>
      <c r="AA54" s="29"/>
      <c r="AB54" s="29"/>
      <c r="AC54" s="29"/>
      <c r="AD54" s="29"/>
      <c r="AE54" s="29"/>
      <c r="AF54" s="29"/>
      <c r="AG54" s="29"/>
      <c r="AH54" s="29"/>
      <c r="AI54" s="29"/>
      <c r="AJ54" s="29"/>
      <c r="AK54" s="29"/>
      <c r="AL54" s="29"/>
      <c r="AM54" s="29"/>
      <c r="AN54" s="29"/>
      <c r="AO54" s="29"/>
      <c r="AP54" s="29"/>
      <c r="AQ54" s="29"/>
    </row>
    <row r="55">
      <c r="A55" s="23" t="s">
        <v>267</v>
      </c>
      <c r="B55" s="23"/>
      <c r="C55" s="32"/>
      <c r="D55" s="25"/>
      <c r="E55" s="25"/>
      <c r="F55" s="23"/>
      <c r="G55" s="23"/>
      <c r="H55" s="23"/>
      <c r="I55" s="25"/>
      <c r="J55" s="25"/>
      <c r="K55" s="24" t="s">
        <v>122</v>
      </c>
      <c r="L55" s="25"/>
      <c r="M55" s="25"/>
      <c r="N55" s="24" t="s">
        <v>164</v>
      </c>
      <c r="O55" s="25"/>
      <c r="P55" s="24" t="s">
        <v>268</v>
      </c>
      <c r="Q55" s="24" t="s">
        <v>242</v>
      </c>
      <c r="R55" s="23" t="s">
        <v>102</v>
      </c>
      <c r="S55" s="25"/>
      <c r="T55" s="10">
        <f t="shared" si="1"/>
        <v>5</v>
      </c>
      <c r="U55" s="25"/>
      <c r="V55" s="25"/>
      <c r="W55" s="25"/>
      <c r="X55" s="25"/>
      <c r="Y55" s="25"/>
      <c r="Z55" s="25"/>
      <c r="AA55" s="25"/>
      <c r="AB55" s="25"/>
      <c r="AC55" s="25"/>
      <c r="AD55" s="25"/>
      <c r="AE55" s="25"/>
      <c r="AF55" s="25"/>
      <c r="AG55" s="25"/>
      <c r="AH55" s="25"/>
      <c r="AI55" s="25"/>
      <c r="AJ55" s="25"/>
      <c r="AK55" s="25"/>
      <c r="AL55" s="25"/>
      <c r="AM55" s="25"/>
      <c r="AN55" s="25"/>
      <c r="AO55" s="25"/>
      <c r="AP55" s="25"/>
      <c r="AQ55" s="25"/>
    </row>
    <row r="56">
      <c r="A56" s="23" t="s">
        <v>269</v>
      </c>
      <c r="B56" s="23"/>
      <c r="C56" s="32"/>
      <c r="D56" s="25"/>
      <c r="E56" s="25"/>
      <c r="F56" s="23"/>
      <c r="G56" s="23"/>
      <c r="H56" s="23" t="s">
        <v>270</v>
      </c>
      <c r="I56" s="25"/>
      <c r="J56" s="25"/>
      <c r="K56" s="24" t="s">
        <v>122</v>
      </c>
      <c r="L56" s="23"/>
      <c r="M56" s="24" t="s">
        <v>214</v>
      </c>
      <c r="N56" s="24" t="s">
        <v>164</v>
      </c>
      <c r="O56" s="25"/>
      <c r="P56" s="24" t="s">
        <v>268</v>
      </c>
      <c r="Q56" s="25"/>
      <c r="R56" s="23" t="s">
        <v>102</v>
      </c>
      <c r="S56" s="25"/>
      <c r="T56" s="10">
        <f t="shared" si="1"/>
        <v>5</v>
      </c>
      <c r="U56" s="25"/>
      <c r="V56" s="25"/>
      <c r="W56" s="25"/>
      <c r="X56" s="25"/>
      <c r="Y56" s="25"/>
      <c r="Z56" s="25"/>
      <c r="AA56" s="25"/>
      <c r="AB56" s="25"/>
      <c r="AC56" s="25"/>
      <c r="AD56" s="25"/>
      <c r="AE56" s="25"/>
      <c r="AF56" s="25"/>
      <c r="AG56" s="25"/>
      <c r="AH56" s="25"/>
      <c r="AI56" s="25"/>
      <c r="AJ56" s="25"/>
      <c r="AK56" s="25"/>
      <c r="AL56" s="25"/>
      <c r="AM56" s="25"/>
      <c r="AN56" s="25"/>
      <c r="AO56" s="25"/>
      <c r="AP56" s="25"/>
      <c r="AQ56" s="25"/>
    </row>
    <row r="57">
      <c r="A57" s="23" t="s">
        <v>271</v>
      </c>
      <c r="B57" s="23"/>
      <c r="C57" s="32"/>
      <c r="D57" s="25"/>
      <c r="E57" s="25"/>
      <c r="F57" s="23"/>
      <c r="G57" s="23"/>
      <c r="H57" s="23" t="s">
        <v>272</v>
      </c>
      <c r="I57" s="25"/>
      <c r="J57" s="23" t="s">
        <v>273</v>
      </c>
      <c r="K57" s="24" t="s">
        <v>122</v>
      </c>
      <c r="L57" s="25"/>
      <c r="M57" s="25"/>
      <c r="N57" s="25"/>
      <c r="O57" s="25"/>
      <c r="P57" s="24" t="s">
        <v>268</v>
      </c>
      <c r="Q57" s="24" t="s">
        <v>242</v>
      </c>
      <c r="R57" s="23" t="s">
        <v>102</v>
      </c>
      <c r="S57" s="25"/>
      <c r="T57" s="10">
        <f t="shared" si="1"/>
        <v>5</v>
      </c>
      <c r="U57" s="25"/>
      <c r="V57" s="25"/>
      <c r="W57" s="25"/>
      <c r="X57" s="25"/>
      <c r="Y57" s="25"/>
      <c r="Z57" s="25"/>
      <c r="AA57" s="25"/>
      <c r="AB57" s="25"/>
      <c r="AC57" s="25"/>
      <c r="AD57" s="25"/>
      <c r="AE57" s="25"/>
      <c r="AF57" s="25"/>
      <c r="AG57" s="25"/>
      <c r="AH57" s="25"/>
      <c r="AI57" s="25"/>
      <c r="AJ57" s="25"/>
      <c r="AK57" s="25"/>
      <c r="AL57" s="25"/>
      <c r="AM57" s="25"/>
      <c r="AN57" s="25"/>
      <c r="AO57" s="25"/>
      <c r="AP57" s="25"/>
      <c r="AQ57" s="25"/>
    </row>
    <row r="58">
      <c r="A58" s="23" t="s">
        <v>274</v>
      </c>
      <c r="B58" s="23"/>
      <c r="C58" s="32"/>
      <c r="D58" s="25"/>
      <c r="E58" s="25"/>
      <c r="F58" s="23"/>
      <c r="G58" s="23"/>
      <c r="H58" s="23"/>
      <c r="I58" s="25"/>
      <c r="J58" s="25"/>
      <c r="K58" s="24" t="s">
        <v>122</v>
      </c>
      <c r="L58" s="25"/>
      <c r="M58" s="25"/>
      <c r="N58" s="25"/>
      <c r="O58" s="25"/>
      <c r="P58" s="24" t="s">
        <v>268</v>
      </c>
      <c r="Q58" s="25"/>
      <c r="R58" s="23" t="s">
        <v>102</v>
      </c>
      <c r="S58" s="25"/>
      <c r="T58" s="10">
        <f t="shared" si="1"/>
        <v>3</v>
      </c>
      <c r="U58" s="25"/>
      <c r="V58" s="25"/>
      <c r="W58" s="25"/>
      <c r="X58" s="25"/>
      <c r="Y58" s="25"/>
      <c r="Z58" s="25"/>
      <c r="AA58" s="25"/>
      <c r="AB58" s="25"/>
      <c r="AC58" s="25"/>
      <c r="AD58" s="25"/>
      <c r="AE58" s="25"/>
      <c r="AF58" s="25"/>
      <c r="AG58" s="25"/>
      <c r="AH58" s="25"/>
      <c r="AI58" s="25"/>
      <c r="AJ58" s="25"/>
      <c r="AK58" s="25"/>
      <c r="AL58" s="25"/>
      <c r="AM58" s="25"/>
      <c r="AN58" s="25"/>
      <c r="AO58" s="25"/>
      <c r="AP58" s="25"/>
      <c r="AQ58" s="25"/>
    </row>
    <row r="59">
      <c r="A59" s="23" t="s">
        <v>275</v>
      </c>
      <c r="B59" s="23"/>
      <c r="C59" s="32"/>
      <c r="D59" s="25"/>
      <c r="E59" s="25"/>
      <c r="F59" s="23"/>
      <c r="G59" s="23"/>
      <c r="H59" s="23"/>
      <c r="I59" s="25"/>
      <c r="J59" s="25"/>
      <c r="K59" s="24" t="s">
        <v>122</v>
      </c>
      <c r="L59" s="25"/>
      <c r="M59" s="25"/>
      <c r="N59" s="24" t="s">
        <v>164</v>
      </c>
      <c r="O59" s="25"/>
      <c r="P59" s="24" t="s">
        <v>268</v>
      </c>
      <c r="Q59" s="24" t="s">
        <v>242</v>
      </c>
      <c r="R59" s="25"/>
      <c r="S59" s="25"/>
      <c r="T59" s="10">
        <f t="shared" si="1"/>
        <v>4</v>
      </c>
      <c r="U59" s="25"/>
      <c r="V59" s="25"/>
      <c r="W59" s="25"/>
      <c r="X59" s="25"/>
      <c r="Y59" s="25"/>
      <c r="Z59" s="25"/>
      <c r="AA59" s="25"/>
      <c r="AB59" s="25"/>
      <c r="AC59" s="25"/>
      <c r="AD59" s="25"/>
      <c r="AE59" s="25"/>
      <c r="AF59" s="25"/>
      <c r="AG59" s="25"/>
      <c r="AH59" s="25"/>
      <c r="AI59" s="25"/>
      <c r="AJ59" s="25"/>
      <c r="AK59" s="25"/>
      <c r="AL59" s="25"/>
      <c r="AM59" s="25"/>
      <c r="AN59" s="25"/>
      <c r="AO59" s="25"/>
      <c r="AP59" s="25"/>
      <c r="AQ59" s="25"/>
    </row>
    <row r="60">
      <c r="A60" s="23" t="s">
        <v>276</v>
      </c>
      <c r="B60" s="23"/>
      <c r="C60" s="32"/>
      <c r="D60" s="25"/>
      <c r="E60" s="25"/>
      <c r="F60" s="23"/>
      <c r="G60" s="23"/>
      <c r="H60" s="23"/>
      <c r="I60" s="25"/>
      <c r="J60" s="25"/>
      <c r="K60" s="24" t="s">
        <v>122</v>
      </c>
      <c r="L60" s="25"/>
      <c r="M60" s="25"/>
      <c r="N60" s="25"/>
      <c r="O60" s="25"/>
      <c r="P60" s="24" t="s">
        <v>268</v>
      </c>
      <c r="Q60" s="25"/>
      <c r="R60" s="25"/>
      <c r="S60" s="25"/>
      <c r="T60" s="10">
        <f t="shared" si="1"/>
        <v>2</v>
      </c>
      <c r="U60" s="25"/>
      <c r="V60" s="25"/>
      <c r="W60" s="25"/>
      <c r="X60" s="25"/>
      <c r="Y60" s="25"/>
      <c r="Z60" s="25"/>
      <c r="AA60" s="25"/>
      <c r="AB60" s="25"/>
      <c r="AC60" s="25"/>
      <c r="AD60" s="25"/>
      <c r="AE60" s="25"/>
      <c r="AF60" s="25"/>
      <c r="AG60" s="25"/>
      <c r="AH60" s="25"/>
      <c r="AI60" s="25"/>
      <c r="AJ60" s="25"/>
      <c r="AK60" s="25"/>
      <c r="AL60" s="25"/>
      <c r="AM60" s="25"/>
      <c r="AN60" s="25"/>
      <c r="AO60" s="25"/>
      <c r="AP60" s="25"/>
      <c r="AQ60" s="25"/>
    </row>
    <row r="61">
      <c r="A61" s="23" t="s">
        <v>277</v>
      </c>
      <c r="B61" s="23"/>
      <c r="C61" s="32"/>
      <c r="D61" s="25"/>
      <c r="E61" s="25"/>
      <c r="F61" s="23"/>
      <c r="G61" s="23"/>
      <c r="H61" s="23"/>
      <c r="I61" s="25"/>
      <c r="J61" s="25"/>
      <c r="K61" s="24" t="s">
        <v>122</v>
      </c>
      <c r="L61" s="25"/>
      <c r="M61" s="25"/>
      <c r="N61" s="31" t="s">
        <v>164</v>
      </c>
      <c r="O61" s="25"/>
      <c r="P61" s="24" t="s">
        <v>268</v>
      </c>
      <c r="Q61" s="24" t="s">
        <v>221</v>
      </c>
      <c r="R61" s="25"/>
      <c r="S61" s="25"/>
      <c r="T61" s="10">
        <f t="shared" si="1"/>
        <v>4</v>
      </c>
      <c r="U61" s="25"/>
      <c r="V61" s="25"/>
      <c r="W61" s="25"/>
      <c r="X61" s="25"/>
      <c r="Y61" s="25"/>
      <c r="Z61" s="25"/>
      <c r="AA61" s="25"/>
      <c r="AB61" s="25"/>
      <c r="AC61" s="25"/>
      <c r="AD61" s="25"/>
      <c r="AE61" s="25"/>
      <c r="AF61" s="25"/>
      <c r="AG61" s="25"/>
      <c r="AH61" s="25"/>
      <c r="AI61" s="25"/>
      <c r="AJ61" s="25"/>
      <c r="AK61" s="25"/>
      <c r="AL61" s="25"/>
      <c r="AM61" s="25"/>
      <c r="AN61" s="25"/>
      <c r="AO61" s="25"/>
      <c r="AP61" s="25"/>
      <c r="AQ61" s="25"/>
    </row>
    <row r="62">
      <c r="A62" s="23" t="s">
        <v>278</v>
      </c>
      <c r="B62" s="23"/>
      <c r="C62" s="32"/>
      <c r="D62" s="25"/>
      <c r="E62" s="25"/>
      <c r="F62" s="23"/>
      <c r="G62" s="23"/>
      <c r="H62" s="23"/>
      <c r="I62" s="25"/>
      <c r="J62" s="25"/>
      <c r="K62" s="24" t="s">
        <v>122</v>
      </c>
      <c r="L62" s="25"/>
      <c r="M62" s="25"/>
      <c r="N62" s="25"/>
      <c r="O62" s="25"/>
      <c r="P62" s="24" t="s">
        <v>268</v>
      </c>
      <c r="Q62" s="25"/>
      <c r="R62" s="25"/>
      <c r="S62" s="23" t="s">
        <v>279</v>
      </c>
      <c r="T62" s="10">
        <f t="shared" si="1"/>
        <v>3</v>
      </c>
      <c r="U62" s="25"/>
      <c r="V62" s="25"/>
      <c r="W62" s="25"/>
      <c r="X62" s="25"/>
      <c r="Y62" s="25"/>
      <c r="Z62" s="25"/>
      <c r="AA62" s="25"/>
      <c r="AB62" s="25"/>
      <c r="AC62" s="25"/>
      <c r="AD62" s="25"/>
      <c r="AE62" s="25"/>
      <c r="AF62" s="25"/>
      <c r="AG62" s="25"/>
      <c r="AH62" s="25"/>
      <c r="AI62" s="25"/>
      <c r="AJ62" s="25"/>
      <c r="AK62" s="25"/>
      <c r="AL62" s="25"/>
      <c r="AM62" s="25"/>
      <c r="AN62" s="25"/>
      <c r="AO62" s="25"/>
      <c r="AP62" s="25"/>
      <c r="AQ62" s="25"/>
    </row>
    <row r="63">
      <c r="A63" s="23" t="s">
        <v>280</v>
      </c>
      <c r="B63" s="23"/>
      <c r="C63" s="32"/>
      <c r="D63" s="25"/>
      <c r="E63" s="25"/>
      <c r="F63" s="23"/>
      <c r="G63" s="23"/>
      <c r="H63" s="23"/>
      <c r="I63" s="25"/>
      <c r="J63" s="25"/>
      <c r="K63" s="24" t="s">
        <v>122</v>
      </c>
      <c r="L63" s="25"/>
      <c r="M63" s="25"/>
      <c r="N63" s="25"/>
      <c r="O63" s="23"/>
      <c r="P63" s="24" t="s">
        <v>268</v>
      </c>
      <c r="Q63" s="23"/>
      <c r="R63" s="23"/>
      <c r="S63" s="23"/>
      <c r="T63" s="10">
        <f t="shared" si="1"/>
        <v>2</v>
      </c>
      <c r="U63" s="25"/>
      <c r="V63" s="25"/>
      <c r="W63" s="25"/>
      <c r="X63" s="25"/>
      <c r="Y63" s="25"/>
      <c r="Z63" s="25"/>
      <c r="AA63" s="25"/>
      <c r="AB63" s="25"/>
      <c r="AC63" s="25"/>
      <c r="AD63" s="25"/>
      <c r="AE63" s="25"/>
      <c r="AF63" s="25"/>
      <c r="AG63" s="25"/>
      <c r="AH63" s="25"/>
      <c r="AI63" s="25"/>
      <c r="AJ63" s="25"/>
      <c r="AK63" s="25"/>
      <c r="AL63" s="25"/>
      <c r="AM63" s="25"/>
      <c r="AN63" s="25"/>
      <c r="AO63" s="25"/>
      <c r="AP63" s="25"/>
      <c r="AQ63" s="25"/>
    </row>
    <row r="64">
      <c r="A64" s="23" t="s">
        <v>281</v>
      </c>
      <c r="B64" s="23"/>
      <c r="C64" s="32"/>
      <c r="D64" s="25"/>
      <c r="E64" s="25"/>
      <c r="F64" s="23"/>
      <c r="G64" s="23" t="s">
        <v>254</v>
      </c>
      <c r="H64" s="23" t="s">
        <v>282</v>
      </c>
      <c r="I64" s="25"/>
      <c r="J64" s="24" t="s">
        <v>256</v>
      </c>
      <c r="K64" s="24" t="s">
        <v>122</v>
      </c>
      <c r="L64" s="24" t="s">
        <v>193</v>
      </c>
      <c r="M64" s="23"/>
      <c r="N64" s="24" t="s">
        <v>164</v>
      </c>
      <c r="O64" s="25"/>
      <c r="P64" s="23" t="s">
        <v>283</v>
      </c>
      <c r="Q64" s="23" t="s">
        <v>261</v>
      </c>
      <c r="R64" s="23" t="s">
        <v>102</v>
      </c>
      <c r="S64" s="23" t="s">
        <v>284</v>
      </c>
      <c r="T64" s="10">
        <f t="shared" si="1"/>
        <v>8</v>
      </c>
      <c r="U64" s="25"/>
      <c r="V64" s="25"/>
      <c r="W64" s="25"/>
      <c r="X64" s="25"/>
      <c r="Y64" s="25"/>
      <c r="Z64" s="25"/>
      <c r="AA64" s="25"/>
      <c r="AB64" s="25"/>
      <c r="AC64" s="25"/>
      <c r="AD64" s="25"/>
      <c r="AE64" s="25"/>
      <c r="AF64" s="25"/>
      <c r="AG64" s="25"/>
      <c r="AH64" s="25"/>
      <c r="AI64" s="25"/>
      <c r="AJ64" s="25"/>
      <c r="AK64" s="25"/>
      <c r="AL64" s="25"/>
      <c r="AM64" s="25"/>
      <c r="AN64" s="25"/>
      <c r="AO64" s="25"/>
      <c r="AP64" s="25"/>
      <c r="AQ64" s="25"/>
    </row>
    <row r="65">
      <c r="A65" s="23" t="s">
        <v>285</v>
      </c>
      <c r="B65" s="23"/>
      <c r="C65" s="32"/>
      <c r="D65" s="25"/>
      <c r="E65" s="25"/>
      <c r="F65" s="23"/>
      <c r="G65" s="23"/>
      <c r="H65" s="23" t="s">
        <v>282</v>
      </c>
      <c r="I65" s="25"/>
      <c r="J65" s="24" t="s">
        <v>220</v>
      </c>
      <c r="K65" s="24" t="s">
        <v>122</v>
      </c>
      <c r="L65" s="23"/>
      <c r="M65" s="23"/>
      <c r="N65" s="24" t="s">
        <v>164</v>
      </c>
      <c r="O65" s="23"/>
      <c r="P65" s="23"/>
      <c r="Q65" s="23"/>
      <c r="R65" s="23"/>
      <c r="S65" s="23"/>
      <c r="T65" s="10">
        <f t="shared" si="1"/>
        <v>3</v>
      </c>
      <c r="U65" s="25"/>
      <c r="V65" s="25"/>
      <c r="W65" s="25"/>
      <c r="X65" s="25"/>
      <c r="Y65" s="25"/>
      <c r="Z65" s="25"/>
      <c r="AA65" s="25"/>
      <c r="AB65" s="25"/>
      <c r="AC65" s="25"/>
      <c r="AD65" s="25"/>
      <c r="AE65" s="25"/>
      <c r="AF65" s="25"/>
      <c r="AG65" s="25"/>
      <c r="AH65" s="25"/>
      <c r="AI65" s="25"/>
      <c r="AJ65" s="25"/>
      <c r="AK65" s="25"/>
      <c r="AL65" s="25"/>
      <c r="AM65" s="25"/>
      <c r="AN65" s="25"/>
      <c r="AO65" s="25"/>
      <c r="AP65" s="25"/>
      <c r="AQ65" s="25"/>
    </row>
    <row r="66">
      <c r="A66" s="23" t="s">
        <v>286</v>
      </c>
      <c r="B66" s="23"/>
      <c r="C66" s="32"/>
      <c r="D66" s="25"/>
      <c r="E66" s="25"/>
      <c r="F66" s="23"/>
      <c r="G66" s="23"/>
      <c r="H66" s="23"/>
      <c r="I66" s="25"/>
      <c r="J66" s="25"/>
      <c r="K66" s="24" t="s">
        <v>122</v>
      </c>
      <c r="L66" s="25"/>
      <c r="M66" s="25"/>
      <c r="N66" s="25"/>
      <c r="O66" s="25"/>
      <c r="P66" s="25"/>
      <c r="Q66" s="25"/>
      <c r="R66" s="25"/>
      <c r="S66" s="25"/>
      <c r="T66" s="10">
        <f t="shared" si="1"/>
        <v>1</v>
      </c>
      <c r="U66" s="25"/>
      <c r="V66" s="25"/>
      <c r="W66" s="25"/>
      <c r="X66" s="25"/>
      <c r="Y66" s="25"/>
      <c r="Z66" s="25"/>
      <c r="AA66" s="25"/>
      <c r="AB66" s="25"/>
      <c r="AC66" s="25"/>
      <c r="AD66" s="25"/>
      <c r="AE66" s="25"/>
      <c r="AF66" s="25"/>
      <c r="AG66" s="25"/>
      <c r="AH66" s="25"/>
      <c r="AI66" s="25"/>
      <c r="AJ66" s="25"/>
      <c r="AK66" s="25"/>
      <c r="AL66" s="25"/>
      <c r="AM66" s="25"/>
      <c r="AN66" s="25"/>
      <c r="AO66" s="25"/>
      <c r="AP66" s="25"/>
      <c r="AQ66" s="25"/>
    </row>
    <row r="67">
      <c r="A67" s="23" t="s">
        <v>287</v>
      </c>
      <c r="B67" s="23"/>
      <c r="C67" s="32"/>
      <c r="D67" s="25"/>
      <c r="E67" s="25"/>
      <c r="F67" s="23"/>
      <c r="G67" s="23"/>
      <c r="H67" s="23"/>
      <c r="I67" s="25"/>
      <c r="J67" s="25"/>
      <c r="K67" s="24" t="s">
        <v>122</v>
      </c>
      <c r="L67" s="25"/>
      <c r="M67" s="25"/>
      <c r="N67" s="25"/>
      <c r="O67" s="25"/>
      <c r="P67" s="23" t="s">
        <v>288</v>
      </c>
      <c r="Q67" s="25"/>
      <c r="R67" s="25"/>
      <c r="S67" s="23" t="s">
        <v>288</v>
      </c>
      <c r="T67" s="10">
        <f t="shared" si="1"/>
        <v>3</v>
      </c>
      <c r="U67" s="25"/>
      <c r="V67" s="25"/>
      <c r="W67" s="25"/>
      <c r="X67" s="25"/>
      <c r="Y67" s="25"/>
      <c r="Z67" s="25"/>
      <c r="AA67" s="25"/>
      <c r="AB67" s="25"/>
      <c r="AC67" s="25"/>
      <c r="AD67" s="25"/>
      <c r="AE67" s="25"/>
      <c r="AF67" s="25"/>
      <c r="AG67" s="25"/>
      <c r="AH67" s="25"/>
      <c r="AI67" s="25"/>
      <c r="AJ67" s="25"/>
      <c r="AK67" s="25"/>
      <c r="AL67" s="25"/>
      <c r="AM67" s="25"/>
      <c r="AN67" s="25"/>
      <c r="AO67" s="25"/>
      <c r="AP67" s="25"/>
      <c r="AQ67" s="25"/>
    </row>
    <row r="68">
      <c r="A68" s="23" t="s">
        <v>289</v>
      </c>
      <c r="B68" s="23"/>
      <c r="C68" s="32"/>
      <c r="D68" s="25"/>
      <c r="E68" s="25"/>
      <c r="F68" s="23"/>
      <c r="G68" s="23"/>
      <c r="H68" s="23"/>
      <c r="I68" s="25"/>
      <c r="J68" s="25"/>
      <c r="K68" s="24" t="s">
        <v>122</v>
      </c>
      <c r="L68" s="25"/>
      <c r="M68" s="25"/>
      <c r="N68" s="25"/>
      <c r="O68" s="25"/>
      <c r="P68" s="25"/>
      <c r="Q68" s="25"/>
      <c r="R68" s="25"/>
      <c r="S68" s="25"/>
      <c r="T68" s="10">
        <f t="shared" si="1"/>
        <v>1</v>
      </c>
      <c r="U68" s="25"/>
      <c r="V68" s="25"/>
      <c r="W68" s="25"/>
      <c r="X68" s="25"/>
      <c r="Y68" s="25"/>
      <c r="Z68" s="25"/>
      <c r="AA68" s="25"/>
      <c r="AB68" s="25"/>
      <c r="AC68" s="25"/>
      <c r="AD68" s="25"/>
      <c r="AE68" s="25"/>
      <c r="AF68" s="25"/>
      <c r="AG68" s="25"/>
      <c r="AH68" s="25"/>
      <c r="AI68" s="25"/>
      <c r="AJ68" s="25"/>
      <c r="AK68" s="25"/>
      <c r="AL68" s="25"/>
      <c r="AM68" s="25"/>
      <c r="AN68" s="25"/>
      <c r="AO68" s="25"/>
      <c r="AP68" s="25"/>
      <c r="AQ68" s="25"/>
    </row>
    <row r="69">
      <c r="A69" s="23" t="s">
        <v>290</v>
      </c>
      <c r="B69" s="23"/>
      <c r="C69" s="32"/>
      <c r="D69" s="25"/>
      <c r="E69" s="25"/>
      <c r="F69" s="23"/>
      <c r="G69" s="23"/>
      <c r="H69" s="23"/>
      <c r="I69" s="25"/>
      <c r="J69" s="25"/>
      <c r="K69" s="24" t="s">
        <v>122</v>
      </c>
      <c r="L69" s="25"/>
      <c r="M69" s="25"/>
      <c r="N69" s="25"/>
      <c r="O69" s="25"/>
      <c r="P69" s="25"/>
      <c r="Q69" s="25"/>
      <c r="R69" s="25"/>
      <c r="S69" s="25"/>
      <c r="T69" s="10">
        <f t="shared" si="1"/>
        <v>1</v>
      </c>
      <c r="U69" s="25"/>
      <c r="V69" s="25"/>
      <c r="W69" s="25"/>
      <c r="X69" s="25"/>
      <c r="Y69" s="25"/>
      <c r="Z69" s="25"/>
      <c r="AA69" s="25"/>
      <c r="AB69" s="25"/>
      <c r="AC69" s="25"/>
      <c r="AD69" s="25"/>
      <c r="AE69" s="25"/>
      <c r="AF69" s="25"/>
      <c r="AG69" s="25"/>
      <c r="AH69" s="25"/>
      <c r="AI69" s="25"/>
      <c r="AJ69" s="25"/>
      <c r="AK69" s="25"/>
      <c r="AL69" s="25"/>
      <c r="AM69" s="25"/>
      <c r="AN69" s="25"/>
      <c r="AO69" s="25"/>
      <c r="AP69" s="25"/>
      <c r="AQ69" s="25"/>
    </row>
    <row r="70">
      <c r="A70" s="23" t="s">
        <v>291</v>
      </c>
      <c r="B70" s="23"/>
      <c r="C70" s="32"/>
      <c r="D70" s="25"/>
      <c r="E70" s="25"/>
      <c r="F70" s="23"/>
      <c r="G70" s="23"/>
      <c r="H70" s="23"/>
      <c r="I70" s="25"/>
      <c r="J70" s="25"/>
      <c r="K70" s="24" t="s">
        <v>122</v>
      </c>
      <c r="L70" s="25"/>
      <c r="M70" s="25"/>
      <c r="N70" s="25"/>
      <c r="O70" s="25"/>
      <c r="P70" s="25"/>
      <c r="Q70" s="25"/>
      <c r="R70" s="25"/>
      <c r="S70" s="25"/>
      <c r="T70" s="10">
        <f t="shared" si="1"/>
        <v>1</v>
      </c>
      <c r="U70" s="25"/>
      <c r="V70" s="25"/>
      <c r="W70" s="25"/>
      <c r="X70" s="25"/>
      <c r="Y70" s="25"/>
      <c r="Z70" s="25"/>
      <c r="AA70" s="25"/>
      <c r="AB70" s="25"/>
      <c r="AC70" s="25"/>
      <c r="AD70" s="25"/>
      <c r="AE70" s="25"/>
      <c r="AF70" s="25"/>
      <c r="AG70" s="25"/>
      <c r="AH70" s="25"/>
      <c r="AI70" s="25"/>
      <c r="AJ70" s="25"/>
      <c r="AK70" s="25"/>
      <c r="AL70" s="25"/>
      <c r="AM70" s="25"/>
      <c r="AN70" s="25"/>
      <c r="AO70" s="25"/>
      <c r="AP70" s="25"/>
      <c r="AQ70" s="25"/>
    </row>
    <row r="71">
      <c r="A71" s="23" t="s">
        <v>292</v>
      </c>
      <c r="B71" s="23"/>
      <c r="C71" s="32"/>
      <c r="D71" s="25"/>
      <c r="E71" s="25"/>
      <c r="F71" s="23"/>
      <c r="G71" s="23"/>
      <c r="H71" s="23"/>
      <c r="I71" s="25"/>
      <c r="J71" s="25"/>
      <c r="K71" s="24" t="s">
        <v>122</v>
      </c>
      <c r="L71" s="25"/>
      <c r="M71" s="25"/>
      <c r="N71" s="25"/>
      <c r="O71" s="24" t="s">
        <v>96</v>
      </c>
      <c r="P71" s="25"/>
      <c r="Q71" s="25"/>
      <c r="R71" s="25"/>
      <c r="S71" s="23" t="s">
        <v>294</v>
      </c>
      <c r="T71" s="10">
        <f t="shared" si="1"/>
        <v>3</v>
      </c>
      <c r="U71" s="25"/>
      <c r="V71" s="25"/>
      <c r="W71" s="25"/>
      <c r="X71" s="25"/>
      <c r="Y71" s="25"/>
      <c r="Z71" s="25"/>
      <c r="AA71" s="25"/>
      <c r="AB71" s="25"/>
      <c r="AC71" s="25"/>
      <c r="AD71" s="25"/>
      <c r="AE71" s="25"/>
      <c r="AF71" s="25"/>
      <c r="AG71" s="25"/>
      <c r="AH71" s="25"/>
      <c r="AI71" s="25"/>
      <c r="AJ71" s="25"/>
      <c r="AK71" s="25"/>
      <c r="AL71" s="25"/>
      <c r="AM71" s="25"/>
      <c r="AN71" s="25"/>
      <c r="AO71" s="25"/>
      <c r="AP71" s="25"/>
      <c r="AQ71" s="25"/>
    </row>
    <row r="72">
      <c r="A72" s="23" t="s">
        <v>295</v>
      </c>
      <c r="B72" s="23"/>
      <c r="C72" s="32"/>
      <c r="D72" s="25"/>
      <c r="E72" s="25"/>
      <c r="F72" s="23"/>
      <c r="G72" s="23"/>
      <c r="H72" s="23"/>
      <c r="I72" s="25"/>
      <c r="J72" s="25"/>
      <c r="K72" s="24" t="s">
        <v>122</v>
      </c>
      <c r="L72" s="23"/>
      <c r="M72" s="23"/>
      <c r="N72" s="23"/>
      <c r="O72" s="24" t="s">
        <v>96</v>
      </c>
      <c r="P72" s="23"/>
      <c r="Q72" s="24" t="s">
        <v>242</v>
      </c>
      <c r="R72" s="23" t="s">
        <v>102</v>
      </c>
      <c r="S72" s="23" t="s">
        <v>296</v>
      </c>
      <c r="T72" s="10">
        <f t="shared" si="1"/>
        <v>5</v>
      </c>
      <c r="U72" s="25"/>
      <c r="V72" s="25"/>
      <c r="W72" s="25"/>
      <c r="X72" s="25"/>
      <c r="Y72" s="25"/>
      <c r="Z72" s="25"/>
      <c r="AA72" s="25"/>
      <c r="AB72" s="25"/>
      <c r="AC72" s="25"/>
      <c r="AD72" s="25"/>
      <c r="AE72" s="25"/>
      <c r="AF72" s="25"/>
      <c r="AG72" s="25"/>
      <c r="AH72" s="25"/>
      <c r="AI72" s="25"/>
      <c r="AJ72" s="25"/>
      <c r="AK72" s="25"/>
      <c r="AL72" s="25"/>
      <c r="AM72" s="25"/>
      <c r="AN72" s="25"/>
      <c r="AO72" s="25"/>
      <c r="AP72" s="25"/>
      <c r="AQ72" s="25"/>
    </row>
    <row r="73">
      <c r="A73" s="23" t="s">
        <v>297</v>
      </c>
      <c r="B73" s="23"/>
      <c r="C73" s="32"/>
      <c r="D73" s="25"/>
      <c r="E73" s="25"/>
      <c r="F73" s="23"/>
      <c r="G73" s="23"/>
      <c r="H73" s="23"/>
      <c r="I73" s="25"/>
      <c r="J73" s="25"/>
      <c r="K73" s="24" t="s">
        <v>122</v>
      </c>
      <c r="L73" s="23"/>
      <c r="M73" s="23"/>
      <c r="N73" s="23"/>
      <c r="O73" s="23"/>
      <c r="P73" s="23"/>
      <c r="Q73" s="24" t="s">
        <v>242</v>
      </c>
      <c r="R73" s="23"/>
      <c r="S73" s="23"/>
      <c r="T73" s="10">
        <f t="shared" si="1"/>
        <v>2</v>
      </c>
      <c r="U73" s="25"/>
      <c r="V73" s="25"/>
      <c r="W73" s="25"/>
      <c r="X73" s="25"/>
      <c r="Y73" s="25"/>
      <c r="Z73" s="25"/>
      <c r="AA73" s="25"/>
      <c r="AB73" s="25"/>
      <c r="AC73" s="25"/>
      <c r="AD73" s="25"/>
      <c r="AE73" s="25"/>
      <c r="AF73" s="25"/>
      <c r="AG73" s="25"/>
      <c r="AH73" s="25"/>
      <c r="AI73" s="25"/>
      <c r="AJ73" s="25"/>
      <c r="AK73" s="25"/>
      <c r="AL73" s="25"/>
      <c r="AM73" s="25"/>
      <c r="AN73" s="25"/>
      <c r="AO73" s="25"/>
      <c r="AP73" s="25"/>
      <c r="AQ73" s="25"/>
    </row>
    <row r="74">
      <c r="A74" s="23" t="s">
        <v>298</v>
      </c>
      <c r="B74" s="23"/>
      <c r="C74" s="32"/>
      <c r="D74" s="25"/>
      <c r="E74" s="25"/>
      <c r="F74" s="23"/>
      <c r="G74" s="23"/>
      <c r="H74" s="23" t="s">
        <v>299</v>
      </c>
      <c r="I74" s="25"/>
      <c r="J74" s="25"/>
      <c r="K74" s="24" t="s">
        <v>122</v>
      </c>
      <c r="L74" s="23"/>
      <c r="M74" s="23"/>
      <c r="N74" s="23" t="s">
        <v>164</v>
      </c>
      <c r="O74" s="23" t="s">
        <v>96</v>
      </c>
      <c r="P74" s="23"/>
      <c r="Q74" s="24" t="s">
        <v>221</v>
      </c>
      <c r="R74" s="23" t="s">
        <v>102</v>
      </c>
      <c r="S74" s="23"/>
      <c r="T74" s="10">
        <f t="shared" si="1"/>
        <v>5</v>
      </c>
      <c r="U74" s="25"/>
      <c r="V74" s="25"/>
      <c r="W74" s="25"/>
      <c r="X74" s="25"/>
      <c r="Y74" s="25"/>
      <c r="Z74" s="25"/>
      <c r="AA74" s="25"/>
      <c r="AB74" s="25"/>
      <c r="AC74" s="25"/>
      <c r="AD74" s="25"/>
      <c r="AE74" s="25"/>
      <c r="AF74" s="25"/>
      <c r="AG74" s="25"/>
      <c r="AH74" s="25"/>
      <c r="AI74" s="25"/>
      <c r="AJ74" s="25"/>
      <c r="AK74" s="25"/>
      <c r="AL74" s="25"/>
      <c r="AM74" s="25"/>
      <c r="AN74" s="25"/>
      <c r="AO74" s="25"/>
      <c r="AP74" s="25"/>
      <c r="AQ74" s="25"/>
    </row>
    <row r="75">
      <c r="A75" s="23" t="s">
        <v>300</v>
      </c>
      <c r="B75" s="23"/>
      <c r="C75" s="32"/>
      <c r="D75" s="25"/>
      <c r="E75" s="25"/>
      <c r="F75" s="23"/>
      <c r="G75" s="23"/>
      <c r="H75" s="23"/>
      <c r="I75" s="25"/>
      <c r="J75" s="24" t="s">
        <v>256</v>
      </c>
      <c r="K75" s="24" t="s">
        <v>122</v>
      </c>
      <c r="L75" s="23"/>
      <c r="M75" s="23"/>
      <c r="N75" s="23" t="s">
        <v>164</v>
      </c>
      <c r="O75" s="23"/>
      <c r="P75" s="23"/>
      <c r="Q75" s="23"/>
      <c r="R75" s="23"/>
      <c r="S75" s="23"/>
      <c r="T75" s="10">
        <f t="shared" si="1"/>
        <v>3</v>
      </c>
      <c r="U75" s="25"/>
      <c r="V75" s="25"/>
      <c r="W75" s="25"/>
      <c r="X75" s="25"/>
      <c r="Y75" s="25"/>
      <c r="Z75" s="25"/>
      <c r="AA75" s="25"/>
      <c r="AB75" s="25"/>
      <c r="AC75" s="25"/>
      <c r="AD75" s="25"/>
      <c r="AE75" s="25"/>
      <c r="AF75" s="25"/>
      <c r="AG75" s="25"/>
      <c r="AH75" s="25"/>
      <c r="AI75" s="25"/>
      <c r="AJ75" s="25"/>
      <c r="AK75" s="25"/>
      <c r="AL75" s="25"/>
      <c r="AM75" s="25"/>
      <c r="AN75" s="25"/>
      <c r="AO75" s="25"/>
      <c r="AP75" s="25"/>
      <c r="AQ75" s="25"/>
    </row>
    <row r="76">
      <c r="A76" s="23" t="s">
        <v>301</v>
      </c>
      <c r="B76" s="23"/>
      <c r="C76" s="32"/>
      <c r="D76" s="25"/>
      <c r="E76" s="25"/>
      <c r="F76" s="23"/>
      <c r="G76" s="23"/>
      <c r="H76" s="23"/>
      <c r="I76" s="25"/>
      <c r="J76" s="24" t="s">
        <v>256</v>
      </c>
      <c r="K76" s="24" t="s">
        <v>122</v>
      </c>
      <c r="L76" s="23"/>
      <c r="M76" s="23"/>
      <c r="N76" s="23" t="s">
        <v>164</v>
      </c>
      <c r="O76" s="23"/>
      <c r="P76" s="23"/>
      <c r="Q76" s="23"/>
      <c r="R76" s="23"/>
      <c r="S76" s="23"/>
      <c r="T76" s="10">
        <f t="shared" si="1"/>
        <v>3</v>
      </c>
      <c r="U76" s="25"/>
      <c r="V76" s="25"/>
      <c r="W76" s="25"/>
      <c r="X76" s="25"/>
      <c r="Y76" s="25"/>
      <c r="Z76" s="25"/>
      <c r="AA76" s="25"/>
      <c r="AB76" s="25"/>
      <c r="AC76" s="25"/>
      <c r="AD76" s="25"/>
      <c r="AE76" s="25"/>
      <c r="AF76" s="25"/>
      <c r="AG76" s="25"/>
      <c r="AH76" s="25"/>
      <c r="AI76" s="25"/>
      <c r="AJ76" s="25"/>
      <c r="AK76" s="25"/>
      <c r="AL76" s="25"/>
      <c r="AM76" s="25"/>
      <c r="AN76" s="25"/>
      <c r="AO76" s="25"/>
      <c r="AP76" s="25"/>
      <c r="AQ76" s="25"/>
    </row>
    <row r="77">
      <c r="A77" s="22" t="s">
        <v>31</v>
      </c>
      <c r="B77" s="22"/>
      <c r="C77" s="22"/>
      <c r="D77" s="22"/>
      <c r="E77" s="22"/>
      <c r="F77" s="22"/>
      <c r="G77" s="22"/>
      <c r="H77" s="22"/>
      <c r="I77" s="22"/>
      <c r="J77" s="22"/>
      <c r="K77" s="22"/>
      <c r="L77" s="22"/>
      <c r="M77" s="22"/>
      <c r="N77" s="22"/>
      <c r="O77" s="22"/>
      <c r="P77" s="22"/>
      <c r="Q77" s="22"/>
      <c r="R77" s="22"/>
      <c r="S77" s="22"/>
      <c r="T77" s="10">
        <f t="shared" si="1"/>
        <v>0</v>
      </c>
      <c r="U77" s="22"/>
      <c r="V77" s="22"/>
      <c r="W77" s="22"/>
      <c r="X77" s="22"/>
      <c r="Y77" s="22"/>
      <c r="Z77" s="22"/>
      <c r="AA77" s="22"/>
      <c r="AB77" s="22"/>
      <c r="AC77" s="22"/>
      <c r="AD77" s="22"/>
      <c r="AE77" s="22"/>
      <c r="AF77" s="22"/>
      <c r="AG77" s="22"/>
      <c r="AH77" s="22"/>
      <c r="AI77" s="22"/>
      <c r="AJ77" s="22"/>
      <c r="AK77" s="22"/>
      <c r="AL77" s="22"/>
      <c r="AM77" s="22"/>
      <c r="AN77" s="22"/>
      <c r="AO77" s="22"/>
      <c r="AP77" s="22"/>
      <c r="AQ77" s="22"/>
    </row>
    <row r="78">
      <c r="A78" s="23" t="s">
        <v>302</v>
      </c>
      <c r="B78" s="30"/>
      <c r="C78" s="25"/>
      <c r="D78" s="25"/>
      <c r="E78" s="25"/>
      <c r="F78" s="25"/>
      <c r="G78" s="25"/>
      <c r="H78" s="23" t="s">
        <v>303</v>
      </c>
      <c r="I78" s="24" t="s">
        <v>209</v>
      </c>
      <c r="J78" s="25"/>
      <c r="K78" s="25"/>
      <c r="L78" s="24" t="s">
        <v>193</v>
      </c>
      <c r="M78" s="23"/>
      <c r="N78" s="25"/>
      <c r="O78" s="24" t="s">
        <v>96</v>
      </c>
      <c r="P78" s="25"/>
      <c r="Q78" s="24" t="s">
        <v>242</v>
      </c>
      <c r="R78" s="25"/>
      <c r="S78" s="25"/>
      <c r="T78" s="10">
        <f t="shared" si="1"/>
        <v>4</v>
      </c>
      <c r="U78" s="25"/>
      <c r="V78" s="25"/>
      <c r="W78" s="25"/>
      <c r="X78" s="25"/>
      <c r="Y78" s="25"/>
      <c r="Z78" s="25"/>
      <c r="AA78" s="25"/>
      <c r="AB78" s="25"/>
      <c r="AC78" s="25"/>
      <c r="AD78" s="25"/>
      <c r="AE78" s="25"/>
      <c r="AF78" s="25"/>
      <c r="AG78" s="25"/>
      <c r="AH78" s="25"/>
      <c r="AI78" s="25"/>
      <c r="AJ78" s="25"/>
      <c r="AK78" s="25"/>
      <c r="AL78" s="25"/>
      <c r="AM78" s="25"/>
      <c r="AN78" s="25"/>
      <c r="AO78" s="25"/>
      <c r="AP78" s="25"/>
      <c r="AQ78" s="25"/>
    </row>
    <row r="79">
      <c r="A79" s="23" t="s">
        <v>304</v>
      </c>
      <c r="B79" s="30"/>
      <c r="C79" s="25"/>
      <c r="D79" s="25"/>
      <c r="E79" s="25"/>
      <c r="F79" s="25"/>
      <c r="G79" s="25"/>
      <c r="H79" s="23" t="s">
        <v>305</v>
      </c>
      <c r="I79" s="24" t="s">
        <v>209</v>
      </c>
      <c r="J79" s="25"/>
      <c r="K79" s="31" t="s">
        <v>122</v>
      </c>
      <c r="L79" s="24" t="s">
        <v>193</v>
      </c>
      <c r="M79" s="23"/>
      <c r="N79" s="25"/>
      <c r="O79" s="24" t="s">
        <v>96</v>
      </c>
      <c r="P79" s="25"/>
      <c r="Q79" s="25"/>
      <c r="R79" s="25"/>
      <c r="S79" s="25"/>
      <c r="T79" s="10">
        <f t="shared" si="1"/>
        <v>4</v>
      </c>
      <c r="U79" s="25"/>
      <c r="V79" s="25"/>
      <c r="W79" s="25"/>
      <c r="X79" s="25"/>
      <c r="Y79" s="25"/>
      <c r="Z79" s="25"/>
      <c r="AA79" s="25"/>
      <c r="AB79" s="25"/>
      <c r="AC79" s="25"/>
      <c r="AD79" s="25"/>
      <c r="AE79" s="25"/>
      <c r="AF79" s="25"/>
      <c r="AG79" s="25"/>
      <c r="AH79" s="25"/>
      <c r="AI79" s="25"/>
      <c r="AJ79" s="25"/>
      <c r="AK79" s="25"/>
      <c r="AL79" s="25"/>
      <c r="AM79" s="25"/>
      <c r="AN79" s="25"/>
      <c r="AO79" s="25"/>
      <c r="AP79" s="25"/>
      <c r="AQ79" s="25"/>
    </row>
    <row r="80" ht="3.75" customHeight="1">
      <c r="A80" s="27"/>
      <c r="B80" s="28"/>
      <c r="C80" s="29"/>
      <c r="D80" s="29"/>
      <c r="E80" s="29"/>
      <c r="F80" s="29"/>
      <c r="G80" s="29"/>
      <c r="H80" s="27"/>
      <c r="I80" s="29"/>
      <c r="J80" s="29"/>
      <c r="K80" s="29"/>
      <c r="L80" s="29"/>
      <c r="M80" s="29"/>
      <c r="N80" s="29"/>
      <c r="O80" s="29"/>
      <c r="P80" s="29"/>
      <c r="Q80" s="29"/>
      <c r="R80" s="29"/>
      <c r="S80" s="29"/>
      <c r="T80" s="10">
        <f t="shared" si="1"/>
        <v>0</v>
      </c>
      <c r="U80" s="29"/>
      <c r="V80" s="29"/>
      <c r="W80" s="29"/>
      <c r="X80" s="29"/>
      <c r="Y80" s="29"/>
      <c r="Z80" s="29"/>
      <c r="AA80" s="29"/>
      <c r="AB80" s="29"/>
      <c r="AC80" s="29"/>
      <c r="AD80" s="29"/>
      <c r="AE80" s="29"/>
      <c r="AF80" s="29"/>
      <c r="AG80" s="29"/>
      <c r="AH80" s="29"/>
      <c r="AI80" s="29"/>
      <c r="AJ80" s="29"/>
      <c r="AK80" s="29"/>
      <c r="AL80" s="29"/>
      <c r="AM80" s="29"/>
      <c r="AN80" s="29"/>
      <c r="AO80" s="29"/>
      <c r="AP80" s="29"/>
      <c r="AQ80" s="29"/>
    </row>
    <row r="81">
      <c r="A81" s="23" t="s">
        <v>306</v>
      </c>
      <c r="B81" s="30"/>
      <c r="C81" s="25"/>
      <c r="D81" s="25"/>
      <c r="E81" s="25"/>
      <c r="F81" s="25"/>
      <c r="G81" s="25"/>
      <c r="H81" s="25"/>
      <c r="I81" s="23"/>
      <c r="J81" s="25"/>
      <c r="K81" s="31"/>
      <c r="L81" s="31" t="s">
        <v>193</v>
      </c>
      <c r="M81" s="31"/>
      <c r="N81" s="25"/>
      <c r="O81" s="23"/>
      <c r="P81" s="25"/>
      <c r="Q81" s="25"/>
      <c r="R81" s="25"/>
      <c r="S81" s="25"/>
      <c r="T81" s="10">
        <f t="shared" si="1"/>
        <v>1</v>
      </c>
      <c r="U81" s="25"/>
      <c r="V81" s="25"/>
      <c r="W81" s="25"/>
      <c r="X81" s="25"/>
      <c r="Y81" s="25"/>
      <c r="Z81" s="25"/>
      <c r="AA81" s="25"/>
      <c r="AB81" s="25"/>
      <c r="AC81" s="25"/>
      <c r="AD81" s="25"/>
      <c r="AE81" s="25"/>
      <c r="AF81" s="25"/>
      <c r="AG81" s="25"/>
      <c r="AH81" s="25"/>
      <c r="AI81" s="25"/>
      <c r="AJ81" s="25"/>
      <c r="AK81" s="25"/>
      <c r="AL81" s="25"/>
      <c r="AM81" s="25"/>
      <c r="AN81" s="25"/>
      <c r="AO81" s="25"/>
      <c r="AP81" s="25"/>
      <c r="AQ81" s="25"/>
    </row>
    <row r="82">
      <c r="A82" s="22" t="s">
        <v>32</v>
      </c>
      <c r="B82" s="22"/>
      <c r="C82" s="22"/>
      <c r="D82" s="22"/>
      <c r="E82" s="22"/>
      <c r="F82" s="22"/>
      <c r="G82" s="22"/>
      <c r="H82" s="22"/>
      <c r="I82" s="22"/>
      <c r="J82" s="22"/>
      <c r="K82" s="22"/>
      <c r="L82" s="22"/>
      <c r="M82" s="22"/>
      <c r="N82" s="22"/>
      <c r="O82" s="22"/>
      <c r="P82" s="22"/>
      <c r="Q82" s="22"/>
      <c r="R82" s="22"/>
      <c r="S82" s="22"/>
      <c r="T82" s="10">
        <f t="shared" si="1"/>
        <v>0</v>
      </c>
      <c r="U82" s="22"/>
      <c r="V82" s="22"/>
      <c r="W82" s="22"/>
      <c r="X82" s="22"/>
      <c r="Y82" s="22"/>
      <c r="Z82" s="22"/>
      <c r="AA82" s="22"/>
      <c r="AB82" s="22"/>
      <c r="AC82" s="22"/>
      <c r="AD82" s="22"/>
      <c r="AE82" s="22"/>
      <c r="AF82" s="22"/>
      <c r="AG82" s="22"/>
      <c r="AH82" s="22"/>
      <c r="AI82" s="22"/>
      <c r="AJ82" s="22"/>
      <c r="AK82" s="22"/>
      <c r="AL82" s="22"/>
      <c r="AM82" s="22"/>
      <c r="AN82" s="22"/>
      <c r="AO82" s="22"/>
      <c r="AP82" s="22"/>
      <c r="AQ82" s="22"/>
    </row>
    <row r="83">
      <c r="A83" s="23" t="s">
        <v>307</v>
      </c>
      <c r="B83" s="30"/>
      <c r="C83" s="25"/>
      <c r="D83" s="25"/>
      <c r="E83" s="25"/>
      <c r="F83" s="25"/>
      <c r="G83" s="25"/>
      <c r="H83" s="25"/>
      <c r="I83" s="24" t="s">
        <v>209</v>
      </c>
      <c r="J83" s="25"/>
      <c r="K83" s="24" t="s">
        <v>122</v>
      </c>
      <c r="L83" s="25"/>
      <c r="M83" s="25"/>
      <c r="N83" s="25"/>
      <c r="O83" s="25"/>
      <c r="P83" s="25"/>
      <c r="Q83" s="24" t="s">
        <v>221</v>
      </c>
      <c r="R83" s="25"/>
      <c r="S83" s="25"/>
      <c r="T83" s="10">
        <f t="shared" si="1"/>
        <v>3</v>
      </c>
      <c r="U83" s="25"/>
      <c r="V83" s="25"/>
      <c r="W83" s="25"/>
      <c r="X83" s="25"/>
      <c r="Y83" s="25"/>
      <c r="Z83" s="25"/>
      <c r="AA83" s="25"/>
      <c r="AB83" s="25"/>
      <c r="AC83" s="25"/>
      <c r="AD83" s="25"/>
      <c r="AE83" s="25"/>
      <c r="AF83" s="25"/>
      <c r="AG83" s="25"/>
      <c r="AH83" s="25"/>
      <c r="AI83" s="25"/>
      <c r="AJ83" s="25"/>
      <c r="AK83" s="25"/>
      <c r="AL83" s="25"/>
      <c r="AM83" s="25"/>
      <c r="AN83" s="25"/>
      <c r="AO83" s="25"/>
      <c r="AP83" s="25"/>
      <c r="AQ83" s="25"/>
    </row>
    <row r="84">
      <c r="A84" s="23" t="s">
        <v>308</v>
      </c>
      <c r="B84" s="30"/>
      <c r="C84" s="25"/>
      <c r="D84" s="25"/>
      <c r="E84" s="25"/>
      <c r="F84" s="25"/>
      <c r="G84" s="25"/>
      <c r="H84" s="25"/>
      <c r="I84" s="24" t="s">
        <v>209</v>
      </c>
      <c r="J84" s="25"/>
      <c r="K84" s="24" t="s">
        <v>122</v>
      </c>
      <c r="L84" s="25"/>
      <c r="M84" s="25"/>
      <c r="N84" s="25"/>
      <c r="O84" s="25"/>
      <c r="P84" s="25"/>
      <c r="Q84" s="25"/>
      <c r="R84" s="25"/>
      <c r="S84" s="25"/>
      <c r="T84" s="10">
        <f t="shared" si="1"/>
        <v>2</v>
      </c>
      <c r="U84" s="25"/>
      <c r="V84" s="25"/>
      <c r="W84" s="25"/>
      <c r="X84" s="25"/>
      <c r="Y84" s="25"/>
      <c r="Z84" s="25"/>
      <c r="AA84" s="25"/>
      <c r="AB84" s="25"/>
      <c r="AC84" s="25"/>
      <c r="AD84" s="25"/>
      <c r="AE84" s="25"/>
      <c r="AF84" s="25"/>
      <c r="AG84" s="25"/>
      <c r="AH84" s="25"/>
      <c r="AI84" s="25"/>
      <c r="AJ84" s="25"/>
      <c r="AK84" s="25"/>
      <c r="AL84" s="25"/>
      <c r="AM84" s="25"/>
      <c r="AN84" s="25"/>
      <c r="AO84" s="25"/>
      <c r="AP84" s="25"/>
      <c r="AQ84" s="25"/>
    </row>
    <row r="85">
      <c r="A85" s="23" t="s">
        <v>309</v>
      </c>
      <c r="B85" s="30"/>
      <c r="C85" s="25"/>
      <c r="D85" s="25"/>
      <c r="E85" s="25"/>
      <c r="F85" s="25"/>
      <c r="G85" s="25"/>
      <c r="H85" s="25"/>
      <c r="I85" s="24" t="s">
        <v>209</v>
      </c>
      <c r="J85" s="25"/>
      <c r="K85" s="24" t="s">
        <v>122</v>
      </c>
      <c r="L85" s="24" t="s">
        <v>193</v>
      </c>
      <c r="M85" s="24" t="s">
        <v>214</v>
      </c>
      <c r="N85" s="25"/>
      <c r="O85" s="31" t="s">
        <v>96</v>
      </c>
      <c r="P85" s="25"/>
      <c r="Q85" s="24" t="s">
        <v>242</v>
      </c>
      <c r="R85" s="25"/>
      <c r="S85" s="25"/>
      <c r="T85" s="10">
        <f t="shared" si="1"/>
        <v>6</v>
      </c>
      <c r="U85" s="25"/>
      <c r="V85" s="25"/>
      <c r="W85" s="25"/>
      <c r="X85" s="25"/>
      <c r="Y85" s="25"/>
      <c r="Z85" s="25"/>
      <c r="AA85" s="25"/>
      <c r="AB85" s="25"/>
      <c r="AC85" s="25"/>
      <c r="AD85" s="25"/>
      <c r="AE85" s="25"/>
      <c r="AF85" s="25"/>
      <c r="AG85" s="25"/>
      <c r="AH85" s="25"/>
      <c r="AI85" s="25"/>
      <c r="AJ85" s="25"/>
      <c r="AK85" s="25"/>
      <c r="AL85" s="25"/>
      <c r="AM85" s="25"/>
      <c r="AN85" s="25"/>
      <c r="AO85" s="25"/>
      <c r="AP85" s="25"/>
      <c r="AQ85" s="25"/>
    </row>
    <row r="86">
      <c r="A86" s="23" t="s">
        <v>310</v>
      </c>
      <c r="B86" s="30"/>
      <c r="C86" s="25"/>
      <c r="D86" s="25"/>
      <c r="E86" s="25"/>
      <c r="F86" s="25"/>
      <c r="G86" s="25"/>
      <c r="H86" s="23" t="s">
        <v>311</v>
      </c>
      <c r="I86" s="24" t="s">
        <v>209</v>
      </c>
      <c r="J86" s="25"/>
      <c r="K86" s="24" t="s">
        <v>122</v>
      </c>
      <c r="L86" s="24" t="s">
        <v>193</v>
      </c>
      <c r="M86" s="24" t="s">
        <v>214</v>
      </c>
      <c r="N86" s="25"/>
      <c r="O86" s="31" t="s">
        <v>96</v>
      </c>
      <c r="P86" s="25"/>
      <c r="Q86" s="24" t="s">
        <v>242</v>
      </c>
      <c r="R86" s="25"/>
      <c r="S86" s="25"/>
      <c r="T86" s="10">
        <f t="shared" si="1"/>
        <v>6</v>
      </c>
      <c r="U86" s="25"/>
      <c r="V86" s="25"/>
      <c r="W86" s="25"/>
      <c r="X86" s="25"/>
      <c r="Y86" s="25"/>
      <c r="Z86" s="25"/>
      <c r="AA86" s="25"/>
      <c r="AB86" s="25"/>
      <c r="AC86" s="25"/>
      <c r="AD86" s="25"/>
      <c r="AE86" s="25"/>
      <c r="AF86" s="25"/>
      <c r="AG86" s="25"/>
      <c r="AH86" s="25"/>
      <c r="AI86" s="25"/>
      <c r="AJ86" s="25"/>
      <c r="AK86" s="25"/>
      <c r="AL86" s="25"/>
      <c r="AM86" s="25"/>
      <c r="AN86" s="25"/>
      <c r="AO86" s="25"/>
      <c r="AP86" s="25"/>
      <c r="AQ86" s="25"/>
    </row>
    <row r="87">
      <c r="A87" s="23" t="s">
        <v>313</v>
      </c>
      <c r="B87" s="30"/>
      <c r="C87" s="25"/>
      <c r="D87" s="25"/>
      <c r="E87" s="25"/>
      <c r="F87" s="25"/>
      <c r="G87" s="25"/>
      <c r="H87" s="25"/>
      <c r="I87" s="24" t="s">
        <v>209</v>
      </c>
      <c r="J87" s="25"/>
      <c r="K87" s="24" t="s">
        <v>122</v>
      </c>
      <c r="L87" s="25"/>
      <c r="M87" s="25"/>
      <c r="N87" s="25"/>
      <c r="O87" s="25"/>
      <c r="P87" s="25"/>
      <c r="Q87" s="25"/>
      <c r="R87" s="25"/>
      <c r="S87" s="25"/>
      <c r="T87" s="10">
        <f t="shared" si="1"/>
        <v>2</v>
      </c>
      <c r="U87" s="25"/>
      <c r="V87" s="25"/>
      <c r="W87" s="25"/>
      <c r="X87" s="25"/>
      <c r="Y87" s="25"/>
      <c r="Z87" s="25"/>
      <c r="AA87" s="25"/>
      <c r="AB87" s="25"/>
      <c r="AC87" s="25"/>
      <c r="AD87" s="25"/>
      <c r="AE87" s="25"/>
      <c r="AF87" s="25"/>
      <c r="AG87" s="25"/>
      <c r="AH87" s="25"/>
      <c r="AI87" s="25"/>
      <c r="AJ87" s="25"/>
      <c r="AK87" s="25"/>
      <c r="AL87" s="25"/>
      <c r="AM87" s="25"/>
      <c r="AN87" s="25"/>
      <c r="AO87" s="25"/>
      <c r="AP87" s="25"/>
      <c r="AQ87" s="25"/>
    </row>
    <row r="88">
      <c r="A88" s="23" t="s">
        <v>314</v>
      </c>
      <c r="B88" s="30"/>
      <c r="C88" s="25"/>
      <c r="D88" s="25"/>
      <c r="E88" s="25"/>
      <c r="F88" s="25"/>
      <c r="G88" s="25"/>
      <c r="H88" s="23" t="s">
        <v>315</v>
      </c>
      <c r="I88" s="24" t="s">
        <v>209</v>
      </c>
      <c r="J88" s="25"/>
      <c r="K88" s="24" t="s">
        <v>122</v>
      </c>
      <c r="L88" s="25"/>
      <c r="M88" s="25"/>
      <c r="N88" s="25"/>
      <c r="O88" s="25"/>
      <c r="P88" s="25"/>
      <c r="Q88" s="25"/>
      <c r="R88" s="25"/>
      <c r="S88" s="25"/>
      <c r="T88" s="10">
        <f t="shared" si="1"/>
        <v>2</v>
      </c>
      <c r="U88" s="25"/>
      <c r="V88" s="25"/>
      <c r="W88" s="25"/>
      <c r="X88" s="25"/>
      <c r="Y88" s="25"/>
      <c r="Z88" s="25"/>
      <c r="AA88" s="25"/>
      <c r="AB88" s="25"/>
      <c r="AC88" s="25"/>
      <c r="AD88" s="25"/>
      <c r="AE88" s="25"/>
      <c r="AF88" s="25"/>
      <c r="AG88" s="25"/>
      <c r="AH88" s="25"/>
      <c r="AI88" s="25"/>
      <c r="AJ88" s="25"/>
      <c r="AK88" s="25"/>
      <c r="AL88" s="25"/>
      <c r="AM88" s="25"/>
      <c r="AN88" s="25"/>
      <c r="AO88" s="25"/>
      <c r="AP88" s="25"/>
      <c r="AQ88" s="25"/>
    </row>
    <row r="89">
      <c r="A89" s="23" t="s">
        <v>316</v>
      </c>
      <c r="B89" s="30"/>
      <c r="C89" s="25"/>
      <c r="D89" s="25"/>
      <c r="E89" s="25"/>
      <c r="F89" s="25"/>
      <c r="G89" s="25"/>
      <c r="H89" s="25"/>
      <c r="I89" s="24" t="s">
        <v>209</v>
      </c>
      <c r="J89" s="25"/>
      <c r="K89" s="24" t="s">
        <v>122</v>
      </c>
      <c r="L89" s="25"/>
      <c r="M89" s="25"/>
      <c r="N89" s="25"/>
      <c r="O89" s="25"/>
      <c r="P89" s="25"/>
      <c r="Q89" s="25"/>
      <c r="R89" s="25"/>
      <c r="S89" s="25"/>
      <c r="T89" s="10">
        <f t="shared" si="1"/>
        <v>2</v>
      </c>
      <c r="U89" s="25"/>
      <c r="V89" s="25"/>
      <c r="W89" s="25"/>
      <c r="X89" s="25"/>
      <c r="Y89" s="25"/>
      <c r="Z89" s="25"/>
      <c r="AA89" s="25"/>
      <c r="AB89" s="25"/>
      <c r="AC89" s="25"/>
      <c r="AD89" s="25"/>
      <c r="AE89" s="25"/>
      <c r="AF89" s="25"/>
      <c r="AG89" s="25"/>
      <c r="AH89" s="25"/>
      <c r="AI89" s="25"/>
      <c r="AJ89" s="25"/>
      <c r="AK89" s="25"/>
      <c r="AL89" s="25"/>
      <c r="AM89" s="25"/>
      <c r="AN89" s="25"/>
      <c r="AO89" s="25"/>
      <c r="AP89" s="25"/>
      <c r="AQ89" s="25"/>
    </row>
    <row r="90">
      <c r="A90" s="23" t="s">
        <v>317</v>
      </c>
      <c r="B90" s="30"/>
      <c r="C90" s="25"/>
      <c r="D90" s="25"/>
      <c r="E90" s="25"/>
      <c r="F90" s="25"/>
      <c r="G90" s="25"/>
      <c r="H90" s="25"/>
      <c r="I90" s="24" t="s">
        <v>209</v>
      </c>
      <c r="J90" s="25"/>
      <c r="K90" s="24" t="s">
        <v>122</v>
      </c>
      <c r="L90" s="25"/>
      <c r="M90" s="25"/>
      <c r="N90" s="25"/>
      <c r="O90" s="25"/>
      <c r="P90" s="25"/>
      <c r="Q90" s="25"/>
      <c r="R90" s="25"/>
      <c r="S90" s="25"/>
      <c r="T90" s="10">
        <f t="shared" si="1"/>
        <v>2</v>
      </c>
      <c r="U90" s="25"/>
      <c r="V90" s="25"/>
      <c r="W90" s="25"/>
      <c r="X90" s="25"/>
      <c r="Y90" s="25"/>
      <c r="Z90" s="25"/>
      <c r="AA90" s="25"/>
      <c r="AB90" s="25"/>
      <c r="AC90" s="25"/>
      <c r="AD90" s="25"/>
      <c r="AE90" s="25"/>
      <c r="AF90" s="25"/>
      <c r="AG90" s="25"/>
      <c r="AH90" s="25"/>
      <c r="AI90" s="25"/>
      <c r="AJ90" s="25"/>
      <c r="AK90" s="25"/>
      <c r="AL90" s="25"/>
      <c r="AM90" s="25"/>
      <c r="AN90" s="25"/>
      <c r="AO90" s="25"/>
      <c r="AP90" s="25"/>
      <c r="AQ90" s="25"/>
    </row>
    <row r="91">
      <c r="A91" s="23" t="s">
        <v>318</v>
      </c>
      <c r="B91" s="30"/>
      <c r="C91" s="25"/>
      <c r="D91" s="25"/>
      <c r="E91" s="25"/>
      <c r="F91" s="25"/>
      <c r="G91" s="25"/>
      <c r="H91" s="23" t="s">
        <v>319</v>
      </c>
      <c r="I91" s="24" t="s">
        <v>209</v>
      </c>
      <c r="J91" s="25"/>
      <c r="K91" s="24" t="s">
        <v>122</v>
      </c>
      <c r="L91" s="25"/>
      <c r="M91" s="25"/>
      <c r="N91" s="25"/>
      <c r="O91" s="25"/>
      <c r="P91" s="25"/>
      <c r="Q91" s="25"/>
      <c r="R91" s="25"/>
      <c r="S91" s="25"/>
      <c r="T91" s="10">
        <f t="shared" si="1"/>
        <v>2</v>
      </c>
      <c r="U91" s="25"/>
      <c r="V91" s="25"/>
      <c r="W91" s="25"/>
      <c r="X91" s="25"/>
      <c r="Y91" s="25"/>
      <c r="Z91" s="25"/>
      <c r="AA91" s="25"/>
      <c r="AB91" s="25"/>
      <c r="AC91" s="25"/>
      <c r="AD91" s="25"/>
      <c r="AE91" s="25"/>
      <c r="AF91" s="25"/>
      <c r="AG91" s="25"/>
      <c r="AH91" s="25"/>
      <c r="AI91" s="25"/>
      <c r="AJ91" s="25"/>
      <c r="AK91" s="25"/>
      <c r="AL91" s="25"/>
      <c r="AM91" s="25"/>
      <c r="AN91" s="25"/>
      <c r="AO91" s="25"/>
      <c r="AP91" s="25"/>
      <c r="AQ91" s="25"/>
    </row>
    <row r="92">
      <c r="A92" s="23" t="s">
        <v>320</v>
      </c>
      <c r="B92" s="30"/>
      <c r="C92" s="25"/>
      <c r="D92" s="25"/>
      <c r="E92" s="25"/>
      <c r="F92" s="25"/>
      <c r="G92" s="25"/>
      <c r="H92" s="25"/>
      <c r="I92" s="24" t="s">
        <v>209</v>
      </c>
      <c r="J92" s="25"/>
      <c r="K92" s="24" t="s">
        <v>122</v>
      </c>
      <c r="L92" s="25"/>
      <c r="M92" s="25"/>
      <c r="N92" s="25"/>
      <c r="O92" s="25"/>
      <c r="P92" s="25"/>
      <c r="Q92" s="25"/>
      <c r="R92" s="25"/>
      <c r="S92" s="25"/>
      <c r="T92" s="10">
        <f t="shared" si="1"/>
        <v>2</v>
      </c>
      <c r="U92" s="25"/>
      <c r="V92" s="25"/>
      <c r="W92" s="25"/>
      <c r="X92" s="25"/>
      <c r="Y92" s="25"/>
      <c r="Z92" s="25"/>
      <c r="AA92" s="25"/>
      <c r="AB92" s="25"/>
      <c r="AC92" s="25"/>
      <c r="AD92" s="25"/>
      <c r="AE92" s="25"/>
      <c r="AF92" s="25"/>
      <c r="AG92" s="25"/>
      <c r="AH92" s="25"/>
      <c r="AI92" s="25"/>
      <c r="AJ92" s="25"/>
      <c r="AK92" s="25"/>
      <c r="AL92" s="25"/>
      <c r="AM92" s="25"/>
      <c r="AN92" s="25"/>
      <c r="AO92" s="25"/>
      <c r="AP92" s="25"/>
      <c r="AQ92" s="25"/>
    </row>
    <row r="93">
      <c r="A93" s="23" t="s">
        <v>322</v>
      </c>
      <c r="B93" s="30"/>
      <c r="C93" s="25"/>
      <c r="D93" s="25"/>
      <c r="E93" s="25"/>
      <c r="F93" s="25"/>
      <c r="G93" s="25"/>
      <c r="H93" s="25"/>
      <c r="I93" s="24" t="s">
        <v>209</v>
      </c>
      <c r="J93" s="25"/>
      <c r="K93" s="24" t="s">
        <v>122</v>
      </c>
      <c r="L93" s="25"/>
      <c r="M93" s="25"/>
      <c r="N93" s="25"/>
      <c r="O93" s="25"/>
      <c r="P93" s="25"/>
      <c r="Q93" s="25"/>
      <c r="R93" s="25"/>
      <c r="S93" s="25"/>
      <c r="T93" s="10">
        <f t="shared" si="1"/>
        <v>2</v>
      </c>
      <c r="U93" s="25"/>
      <c r="V93" s="25"/>
      <c r="W93" s="25"/>
      <c r="X93" s="25"/>
      <c r="Y93" s="25"/>
      <c r="Z93" s="25"/>
      <c r="AA93" s="25"/>
      <c r="AB93" s="25"/>
      <c r="AC93" s="25"/>
      <c r="AD93" s="25"/>
      <c r="AE93" s="25"/>
      <c r="AF93" s="25"/>
      <c r="AG93" s="25"/>
      <c r="AH93" s="25"/>
      <c r="AI93" s="25"/>
      <c r="AJ93" s="25"/>
      <c r="AK93" s="25"/>
      <c r="AL93" s="25"/>
      <c r="AM93" s="25"/>
      <c r="AN93" s="25"/>
      <c r="AO93" s="25"/>
      <c r="AP93" s="25"/>
      <c r="AQ93" s="25"/>
    </row>
    <row r="94">
      <c r="A94" s="23" t="s">
        <v>324</v>
      </c>
      <c r="B94" s="30"/>
      <c r="C94" s="25"/>
      <c r="D94" s="25"/>
      <c r="E94" s="25"/>
      <c r="F94" s="25"/>
      <c r="G94" s="25"/>
      <c r="H94" s="23" t="s">
        <v>325</v>
      </c>
      <c r="I94" s="24" t="s">
        <v>209</v>
      </c>
      <c r="J94" s="25"/>
      <c r="K94" s="24" t="s">
        <v>122</v>
      </c>
      <c r="L94" s="25"/>
      <c r="M94" s="24" t="s">
        <v>214</v>
      </c>
      <c r="N94" s="25"/>
      <c r="O94" s="25"/>
      <c r="P94" s="25"/>
      <c r="Q94" s="25"/>
      <c r="R94" s="25"/>
      <c r="S94" s="25"/>
      <c r="T94" s="10">
        <f t="shared" si="1"/>
        <v>3</v>
      </c>
      <c r="U94" s="25"/>
      <c r="V94" s="25"/>
      <c r="W94" s="25"/>
      <c r="X94" s="25"/>
      <c r="Y94" s="25"/>
      <c r="Z94" s="25"/>
      <c r="AA94" s="25"/>
      <c r="AB94" s="25"/>
      <c r="AC94" s="25"/>
      <c r="AD94" s="25"/>
      <c r="AE94" s="25"/>
      <c r="AF94" s="25"/>
      <c r="AG94" s="25"/>
      <c r="AH94" s="25"/>
      <c r="AI94" s="25"/>
      <c r="AJ94" s="25"/>
      <c r="AK94" s="25"/>
      <c r="AL94" s="25"/>
      <c r="AM94" s="25"/>
      <c r="AN94" s="25"/>
      <c r="AO94" s="25"/>
      <c r="AP94" s="25"/>
      <c r="AQ94" s="25"/>
    </row>
    <row r="95">
      <c r="A95" s="23" t="s">
        <v>328</v>
      </c>
      <c r="B95" s="30"/>
      <c r="C95" s="25"/>
      <c r="D95" s="25"/>
      <c r="E95" s="25"/>
      <c r="F95" s="25"/>
      <c r="G95" s="25"/>
      <c r="H95" s="23" t="s">
        <v>329</v>
      </c>
      <c r="I95" s="24" t="s">
        <v>209</v>
      </c>
      <c r="J95" s="25"/>
      <c r="K95" s="24" t="s">
        <v>122</v>
      </c>
      <c r="L95" s="23"/>
      <c r="M95" s="24" t="s">
        <v>214</v>
      </c>
      <c r="N95" s="25"/>
      <c r="O95" s="25"/>
      <c r="P95" s="25"/>
      <c r="Q95" s="25"/>
      <c r="R95" s="25"/>
      <c r="S95" s="25"/>
      <c r="T95" s="10">
        <f t="shared" si="1"/>
        <v>3</v>
      </c>
      <c r="U95" s="25"/>
      <c r="V95" s="25"/>
      <c r="W95" s="25"/>
      <c r="X95" s="25"/>
      <c r="Y95" s="25"/>
      <c r="Z95" s="25"/>
      <c r="AA95" s="25"/>
      <c r="AB95" s="25"/>
      <c r="AC95" s="25"/>
      <c r="AD95" s="25"/>
      <c r="AE95" s="25"/>
      <c r="AF95" s="25"/>
      <c r="AG95" s="25"/>
      <c r="AH95" s="25"/>
      <c r="AI95" s="25"/>
      <c r="AJ95" s="25"/>
      <c r="AK95" s="25"/>
      <c r="AL95" s="25"/>
      <c r="AM95" s="25"/>
      <c r="AN95" s="25"/>
      <c r="AO95" s="25"/>
      <c r="AP95" s="25"/>
      <c r="AQ95" s="25"/>
    </row>
    <row r="96" ht="3.75" customHeight="1">
      <c r="A96" s="27"/>
      <c r="B96" s="28"/>
      <c r="C96" s="29"/>
      <c r="D96" s="29"/>
      <c r="E96" s="29"/>
      <c r="F96" s="29"/>
      <c r="G96" s="29"/>
      <c r="H96" s="27"/>
      <c r="I96" s="29"/>
      <c r="J96" s="29"/>
      <c r="K96" s="29"/>
      <c r="L96" s="29"/>
      <c r="M96" s="29"/>
      <c r="N96" s="29"/>
      <c r="O96" s="29"/>
      <c r="P96" s="29"/>
      <c r="Q96" s="29"/>
      <c r="R96" s="29"/>
      <c r="S96" s="29"/>
      <c r="T96" s="10">
        <f t="shared" si="1"/>
        <v>0</v>
      </c>
      <c r="U96" s="29"/>
      <c r="V96" s="29"/>
      <c r="W96" s="29"/>
      <c r="X96" s="29"/>
      <c r="Y96" s="29"/>
      <c r="Z96" s="29"/>
      <c r="AA96" s="29"/>
      <c r="AB96" s="29"/>
      <c r="AC96" s="29"/>
      <c r="AD96" s="29"/>
      <c r="AE96" s="29"/>
      <c r="AF96" s="29"/>
      <c r="AG96" s="29"/>
      <c r="AH96" s="29"/>
      <c r="AI96" s="29"/>
      <c r="AJ96" s="29"/>
      <c r="AK96" s="29"/>
      <c r="AL96" s="29"/>
      <c r="AM96" s="29"/>
      <c r="AN96" s="29"/>
      <c r="AO96" s="29"/>
      <c r="AP96" s="29"/>
      <c r="AQ96" s="29"/>
    </row>
    <row r="97">
      <c r="A97" s="23" t="s">
        <v>332</v>
      </c>
      <c r="B97" s="30"/>
      <c r="C97" s="25"/>
      <c r="D97" s="25"/>
      <c r="E97" s="25"/>
      <c r="F97" s="25"/>
      <c r="G97" s="25"/>
      <c r="H97" s="23" t="s">
        <v>333</v>
      </c>
      <c r="I97" s="23"/>
      <c r="J97" s="25"/>
      <c r="K97" s="24" t="s">
        <v>122</v>
      </c>
      <c r="L97" s="25"/>
      <c r="M97" s="25"/>
      <c r="N97" s="31" t="s">
        <v>164</v>
      </c>
      <c r="O97" s="25"/>
      <c r="P97" s="25"/>
      <c r="Q97" s="25"/>
      <c r="R97" s="25"/>
      <c r="S97" s="25"/>
      <c r="T97" s="10">
        <f t="shared" si="1"/>
        <v>2</v>
      </c>
      <c r="U97" s="25"/>
      <c r="V97" s="25"/>
      <c r="W97" s="25"/>
      <c r="X97" s="25"/>
      <c r="Y97" s="25"/>
      <c r="Z97" s="25"/>
      <c r="AA97" s="25"/>
      <c r="AB97" s="25"/>
      <c r="AC97" s="25"/>
      <c r="AD97" s="25"/>
      <c r="AE97" s="25"/>
      <c r="AF97" s="25"/>
      <c r="AG97" s="25"/>
      <c r="AH97" s="25"/>
      <c r="AI97" s="25"/>
      <c r="AJ97" s="25"/>
      <c r="AK97" s="25"/>
      <c r="AL97" s="25"/>
      <c r="AM97" s="25"/>
      <c r="AN97" s="25"/>
      <c r="AO97" s="25"/>
      <c r="AP97" s="25"/>
      <c r="AQ97" s="25"/>
    </row>
    <row r="98">
      <c r="A98" s="23" t="s">
        <v>334</v>
      </c>
      <c r="B98" s="30"/>
      <c r="C98" s="25"/>
      <c r="D98" s="25"/>
      <c r="E98" s="25"/>
      <c r="F98" s="25"/>
      <c r="G98" s="25"/>
      <c r="H98" s="23"/>
      <c r="I98" s="23"/>
      <c r="J98" s="25"/>
      <c r="K98" s="24" t="s">
        <v>335</v>
      </c>
      <c r="L98" s="25"/>
      <c r="M98" s="25"/>
      <c r="N98" s="31"/>
      <c r="O98" s="25"/>
      <c r="P98" s="25"/>
      <c r="Q98" s="25"/>
      <c r="R98" s="25"/>
      <c r="S98" s="25"/>
      <c r="T98" s="10">
        <f t="shared" si="1"/>
        <v>1</v>
      </c>
      <c r="U98" s="25"/>
      <c r="V98" s="25"/>
      <c r="W98" s="25"/>
      <c r="X98" s="25"/>
      <c r="Y98" s="25"/>
      <c r="Z98" s="25"/>
      <c r="AA98" s="25"/>
      <c r="AB98" s="25"/>
      <c r="AC98" s="25"/>
      <c r="AD98" s="25"/>
      <c r="AE98" s="25"/>
      <c r="AF98" s="25"/>
      <c r="AG98" s="25"/>
      <c r="AH98" s="25"/>
      <c r="AI98" s="25"/>
      <c r="AJ98" s="25"/>
      <c r="AK98" s="25"/>
      <c r="AL98" s="25"/>
      <c r="AM98" s="25"/>
      <c r="AN98" s="25"/>
      <c r="AO98" s="25"/>
      <c r="AP98" s="25"/>
      <c r="AQ98" s="25"/>
    </row>
    <row r="99">
      <c r="A99" s="22" t="s">
        <v>337</v>
      </c>
      <c r="B99" s="22"/>
      <c r="C99" s="22"/>
      <c r="D99" s="22"/>
      <c r="E99" s="22"/>
      <c r="F99" s="22"/>
      <c r="G99" s="22"/>
      <c r="H99" s="22"/>
      <c r="I99" s="22"/>
      <c r="J99" s="22"/>
      <c r="K99" s="22"/>
      <c r="L99" s="22"/>
      <c r="M99" s="22"/>
      <c r="N99" s="22"/>
      <c r="O99" s="22"/>
      <c r="P99" s="22"/>
      <c r="Q99" s="22"/>
      <c r="R99" s="22"/>
      <c r="S99" s="22"/>
      <c r="T99" s="10">
        <f t="shared" si="1"/>
        <v>0</v>
      </c>
      <c r="U99" s="22"/>
      <c r="V99" s="22"/>
      <c r="W99" s="22"/>
      <c r="X99" s="22"/>
      <c r="Y99" s="22"/>
      <c r="Z99" s="22"/>
      <c r="AA99" s="22"/>
      <c r="AB99" s="22"/>
      <c r="AC99" s="22"/>
      <c r="AD99" s="22"/>
      <c r="AE99" s="22"/>
      <c r="AF99" s="22"/>
      <c r="AG99" s="22"/>
      <c r="AH99" s="22"/>
      <c r="AI99" s="22"/>
      <c r="AJ99" s="22"/>
      <c r="AK99" s="22"/>
      <c r="AL99" s="22"/>
      <c r="AM99" s="22"/>
      <c r="AN99" s="22"/>
      <c r="AO99" s="22"/>
      <c r="AP99" s="22"/>
      <c r="AQ99" s="22"/>
    </row>
    <row r="100">
      <c r="A100" s="23" t="s">
        <v>338</v>
      </c>
      <c r="B100" s="30"/>
      <c r="C100" s="25"/>
      <c r="D100" s="25"/>
      <c r="E100" s="25"/>
      <c r="F100" s="25"/>
      <c r="G100" s="23" t="s">
        <v>340</v>
      </c>
      <c r="H100" s="23"/>
      <c r="I100" s="23"/>
      <c r="J100" s="25"/>
      <c r="K100" s="25"/>
      <c r="L100" s="25"/>
      <c r="M100" s="25"/>
      <c r="N100" s="25"/>
      <c r="O100" s="25"/>
      <c r="P100" s="25"/>
      <c r="Q100" s="25"/>
      <c r="R100" s="25"/>
      <c r="S100" s="23" t="s">
        <v>341</v>
      </c>
      <c r="T100" s="10">
        <f t="shared" si="1"/>
        <v>1</v>
      </c>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row>
    <row r="101">
      <c r="A101" s="23" t="s">
        <v>342</v>
      </c>
      <c r="B101" s="30"/>
      <c r="C101" s="25"/>
      <c r="D101" s="25"/>
      <c r="E101" s="25"/>
      <c r="F101" s="25"/>
      <c r="G101" s="23" t="s">
        <v>343</v>
      </c>
      <c r="H101" s="23"/>
      <c r="I101" s="23"/>
      <c r="J101" s="25"/>
      <c r="K101" s="25"/>
      <c r="L101" s="25"/>
      <c r="M101" s="25"/>
      <c r="N101" s="25"/>
      <c r="O101" s="25"/>
      <c r="P101" s="24" t="s">
        <v>268</v>
      </c>
      <c r="Q101" s="25"/>
      <c r="R101" s="25"/>
      <c r="S101" s="23" t="s">
        <v>344</v>
      </c>
      <c r="T101" s="10">
        <f t="shared" si="1"/>
        <v>2</v>
      </c>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row>
    <row r="102">
      <c r="A102" s="23" t="s">
        <v>345</v>
      </c>
      <c r="B102" s="30"/>
      <c r="C102" s="25"/>
      <c r="D102" s="25"/>
      <c r="E102" s="25"/>
      <c r="F102" s="25"/>
      <c r="G102" s="23"/>
      <c r="H102" s="23"/>
      <c r="I102" s="23"/>
      <c r="J102" s="25"/>
      <c r="K102" s="25"/>
      <c r="L102" s="25"/>
      <c r="M102" s="25"/>
      <c r="N102" s="25"/>
      <c r="O102" s="25"/>
      <c r="P102" s="25"/>
      <c r="Q102" s="25"/>
      <c r="R102" s="25"/>
      <c r="S102" s="23" t="s">
        <v>346</v>
      </c>
      <c r="T102" s="10">
        <f t="shared" si="1"/>
        <v>1</v>
      </c>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row>
    <row r="103">
      <c r="A103" s="23" t="s">
        <v>321</v>
      </c>
      <c r="B103" s="30"/>
      <c r="C103" s="25"/>
      <c r="D103" s="25"/>
      <c r="E103" s="25"/>
      <c r="F103" s="25"/>
      <c r="G103" s="23"/>
      <c r="H103" s="23"/>
      <c r="I103" s="23"/>
      <c r="J103" s="25"/>
      <c r="K103" s="25"/>
      <c r="L103" s="25"/>
      <c r="M103" s="24" t="s">
        <v>214</v>
      </c>
      <c r="N103" s="31" t="s">
        <v>164</v>
      </c>
      <c r="O103" s="25"/>
      <c r="P103" s="25"/>
      <c r="Q103" s="24" t="s">
        <v>221</v>
      </c>
      <c r="R103" s="23" t="s">
        <v>102</v>
      </c>
      <c r="S103" s="23"/>
      <c r="T103" s="10">
        <f t="shared" si="1"/>
        <v>4</v>
      </c>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row>
    <row r="104">
      <c r="A104" s="23" t="s">
        <v>350</v>
      </c>
      <c r="B104" s="30"/>
      <c r="C104" s="25"/>
      <c r="D104" s="25"/>
      <c r="E104" s="25"/>
      <c r="F104" s="25"/>
      <c r="G104" s="23"/>
      <c r="H104" s="23" t="s">
        <v>351</v>
      </c>
      <c r="I104" s="23"/>
      <c r="J104" s="31" t="s">
        <v>256</v>
      </c>
      <c r="K104" s="24" t="s">
        <v>122</v>
      </c>
      <c r="L104" s="25"/>
      <c r="M104" s="25"/>
      <c r="N104" s="31" t="s">
        <v>164</v>
      </c>
      <c r="O104" s="25"/>
      <c r="P104" s="25"/>
      <c r="Q104" s="23"/>
      <c r="R104" s="23" t="s">
        <v>102</v>
      </c>
      <c r="S104" s="23"/>
      <c r="T104" s="10">
        <f t="shared" si="1"/>
        <v>4</v>
      </c>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row>
    <row r="105">
      <c r="A105" s="23" t="s">
        <v>352</v>
      </c>
      <c r="B105" s="30"/>
      <c r="C105" s="25"/>
      <c r="D105" s="25"/>
      <c r="E105" s="25"/>
      <c r="F105" s="25"/>
      <c r="G105" s="23"/>
      <c r="H105" s="23"/>
      <c r="I105" s="23"/>
      <c r="J105" s="25"/>
      <c r="K105" s="25"/>
      <c r="L105" s="25"/>
      <c r="M105" s="25"/>
      <c r="N105" s="25"/>
      <c r="O105" s="25"/>
      <c r="P105" s="25"/>
      <c r="Q105" s="23"/>
      <c r="R105" s="23" t="s">
        <v>102</v>
      </c>
      <c r="S105" s="23"/>
      <c r="T105" s="10">
        <f t="shared" si="1"/>
        <v>1</v>
      </c>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row>
    <row r="106">
      <c r="A106" s="23" t="s">
        <v>353</v>
      </c>
      <c r="B106" s="30"/>
      <c r="C106" s="25"/>
      <c r="D106" s="25"/>
      <c r="E106" s="25"/>
      <c r="F106" s="25"/>
      <c r="G106" s="23"/>
      <c r="H106" s="23"/>
      <c r="I106" s="23"/>
      <c r="J106" s="25"/>
      <c r="K106" s="25"/>
      <c r="L106" s="25"/>
      <c r="M106" s="25"/>
      <c r="N106" s="25"/>
      <c r="O106" s="25"/>
      <c r="P106" s="25"/>
      <c r="Q106" s="23"/>
      <c r="R106" s="23" t="s">
        <v>102</v>
      </c>
      <c r="S106" s="23"/>
      <c r="T106" s="10">
        <f t="shared" si="1"/>
        <v>1</v>
      </c>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row>
    <row r="107">
      <c r="A107" s="23" t="s">
        <v>356</v>
      </c>
      <c r="B107" s="30"/>
      <c r="C107" s="25"/>
      <c r="D107" s="25"/>
      <c r="E107" s="25"/>
      <c r="F107" s="25"/>
      <c r="G107" s="23"/>
      <c r="H107" s="23"/>
      <c r="I107" s="23"/>
      <c r="J107" s="24" t="s">
        <v>256</v>
      </c>
      <c r="K107" s="25"/>
      <c r="L107" s="25"/>
      <c r="M107" s="25"/>
      <c r="N107" s="25"/>
      <c r="O107" s="25"/>
      <c r="P107" s="25"/>
      <c r="Q107" s="23"/>
      <c r="R107" s="23"/>
      <c r="S107" s="23"/>
      <c r="T107" s="10">
        <f t="shared" si="1"/>
        <v>1</v>
      </c>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row>
    <row r="108">
      <c r="A108" s="23" t="s">
        <v>360</v>
      </c>
      <c r="B108" s="30"/>
      <c r="C108" s="25"/>
      <c r="D108" s="25"/>
      <c r="E108" s="25"/>
      <c r="F108" s="25"/>
      <c r="G108" s="23"/>
      <c r="H108" s="23"/>
      <c r="I108" s="23"/>
      <c r="J108" s="24" t="s">
        <v>256</v>
      </c>
      <c r="K108" s="25"/>
      <c r="L108" s="25"/>
      <c r="M108" s="25"/>
      <c r="N108" s="25"/>
      <c r="O108" s="25"/>
      <c r="P108" s="25"/>
      <c r="Q108" s="23"/>
      <c r="R108" s="23"/>
      <c r="S108" s="23"/>
      <c r="T108" s="10">
        <f t="shared" si="1"/>
        <v>1</v>
      </c>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row>
    <row r="109">
      <c r="A109" s="23" t="s">
        <v>362</v>
      </c>
      <c r="B109" s="30"/>
      <c r="C109" s="25"/>
      <c r="D109" s="25"/>
      <c r="E109" s="25"/>
      <c r="F109" s="25"/>
      <c r="G109" s="23"/>
      <c r="H109" s="23"/>
      <c r="I109" s="23"/>
      <c r="J109" s="23"/>
      <c r="K109" s="25"/>
      <c r="L109" s="25"/>
      <c r="M109" s="25"/>
      <c r="N109" s="24" t="s">
        <v>164</v>
      </c>
      <c r="O109" s="25"/>
      <c r="P109" s="25"/>
      <c r="Q109" s="23"/>
      <c r="R109" s="23"/>
      <c r="S109" s="23"/>
      <c r="T109" s="10">
        <f t="shared" si="1"/>
        <v>1</v>
      </c>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row>
    <row r="110">
      <c r="A110" s="23" t="s">
        <v>365</v>
      </c>
      <c r="B110" s="30"/>
      <c r="C110" s="25"/>
      <c r="D110" s="25"/>
      <c r="E110" s="25"/>
      <c r="F110" s="25"/>
      <c r="G110" s="23"/>
      <c r="H110" s="23"/>
      <c r="I110" s="23"/>
      <c r="J110" s="23"/>
      <c r="K110" s="25"/>
      <c r="L110" s="25"/>
      <c r="M110" s="25"/>
      <c r="N110" s="23" t="s">
        <v>164</v>
      </c>
      <c r="O110" s="25"/>
      <c r="P110" s="25"/>
      <c r="Q110" s="23"/>
      <c r="R110" s="23"/>
      <c r="S110" s="23"/>
      <c r="T110" s="10">
        <f t="shared" si="1"/>
        <v>1</v>
      </c>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row>
    <row r="111">
      <c r="A111" s="23" t="s">
        <v>367</v>
      </c>
      <c r="B111" s="30"/>
      <c r="C111" s="25"/>
      <c r="D111" s="25"/>
      <c r="E111" s="25"/>
      <c r="F111" s="25"/>
      <c r="G111" s="23"/>
      <c r="H111" s="23"/>
      <c r="I111" s="23"/>
      <c r="J111" s="23"/>
      <c r="K111" s="24" t="s">
        <v>122</v>
      </c>
      <c r="L111" s="25"/>
      <c r="M111" s="25"/>
      <c r="N111" s="23"/>
      <c r="O111" s="25"/>
      <c r="P111" s="25"/>
      <c r="Q111" s="23"/>
      <c r="R111" s="23"/>
      <c r="S111" s="23"/>
      <c r="T111" s="10">
        <f t="shared" si="1"/>
        <v>1</v>
      </c>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row>
    <row r="112">
      <c r="A112" s="35" t="s">
        <v>370</v>
      </c>
      <c r="B112" s="35"/>
      <c r="C112" s="35"/>
      <c r="D112" s="35"/>
      <c r="E112" s="35"/>
      <c r="F112" s="35"/>
      <c r="G112" s="35"/>
      <c r="H112" s="35"/>
      <c r="I112" s="35"/>
      <c r="J112" s="35"/>
      <c r="K112" s="35"/>
      <c r="L112" s="35"/>
      <c r="M112" s="35"/>
      <c r="N112" s="35"/>
      <c r="O112" s="35"/>
      <c r="P112" s="35"/>
      <c r="Q112" s="35"/>
      <c r="R112" s="35"/>
      <c r="S112" s="35"/>
      <c r="T112" s="10">
        <f t="shared" si="1"/>
        <v>0</v>
      </c>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row>
    <row r="113">
      <c r="A113" s="36" t="s">
        <v>34</v>
      </c>
      <c r="B113" s="36"/>
      <c r="C113" s="36"/>
      <c r="D113" s="36"/>
      <c r="E113" s="36"/>
      <c r="F113" s="36"/>
      <c r="G113" s="36"/>
      <c r="H113" s="36"/>
      <c r="I113" s="36"/>
      <c r="J113" s="36"/>
      <c r="K113" s="36"/>
      <c r="L113" s="36"/>
      <c r="M113" s="36"/>
      <c r="N113" s="36"/>
      <c r="O113" s="36"/>
      <c r="P113" s="36"/>
      <c r="Q113" s="36"/>
      <c r="R113" s="36"/>
      <c r="S113" s="36"/>
      <c r="T113" s="10">
        <f t="shared" si="1"/>
        <v>0</v>
      </c>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row>
    <row r="114">
      <c r="A114" s="37" t="s">
        <v>354</v>
      </c>
      <c r="B114" s="38"/>
      <c r="C114" s="39"/>
      <c r="D114" s="39"/>
      <c r="E114" s="39"/>
      <c r="F114" s="39"/>
      <c r="G114" s="39"/>
      <c r="H114" s="39"/>
      <c r="I114" s="40" t="s">
        <v>209</v>
      </c>
      <c r="J114" s="39"/>
      <c r="K114" s="39"/>
      <c r="L114" s="39"/>
      <c r="M114" s="39"/>
      <c r="N114" s="39"/>
      <c r="O114" s="39"/>
      <c r="P114" s="39"/>
      <c r="Q114" s="39"/>
      <c r="R114" s="39"/>
      <c r="S114" s="39"/>
      <c r="T114" s="10">
        <f t="shared" si="1"/>
        <v>1</v>
      </c>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row>
    <row r="115">
      <c r="A115" s="37" t="s">
        <v>355</v>
      </c>
      <c r="B115" s="38"/>
      <c r="C115" s="39"/>
      <c r="D115" s="39"/>
      <c r="E115" s="39"/>
      <c r="F115" s="39"/>
      <c r="G115" s="39"/>
      <c r="H115" s="39"/>
      <c r="I115" s="40" t="s">
        <v>209</v>
      </c>
      <c r="J115" s="39"/>
      <c r="K115" s="39"/>
      <c r="L115" s="39"/>
      <c r="M115" s="39"/>
      <c r="N115" s="39"/>
      <c r="O115" s="39"/>
      <c r="P115" s="39"/>
      <c r="Q115" s="39"/>
      <c r="R115" s="39"/>
      <c r="S115" s="39"/>
      <c r="T115" s="10">
        <f t="shared" si="1"/>
        <v>1</v>
      </c>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row>
    <row r="116">
      <c r="A116" s="37" t="s">
        <v>312</v>
      </c>
      <c r="B116" s="38"/>
      <c r="C116" s="39"/>
      <c r="D116" s="39"/>
      <c r="E116" s="39"/>
      <c r="F116" s="39"/>
      <c r="G116" s="39"/>
      <c r="H116" s="39"/>
      <c r="I116" s="40" t="s">
        <v>209</v>
      </c>
      <c r="J116" s="39"/>
      <c r="K116" s="40" t="s">
        <v>122</v>
      </c>
      <c r="L116" s="39"/>
      <c r="M116" s="40" t="s">
        <v>214</v>
      </c>
      <c r="N116" s="40" t="s">
        <v>164</v>
      </c>
      <c r="O116" s="39"/>
      <c r="P116" s="39"/>
      <c r="Q116" s="39"/>
      <c r="R116" s="37" t="s">
        <v>102</v>
      </c>
      <c r="S116" s="39"/>
      <c r="T116" s="10">
        <f t="shared" si="1"/>
        <v>5</v>
      </c>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row>
    <row r="117">
      <c r="A117" s="37" t="s">
        <v>373</v>
      </c>
      <c r="B117" s="38"/>
      <c r="C117" s="39"/>
      <c r="D117" s="39"/>
      <c r="E117" s="39"/>
      <c r="F117" s="39"/>
      <c r="G117" s="39"/>
      <c r="H117" s="37" t="s">
        <v>375</v>
      </c>
      <c r="I117" s="40" t="s">
        <v>209</v>
      </c>
      <c r="J117" s="39"/>
      <c r="K117" s="39"/>
      <c r="L117" s="39"/>
      <c r="M117" s="37"/>
      <c r="N117" s="39"/>
      <c r="O117" s="41" t="s">
        <v>96</v>
      </c>
      <c r="P117" s="39"/>
      <c r="Q117" s="39"/>
      <c r="R117" s="39"/>
      <c r="S117" s="39"/>
      <c r="T117" s="10">
        <f t="shared" si="1"/>
        <v>2</v>
      </c>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row>
    <row r="118">
      <c r="A118" s="37" t="s">
        <v>378</v>
      </c>
      <c r="B118" s="38"/>
      <c r="C118" s="39"/>
      <c r="D118" s="39"/>
      <c r="E118" s="39"/>
      <c r="F118" s="39"/>
      <c r="G118" s="39"/>
      <c r="H118" s="37" t="s">
        <v>379</v>
      </c>
      <c r="I118" s="40" t="s">
        <v>209</v>
      </c>
      <c r="J118" s="39"/>
      <c r="K118" s="39"/>
      <c r="L118" s="39"/>
      <c r="M118" s="39"/>
      <c r="N118" s="39"/>
      <c r="O118" s="40" t="s">
        <v>96</v>
      </c>
      <c r="P118" s="39"/>
      <c r="Q118" s="39"/>
      <c r="R118" s="39"/>
      <c r="S118" s="39"/>
      <c r="T118" s="10">
        <f t="shared" si="1"/>
        <v>2</v>
      </c>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row>
    <row r="119">
      <c r="A119" s="37" t="s">
        <v>380</v>
      </c>
      <c r="B119" s="38"/>
      <c r="C119" s="39"/>
      <c r="D119" s="39"/>
      <c r="E119" s="39"/>
      <c r="F119" s="39"/>
      <c r="G119" s="39"/>
      <c r="H119" s="37" t="s">
        <v>379</v>
      </c>
      <c r="I119" s="40" t="s">
        <v>209</v>
      </c>
      <c r="J119" s="39"/>
      <c r="K119" s="39"/>
      <c r="L119" s="39"/>
      <c r="M119" s="39"/>
      <c r="N119" s="39"/>
      <c r="O119" s="39"/>
      <c r="P119" s="39"/>
      <c r="Q119" s="40" t="s">
        <v>242</v>
      </c>
      <c r="R119" s="39"/>
      <c r="S119" s="37" t="s">
        <v>296</v>
      </c>
      <c r="T119" s="10">
        <f t="shared" si="1"/>
        <v>3</v>
      </c>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row>
    <row r="120">
      <c r="A120" s="37" t="s">
        <v>383</v>
      </c>
      <c r="B120" s="38"/>
      <c r="C120" s="39"/>
      <c r="D120" s="39"/>
      <c r="E120" s="39"/>
      <c r="F120" s="39"/>
      <c r="G120" s="39"/>
      <c r="H120" s="39"/>
      <c r="I120" s="40" t="s">
        <v>209</v>
      </c>
      <c r="J120" s="39"/>
      <c r="K120" s="39"/>
      <c r="L120" s="39"/>
      <c r="M120" s="39"/>
      <c r="N120" s="39"/>
      <c r="O120" s="40" t="s">
        <v>96</v>
      </c>
      <c r="P120" s="39"/>
      <c r="Q120" s="39"/>
      <c r="R120" s="39"/>
      <c r="S120" s="39"/>
      <c r="T120" s="10">
        <f t="shared" si="1"/>
        <v>2</v>
      </c>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row>
    <row r="121">
      <c r="A121" s="37" t="s">
        <v>357</v>
      </c>
      <c r="B121" s="38"/>
      <c r="C121" s="39"/>
      <c r="D121" s="39"/>
      <c r="E121" s="39"/>
      <c r="F121" s="39"/>
      <c r="G121" s="39"/>
      <c r="H121" s="39"/>
      <c r="I121" s="40" t="s">
        <v>209</v>
      </c>
      <c r="J121" s="39"/>
      <c r="K121" s="39"/>
      <c r="L121" s="39"/>
      <c r="M121" s="39"/>
      <c r="N121" s="39"/>
      <c r="O121" s="39"/>
      <c r="P121" s="39"/>
      <c r="Q121" s="39"/>
      <c r="R121" s="39"/>
      <c r="S121" s="39"/>
      <c r="T121" s="10">
        <f t="shared" si="1"/>
        <v>1</v>
      </c>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row>
    <row r="122" ht="3.75" customHeight="1">
      <c r="A122" s="42"/>
      <c r="B122" s="43"/>
      <c r="C122" s="44"/>
      <c r="D122" s="44"/>
      <c r="E122" s="44"/>
      <c r="F122" s="44"/>
      <c r="G122" s="44"/>
      <c r="H122" s="42"/>
      <c r="I122" s="42"/>
      <c r="J122" s="44"/>
      <c r="K122" s="44"/>
      <c r="L122" s="44"/>
      <c r="M122" s="44"/>
      <c r="N122" s="44"/>
      <c r="O122" s="42"/>
      <c r="P122" s="44"/>
      <c r="Q122" s="44"/>
      <c r="R122" s="44"/>
      <c r="S122" s="44"/>
      <c r="T122" s="10">
        <f t="shared" si="1"/>
        <v>0</v>
      </c>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row>
    <row r="123">
      <c r="A123" s="37" t="s">
        <v>386</v>
      </c>
      <c r="B123" s="38"/>
      <c r="C123" s="39"/>
      <c r="D123" s="39"/>
      <c r="E123" s="39"/>
      <c r="F123" s="39"/>
      <c r="G123" s="39"/>
      <c r="H123" s="37" t="s">
        <v>387</v>
      </c>
      <c r="I123" s="37"/>
      <c r="J123" s="39"/>
      <c r="K123" s="40" t="s">
        <v>122</v>
      </c>
      <c r="L123" s="40" t="s">
        <v>193</v>
      </c>
      <c r="M123" s="40" t="s">
        <v>214</v>
      </c>
      <c r="N123" s="41" t="s">
        <v>164</v>
      </c>
      <c r="O123" s="40" t="s">
        <v>96</v>
      </c>
      <c r="P123" s="39"/>
      <c r="Q123" s="39"/>
      <c r="R123" s="39"/>
      <c r="S123" s="39"/>
      <c r="T123" s="10">
        <f t="shared" si="1"/>
        <v>5</v>
      </c>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row>
    <row r="124">
      <c r="A124" s="37" t="s">
        <v>389</v>
      </c>
      <c r="B124" s="38"/>
      <c r="C124" s="39"/>
      <c r="D124" s="39"/>
      <c r="E124" s="39"/>
      <c r="F124" s="39"/>
      <c r="G124" s="39"/>
      <c r="H124" s="37" t="s">
        <v>390</v>
      </c>
      <c r="I124" s="37"/>
      <c r="J124" s="39"/>
      <c r="K124" s="40" t="s">
        <v>86</v>
      </c>
      <c r="L124" s="39"/>
      <c r="M124" s="40" t="s">
        <v>214</v>
      </c>
      <c r="N124" s="39"/>
      <c r="O124" s="37"/>
      <c r="P124" s="39"/>
      <c r="Q124" s="40" t="s">
        <v>221</v>
      </c>
      <c r="R124" s="39"/>
      <c r="S124" s="39"/>
      <c r="T124" s="10">
        <f t="shared" si="1"/>
        <v>3</v>
      </c>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row>
    <row r="125">
      <c r="A125" s="37" t="s">
        <v>394</v>
      </c>
      <c r="B125" s="38"/>
      <c r="C125" s="39"/>
      <c r="D125" s="39"/>
      <c r="E125" s="39"/>
      <c r="F125" s="39"/>
      <c r="G125" s="39"/>
      <c r="H125" s="37"/>
      <c r="I125" s="37"/>
      <c r="J125" s="39"/>
      <c r="K125" s="39"/>
      <c r="L125" s="39"/>
      <c r="M125" s="39"/>
      <c r="N125" s="41"/>
      <c r="O125" s="37"/>
      <c r="P125" s="39"/>
      <c r="Q125" s="37"/>
      <c r="R125" s="37" t="s">
        <v>102</v>
      </c>
      <c r="S125" s="39"/>
      <c r="T125" s="10">
        <f t="shared" si="1"/>
        <v>1</v>
      </c>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row>
    <row r="126">
      <c r="A126" s="36" t="s">
        <v>35</v>
      </c>
      <c r="B126" s="36"/>
      <c r="C126" s="36"/>
      <c r="D126" s="36"/>
      <c r="E126" s="36"/>
      <c r="F126" s="36"/>
      <c r="G126" s="36"/>
      <c r="H126" s="36"/>
      <c r="I126" s="36"/>
      <c r="J126" s="36"/>
      <c r="K126" s="36"/>
      <c r="L126" s="36"/>
      <c r="M126" s="36"/>
      <c r="N126" s="36"/>
      <c r="O126" s="36"/>
      <c r="P126" s="36"/>
      <c r="Q126" s="36"/>
      <c r="R126" s="36"/>
      <c r="S126" s="36"/>
      <c r="T126" s="10">
        <f t="shared" si="1"/>
        <v>0</v>
      </c>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row>
    <row r="127">
      <c r="A127" s="37" t="s">
        <v>395</v>
      </c>
      <c r="B127" s="38"/>
      <c r="C127" s="39"/>
      <c r="D127" s="39"/>
      <c r="E127" s="39"/>
      <c r="F127" s="39"/>
      <c r="G127" s="39"/>
      <c r="H127" s="39"/>
      <c r="I127" s="40" t="s">
        <v>209</v>
      </c>
      <c r="J127" s="39"/>
      <c r="K127" s="39"/>
      <c r="L127" s="39"/>
      <c r="M127" s="39"/>
      <c r="N127" s="39"/>
      <c r="O127" s="39"/>
      <c r="P127" s="39"/>
      <c r="Q127" s="40" t="s">
        <v>242</v>
      </c>
      <c r="R127" s="39"/>
      <c r="S127" s="39"/>
      <c r="T127" s="10">
        <f t="shared" si="1"/>
        <v>2</v>
      </c>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row>
    <row r="128">
      <c r="A128" s="36" t="s">
        <v>36</v>
      </c>
      <c r="B128" s="36"/>
      <c r="C128" s="36"/>
      <c r="D128" s="36"/>
      <c r="E128" s="36"/>
      <c r="F128" s="36"/>
      <c r="G128" s="36"/>
      <c r="H128" s="36"/>
      <c r="I128" s="36"/>
      <c r="J128" s="36"/>
      <c r="K128" s="36"/>
      <c r="L128" s="36"/>
      <c r="M128" s="36"/>
      <c r="N128" s="36"/>
      <c r="O128" s="36"/>
      <c r="P128" s="36"/>
      <c r="Q128" s="36"/>
      <c r="R128" s="36"/>
      <c r="S128" s="36"/>
      <c r="T128" s="10">
        <f t="shared" si="1"/>
        <v>0</v>
      </c>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row>
    <row r="129">
      <c r="A129" s="37" t="s">
        <v>398</v>
      </c>
      <c r="B129" s="38"/>
      <c r="C129" s="39"/>
      <c r="D129" s="39"/>
      <c r="E129" s="39"/>
      <c r="F129" s="39"/>
      <c r="G129" s="39"/>
      <c r="H129" s="37" t="s">
        <v>399</v>
      </c>
      <c r="I129" s="40" t="s">
        <v>209</v>
      </c>
      <c r="J129" s="39"/>
      <c r="K129" s="39"/>
      <c r="L129" s="39"/>
      <c r="M129" s="39"/>
      <c r="N129" s="39"/>
      <c r="O129" s="39"/>
      <c r="P129" s="39"/>
      <c r="Q129" s="39"/>
      <c r="R129" s="37" t="s">
        <v>102</v>
      </c>
      <c r="S129" s="37" t="s">
        <v>248</v>
      </c>
      <c r="T129" s="10">
        <f t="shared" si="1"/>
        <v>3</v>
      </c>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row>
    <row r="130">
      <c r="A130" s="37" t="s">
        <v>401</v>
      </c>
      <c r="B130" s="38"/>
      <c r="C130" s="39"/>
      <c r="D130" s="39"/>
      <c r="E130" s="39"/>
      <c r="F130" s="39"/>
      <c r="G130" s="39"/>
      <c r="H130" s="37" t="s">
        <v>402</v>
      </c>
      <c r="I130" s="40" t="s">
        <v>209</v>
      </c>
      <c r="J130" s="39"/>
      <c r="K130" s="39"/>
      <c r="L130" s="39"/>
      <c r="M130" s="39"/>
      <c r="N130" s="39"/>
      <c r="O130" s="39"/>
      <c r="P130" s="39"/>
      <c r="Q130" s="39"/>
      <c r="R130" s="37" t="s">
        <v>102</v>
      </c>
      <c r="S130" s="39"/>
      <c r="T130" s="10">
        <f t="shared" si="1"/>
        <v>2</v>
      </c>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row>
    <row r="131">
      <c r="A131" s="37" t="s">
        <v>403</v>
      </c>
      <c r="B131" s="38"/>
      <c r="C131" s="39"/>
      <c r="D131" s="39"/>
      <c r="E131" s="39"/>
      <c r="F131" s="39"/>
      <c r="G131" s="39"/>
      <c r="H131" s="37" t="s">
        <v>404</v>
      </c>
      <c r="I131" s="40" t="s">
        <v>209</v>
      </c>
      <c r="J131" s="39"/>
      <c r="K131" s="39"/>
      <c r="L131" s="39"/>
      <c r="M131" s="39"/>
      <c r="N131" s="39"/>
      <c r="O131" s="39"/>
      <c r="P131" s="39"/>
      <c r="Q131" s="39"/>
      <c r="R131" s="37"/>
      <c r="S131" s="39"/>
      <c r="T131" s="10">
        <f t="shared" si="1"/>
        <v>1</v>
      </c>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row>
    <row r="132">
      <c r="A132" s="37" t="s">
        <v>406</v>
      </c>
      <c r="B132" s="38"/>
      <c r="C132" s="39"/>
      <c r="D132" s="39"/>
      <c r="E132" s="39"/>
      <c r="F132" s="39"/>
      <c r="G132" s="39"/>
      <c r="H132" s="37" t="s">
        <v>407</v>
      </c>
      <c r="I132" s="40" t="s">
        <v>209</v>
      </c>
      <c r="J132" s="39"/>
      <c r="K132" s="40" t="s">
        <v>408</v>
      </c>
      <c r="L132" s="39"/>
      <c r="M132" s="39"/>
      <c r="N132" s="40" t="s">
        <v>164</v>
      </c>
      <c r="O132" s="39"/>
      <c r="P132" s="39"/>
      <c r="Q132" s="40" t="s">
        <v>221</v>
      </c>
      <c r="R132" s="37" t="s">
        <v>102</v>
      </c>
      <c r="S132" s="37" t="s">
        <v>248</v>
      </c>
      <c r="T132" s="10">
        <f t="shared" si="1"/>
        <v>6</v>
      </c>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row>
    <row r="133" ht="3.75" customHeight="1">
      <c r="A133" s="42"/>
      <c r="B133" s="43"/>
      <c r="C133" s="44"/>
      <c r="D133" s="44"/>
      <c r="E133" s="44"/>
      <c r="F133" s="44"/>
      <c r="G133" s="44"/>
      <c r="H133" s="42"/>
      <c r="I133" s="42"/>
      <c r="J133" s="44"/>
      <c r="K133" s="44"/>
      <c r="L133" s="44"/>
      <c r="M133" s="44"/>
      <c r="N133" s="44"/>
      <c r="O133" s="42"/>
      <c r="P133" s="44"/>
      <c r="Q133" s="44"/>
      <c r="R133" s="44"/>
      <c r="S133" s="44"/>
      <c r="T133" s="10">
        <f t="shared" si="1"/>
        <v>0</v>
      </c>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row>
    <row r="134">
      <c r="A134" s="37" t="s">
        <v>410</v>
      </c>
      <c r="B134" s="38"/>
      <c r="C134" s="39"/>
      <c r="D134" s="39"/>
      <c r="E134" s="39"/>
      <c r="F134" s="39"/>
      <c r="G134" s="39"/>
      <c r="H134" s="37"/>
      <c r="I134" s="37"/>
      <c r="J134" s="39"/>
      <c r="K134" s="39"/>
      <c r="L134" s="39"/>
      <c r="M134" s="39"/>
      <c r="N134" s="39"/>
      <c r="O134" s="39"/>
      <c r="P134" s="39"/>
      <c r="Q134" s="37"/>
      <c r="R134" s="37" t="s">
        <v>102</v>
      </c>
      <c r="S134" s="37"/>
      <c r="T134" s="10">
        <f t="shared" si="1"/>
        <v>1</v>
      </c>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row>
    <row r="135">
      <c r="A135" s="36" t="s">
        <v>37</v>
      </c>
      <c r="B135" s="36"/>
      <c r="C135" s="36"/>
      <c r="D135" s="36"/>
      <c r="E135" s="36"/>
      <c r="F135" s="36"/>
      <c r="G135" s="36"/>
      <c r="H135" s="36"/>
      <c r="I135" s="36"/>
      <c r="J135" s="36"/>
      <c r="K135" s="36"/>
      <c r="L135" s="36"/>
      <c r="M135" s="36"/>
      <c r="N135" s="36"/>
      <c r="O135" s="36"/>
      <c r="P135" s="36"/>
      <c r="Q135" s="36"/>
      <c r="R135" s="36"/>
      <c r="S135" s="36"/>
      <c r="T135" s="10">
        <f t="shared" si="1"/>
        <v>0</v>
      </c>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row>
    <row r="136">
      <c r="A136" s="37" t="s">
        <v>411</v>
      </c>
      <c r="B136" s="38"/>
      <c r="C136" s="39"/>
      <c r="D136" s="39"/>
      <c r="E136" s="39"/>
      <c r="F136" s="39"/>
      <c r="G136" s="39"/>
      <c r="H136" s="37" t="s">
        <v>412</v>
      </c>
      <c r="I136" s="40" t="s">
        <v>209</v>
      </c>
      <c r="J136" s="41" t="s">
        <v>256</v>
      </c>
      <c r="K136" s="40" t="s">
        <v>122</v>
      </c>
      <c r="L136" s="40" t="s">
        <v>193</v>
      </c>
      <c r="M136" s="37"/>
      <c r="N136" s="40" t="s">
        <v>164</v>
      </c>
      <c r="O136" s="39"/>
      <c r="P136" s="37" t="s">
        <v>283</v>
      </c>
      <c r="Q136" s="37" t="s">
        <v>261</v>
      </c>
      <c r="R136" s="39"/>
      <c r="S136" s="37" t="s">
        <v>288</v>
      </c>
      <c r="T136" s="10">
        <f t="shared" si="1"/>
        <v>8</v>
      </c>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row>
    <row r="137">
      <c r="A137" s="37" t="s">
        <v>415</v>
      </c>
      <c r="B137" s="38"/>
      <c r="C137" s="39"/>
      <c r="D137" s="39"/>
      <c r="E137" s="39"/>
      <c r="F137" s="39"/>
      <c r="G137" s="39"/>
      <c r="H137" s="37" t="s">
        <v>416</v>
      </c>
      <c r="I137" s="40" t="s">
        <v>209</v>
      </c>
      <c r="J137" s="37" t="s">
        <v>273</v>
      </c>
      <c r="K137" s="40" t="s">
        <v>122</v>
      </c>
      <c r="L137" s="40" t="s">
        <v>193</v>
      </c>
      <c r="M137" s="37"/>
      <c r="N137" s="40" t="s">
        <v>164</v>
      </c>
      <c r="O137" s="39"/>
      <c r="P137" s="39"/>
      <c r="Q137" s="40" t="s">
        <v>242</v>
      </c>
      <c r="R137" s="37" t="s">
        <v>102</v>
      </c>
      <c r="S137" s="37" t="s">
        <v>418</v>
      </c>
      <c r="T137" s="10">
        <f t="shared" si="1"/>
        <v>8</v>
      </c>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row>
    <row r="138">
      <c r="A138" s="37" t="s">
        <v>419</v>
      </c>
      <c r="B138" s="38"/>
      <c r="C138" s="39"/>
      <c r="D138" s="39"/>
      <c r="E138" s="39"/>
      <c r="F138" s="39"/>
      <c r="G138" s="39"/>
      <c r="H138" s="37"/>
      <c r="I138" s="40" t="s">
        <v>209</v>
      </c>
      <c r="J138" s="39"/>
      <c r="K138" s="39"/>
      <c r="L138" s="39"/>
      <c r="M138" s="39"/>
      <c r="N138" s="37" t="s">
        <v>164</v>
      </c>
      <c r="O138" s="39"/>
      <c r="P138" s="39"/>
      <c r="Q138" s="37" t="s">
        <v>420</v>
      </c>
      <c r="R138" s="37" t="s">
        <v>102</v>
      </c>
      <c r="S138" s="37" t="s">
        <v>296</v>
      </c>
      <c r="T138" s="10">
        <f t="shared" si="1"/>
        <v>5</v>
      </c>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row>
    <row r="139">
      <c r="A139" s="37" t="s">
        <v>397</v>
      </c>
      <c r="B139" s="38"/>
      <c r="C139" s="39"/>
      <c r="D139" s="39"/>
      <c r="E139" s="39"/>
      <c r="F139" s="39"/>
      <c r="G139" s="39"/>
      <c r="H139" s="39"/>
      <c r="I139" s="40" t="s">
        <v>209</v>
      </c>
      <c r="J139" s="37" t="s">
        <v>273</v>
      </c>
      <c r="K139" s="40" t="s">
        <v>122</v>
      </c>
      <c r="L139" s="40" t="s">
        <v>193</v>
      </c>
      <c r="M139" s="37"/>
      <c r="N139" s="40" t="s">
        <v>164</v>
      </c>
      <c r="O139" s="41" t="s">
        <v>96</v>
      </c>
      <c r="P139" s="39"/>
      <c r="Q139" s="37" t="s">
        <v>261</v>
      </c>
      <c r="R139" s="37" t="s">
        <v>102</v>
      </c>
      <c r="S139" s="37" t="s">
        <v>296</v>
      </c>
      <c r="T139" s="10">
        <f t="shared" si="1"/>
        <v>9</v>
      </c>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row>
    <row r="140">
      <c r="A140" s="37" t="s">
        <v>400</v>
      </c>
      <c r="B140" s="38"/>
      <c r="C140" s="39"/>
      <c r="D140" s="39"/>
      <c r="E140" s="39"/>
      <c r="F140" s="39"/>
      <c r="G140" s="39"/>
      <c r="H140" s="39"/>
      <c r="I140" s="40" t="s">
        <v>209</v>
      </c>
      <c r="J140" s="37" t="s">
        <v>273</v>
      </c>
      <c r="K140" s="40" t="s">
        <v>122</v>
      </c>
      <c r="L140" s="40" t="s">
        <v>193</v>
      </c>
      <c r="M140" s="37"/>
      <c r="N140" s="40" t="s">
        <v>164</v>
      </c>
      <c r="O140" s="41" t="s">
        <v>96</v>
      </c>
      <c r="P140" s="39"/>
      <c r="Q140" s="37" t="s">
        <v>261</v>
      </c>
      <c r="R140" s="37" t="s">
        <v>102</v>
      </c>
      <c r="S140" s="37" t="s">
        <v>296</v>
      </c>
      <c r="T140" s="10">
        <f t="shared" si="1"/>
        <v>9</v>
      </c>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row>
    <row r="141">
      <c r="A141" s="37" t="s">
        <v>405</v>
      </c>
      <c r="B141" s="38"/>
      <c r="C141" s="39"/>
      <c r="D141" s="39"/>
      <c r="E141" s="39"/>
      <c r="F141" s="39"/>
      <c r="G141" s="39"/>
      <c r="H141" s="39"/>
      <c r="I141" s="40" t="s">
        <v>209</v>
      </c>
      <c r="J141" s="39"/>
      <c r="K141" s="40" t="s">
        <v>86</v>
      </c>
      <c r="L141" s="40" t="s">
        <v>193</v>
      </c>
      <c r="M141" s="37"/>
      <c r="N141" s="40" t="s">
        <v>164</v>
      </c>
      <c r="O141" s="41" t="s">
        <v>96</v>
      </c>
      <c r="P141" s="39"/>
      <c r="Q141" s="37" t="s">
        <v>261</v>
      </c>
      <c r="R141" s="37" t="s">
        <v>102</v>
      </c>
      <c r="S141" s="37" t="s">
        <v>296</v>
      </c>
      <c r="T141" s="10">
        <f t="shared" si="1"/>
        <v>8</v>
      </c>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row>
    <row r="142">
      <c r="A142" s="37" t="s">
        <v>409</v>
      </c>
      <c r="B142" s="38"/>
      <c r="C142" s="39"/>
      <c r="D142" s="39"/>
      <c r="E142" s="39"/>
      <c r="F142" s="39"/>
      <c r="G142" s="39"/>
      <c r="H142" s="39"/>
      <c r="I142" s="40" t="s">
        <v>209</v>
      </c>
      <c r="J142" s="39"/>
      <c r="K142" s="40" t="s">
        <v>86</v>
      </c>
      <c r="L142" s="40" t="s">
        <v>193</v>
      </c>
      <c r="M142" s="37"/>
      <c r="N142" s="40" t="s">
        <v>164</v>
      </c>
      <c r="O142" s="41" t="s">
        <v>96</v>
      </c>
      <c r="P142" s="39"/>
      <c r="Q142" s="37" t="s">
        <v>261</v>
      </c>
      <c r="R142" s="37" t="s">
        <v>102</v>
      </c>
      <c r="S142" s="37" t="s">
        <v>296</v>
      </c>
      <c r="T142" s="10">
        <f t="shared" si="1"/>
        <v>8</v>
      </c>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row>
    <row r="143">
      <c r="A143" s="37" t="s">
        <v>421</v>
      </c>
      <c r="B143" s="38"/>
      <c r="C143" s="39"/>
      <c r="D143" s="39"/>
      <c r="E143" s="39"/>
      <c r="F143" s="39"/>
      <c r="G143" s="39"/>
      <c r="H143" s="39"/>
      <c r="I143" s="40" t="s">
        <v>209</v>
      </c>
      <c r="J143" s="39"/>
      <c r="K143" s="39"/>
      <c r="L143" s="39"/>
      <c r="M143" s="39"/>
      <c r="N143" s="39"/>
      <c r="O143" s="39"/>
      <c r="P143" s="39"/>
      <c r="Q143" s="40" t="s">
        <v>242</v>
      </c>
      <c r="R143" s="37" t="s">
        <v>102</v>
      </c>
      <c r="S143" s="37" t="s">
        <v>296</v>
      </c>
      <c r="T143" s="10">
        <f t="shared" si="1"/>
        <v>4</v>
      </c>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row>
    <row r="144">
      <c r="A144" s="37" t="s">
        <v>413</v>
      </c>
      <c r="B144" s="38"/>
      <c r="C144" s="39"/>
      <c r="D144" s="39"/>
      <c r="E144" s="39"/>
      <c r="F144" s="39"/>
      <c r="G144" s="39"/>
      <c r="H144" s="39"/>
      <c r="I144" s="40" t="s">
        <v>209</v>
      </c>
      <c r="J144" s="39"/>
      <c r="K144" s="39"/>
      <c r="L144" s="40" t="s">
        <v>193</v>
      </c>
      <c r="M144" s="37"/>
      <c r="N144" s="40" t="s">
        <v>164</v>
      </c>
      <c r="O144" s="39"/>
      <c r="P144" s="39"/>
      <c r="Q144" s="37" t="s">
        <v>261</v>
      </c>
      <c r="R144" s="37" t="s">
        <v>102</v>
      </c>
      <c r="S144" s="37" t="s">
        <v>414</v>
      </c>
      <c r="T144" s="10">
        <f t="shared" si="1"/>
        <v>6</v>
      </c>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row>
    <row r="145">
      <c r="A145" s="37" t="s">
        <v>417</v>
      </c>
      <c r="B145" s="38"/>
      <c r="C145" s="39"/>
      <c r="D145" s="39"/>
      <c r="E145" s="39"/>
      <c r="F145" s="39"/>
      <c r="G145" s="39"/>
      <c r="H145" s="39"/>
      <c r="I145" s="40" t="s">
        <v>209</v>
      </c>
      <c r="J145" s="39"/>
      <c r="K145" s="39"/>
      <c r="L145" s="40" t="s">
        <v>193</v>
      </c>
      <c r="M145" s="37"/>
      <c r="N145" s="40" t="s">
        <v>164</v>
      </c>
      <c r="O145" s="39"/>
      <c r="P145" s="39"/>
      <c r="Q145" s="37" t="s">
        <v>261</v>
      </c>
      <c r="R145" s="37" t="s">
        <v>102</v>
      </c>
      <c r="S145" s="37" t="s">
        <v>414</v>
      </c>
      <c r="T145" s="10">
        <f t="shared" si="1"/>
        <v>6</v>
      </c>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row>
    <row r="146" ht="3.75" customHeight="1">
      <c r="A146" s="36"/>
      <c r="B146" s="36"/>
      <c r="C146" s="36"/>
      <c r="D146" s="36"/>
      <c r="E146" s="36"/>
      <c r="F146" s="36"/>
      <c r="G146" s="36"/>
      <c r="H146" s="36"/>
      <c r="I146" s="36"/>
      <c r="J146" s="36"/>
      <c r="K146" s="36"/>
      <c r="L146" s="36"/>
      <c r="M146" s="36"/>
      <c r="N146" s="36"/>
      <c r="O146" s="36"/>
      <c r="P146" s="36"/>
      <c r="Q146" s="36"/>
      <c r="R146" s="36"/>
      <c r="S146" s="36"/>
      <c r="T146" s="10">
        <f t="shared" si="1"/>
        <v>0</v>
      </c>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row>
    <row r="147">
      <c r="A147" s="37" t="s">
        <v>427</v>
      </c>
      <c r="B147" s="38"/>
      <c r="C147" s="39"/>
      <c r="D147" s="39"/>
      <c r="E147" s="39"/>
      <c r="F147" s="39"/>
      <c r="G147" s="37"/>
      <c r="H147" s="37"/>
      <c r="I147" s="39"/>
      <c r="J147" s="39"/>
      <c r="K147" s="39"/>
      <c r="L147" s="39"/>
      <c r="M147" s="39"/>
      <c r="N147" s="40" t="s">
        <v>164</v>
      </c>
      <c r="O147" s="39"/>
      <c r="P147" s="37"/>
      <c r="Q147" s="37"/>
      <c r="R147" s="37"/>
      <c r="S147" s="37"/>
      <c r="T147" s="10">
        <f t="shared" si="1"/>
        <v>1</v>
      </c>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row>
    <row r="148">
      <c r="A148" s="37" t="s">
        <v>428</v>
      </c>
      <c r="B148" s="38"/>
      <c r="C148" s="39"/>
      <c r="D148" s="39"/>
      <c r="E148" s="39"/>
      <c r="F148" s="39"/>
      <c r="G148" s="37" t="s">
        <v>254</v>
      </c>
      <c r="H148" s="37" t="s">
        <v>429</v>
      </c>
      <c r="I148" s="39"/>
      <c r="J148" s="39"/>
      <c r="K148" s="39"/>
      <c r="L148" s="40" t="s">
        <v>193</v>
      </c>
      <c r="M148" s="37"/>
      <c r="N148" s="40" t="s">
        <v>164</v>
      </c>
      <c r="O148" s="39"/>
      <c r="P148" s="37" t="s">
        <v>430</v>
      </c>
      <c r="Q148" s="37" t="s">
        <v>261</v>
      </c>
      <c r="R148" s="37" t="s">
        <v>102</v>
      </c>
      <c r="S148" s="37" t="s">
        <v>284</v>
      </c>
      <c r="T148" s="10">
        <f t="shared" si="1"/>
        <v>6</v>
      </c>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row>
    <row r="149">
      <c r="A149" s="37" t="s">
        <v>431</v>
      </c>
      <c r="B149" s="38"/>
      <c r="C149" s="39"/>
      <c r="D149" s="39"/>
      <c r="E149" s="39"/>
      <c r="F149" s="39"/>
      <c r="G149" s="37" t="s">
        <v>254</v>
      </c>
      <c r="H149" s="37" t="s">
        <v>432</v>
      </c>
      <c r="I149" s="39"/>
      <c r="J149" s="39"/>
      <c r="K149" s="39"/>
      <c r="L149" s="40" t="s">
        <v>193</v>
      </c>
      <c r="M149" s="37"/>
      <c r="N149" s="40" t="s">
        <v>164</v>
      </c>
      <c r="O149" s="39"/>
      <c r="P149" s="37" t="s">
        <v>283</v>
      </c>
      <c r="Q149" s="37" t="s">
        <v>261</v>
      </c>
      <c r="R149" s="37" t="s">
        <v>102</v>
      </c>
      <c r="S149" s="37" t="s">
        <v>284</v>
      </c>
      <c r="T149" s="10">
        <f t="shared" si="1"/>
        <v>6</v>
      </c>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row>
    <row r="150">
      <c r="A150" s="37" t="s">
        <v>371</v>
      </c>
      <c r="B150" s="38"/>
      <c r="C150" s="39"/>
      <c r="D150" s="39"/>
      <c r="E150" s="39"/>
      <c r="F150" s="39"/>
      <c r="G150" s="39"/>
      <c r="H150" s="39"/>
      <c r="I150" s="39"/>
      <c r="J150" s="41" t="s">
        <v>256</v>
      </c>
      <c r="K150" s="40" t="s">
        <v>335</v>
      </c>
      <c r="L150" s="40" t="s">
        <v>193</v>
      </c>
      <c r="M150" s="37"/>
      <c r="N150" s="40" t="s">
        <v>164</v>
      </c>
      <c r="O150" s="39"/>
      <c r="P150" s="37" t="s">
        <v>372</v>
      </c>
      <c r="Q150" s="40" t="s">
        <v>221</v>
      </c>
      <c r="R150" s="37" t="s">
        <v>102</v>
      </c>
      <c r="S150" s="37" t="s">
        <v>257</v>
      </c>
      <c r="T150" s="10">
        <f t="shared" si="1"/>
        <v>8</v>
      </c>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row>
    <row r="151">
      <c r="A151" s="37" t="s">
        <v>384</v>
      </c>
      <c r="B151" s="38"/>
      <c r="C151" s="39"/>
      <c r="D151" s="39"/>
      <c r="E151" s="39"/>
      <c r="F151" s="39"/>
      <c r="G151" s="39"/>
      <c r="H151" s="37" t="s">
        <v>385</v>
      </c>
      <c r="I151" s="39"/>
      <c r="J151" s="39"/>
      <c r="K151" s="39"/>
      <c r="L151" s="40" t="s">
        <v>193</v>
      </c>
      <c r="M151" s="37"/>
      <c r="N151" s="41" t="s">
        <v>164</v>
      </c>
      <c r="O151" s="39"/>
      <c r="P151" s="37" t="s">
        <v>257</v>
      </c>
      <c r="Q151" s="40" t="s">
        <v>221</v>
      </c>
      <c r="R151" s="39"/>
      <c r="S151" s="37" t="s">
        <v>257</v>
      </c>
      <c r="T151" s="10">
        <f t="shared" si="1"/>
        <v>5</v>
      </c>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row>
    <row r="152">
      <c r="A152" s="37" t="s">
        <v>434</v>
      </c>
      <c r="B152" s="38"/>
      <c r="C152" s="39"/>
      <c r="D152" s="39"/>
      <c r="E152" s="39"/>
      <c r="F152" s="39"/>
      <c r="G152" s="37" t="s">
        <v>126</v>
      </c>
      <c r="H152" s="39"/>
      <c r="I152" s="39"/>
      <c r="J152" s="39"/>
      <c r="K152" s="39"/>
      <c r="L152" s="39"/>
      <c r="M152" s="39"/>
      <c r="N152" s="40" t="s">
        <v>164</v>
      </c>
      <c r="O152" s="39"/>
      <c r="P152" s="37"/>
      <c r="Q152" s="40" t="s">
        <v>221</v>
      </c>
      <c r="R152" s="39"/>
      <c r="S152" s="37" t="s">
        <v>418</v>
      </c>
      <c r="T152" s="10">
        <f t="shared" si="1"/>
        <v>3</v>
      </c>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row>
    <row r="153">
      <c r="A153" s="37" t="s">
        <v>435</v>
      </c>
      <c r="B153" s="38"/>
      <c r="C153" s="39"/>
      <c r="D153" s="39"/>
      <c r="E153" s="39"/>
      <c r="F153" s="39"/>
      <c r="G153" s="37"/>
      <c r="H153" s="37" t="s">
        <v>436</v>
      </c>
      <c r="I153" s="39"/>
      <c r="J153" s="40" t="s">
        <v>256</v>
      </c>
      <c r="K153" s="39"/>
      <c r="L153" s="40" t="s">
        <v>193</v>
      </c>
      <c r="M153" s="37"/>
      <c r="N153" s="39"/>
      <c r="O153" s="39"/>
      <c r="P153" s="37"/>
      <c r="Q153" s="37"/>
      <c r="R153" s="39"/>
      <c r="S153" s="37"/>
      <c r="T153" s="10">
        <f t="shared" si="1"/>
        <v>2</v>
      </c>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row>
    <row r="154">
      <c r="A154" s="37" t="s">
        <v>439</v>
      </c>
      <c r="B154" s="38"/>
      <c r="C154" s="39"/>
      <c r="D154" s="39"/>
      <c r="E154" s="39"/>
      <c r="F154" s="39"/>
      <c r="G154" s="37"/>
      <c r="H154" s="39"/>
      <c r="I154" s="39"/>
      <c r="J154" s="37"/>
      <c r="K154" s="39"/>
      <c r="L154" s="39"/>
      <c r="M154" s="39"/>
      <c r="N154" s="41" t="s">
        <v>164</v>
      </c>
      <c r="O154" s="39"/>
      <c r="P154" s="37"/>
      <c r="Q154" s="37"/>
      <c r="R154" s="39"/>
      <c r="S154" s="37"/>
      <c r="T154" s="10">
        <f t="shared" si="1"/>
        <v>1</v>
      </c>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row>
    <row r="155">
      <c r="A155" s="37" t="s">
        <v>440</v>
      </c>
      <c r="B155" s="38"/>
      <c r="C155" s="39"/>
      <c r="D155" s="39"/>
      <c r="E155" s="39"/>
      <c r="F155" s="39"/>
      <c r="G155" s="37"/>
      <c r="H155" s="39"/>
      <c r="I155" s="39"/>
      <c r="J155" s="37"/>
      <c r="K155" s="39"/>
      <c r="L155" s="40" t="s">
        <v>193</v>
      </c>
      <c r="M155" s="37"/>
      <c r="N155" s="41"/>
      <c r="O155" s="39"/>
      <c r="P155" s="37"/>
      <c r="Q155" s="37"/>
      <c r="R155" s="39"/>
      <c r="S155" s="37"/>
      <c r="T155" s="10">
        <f t="shared" si="1"/>
        <v>1</v>
      </c>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row>
    <row r="156">
      <c r="A156" s="36" t="s">
        <v>442</v>
      </c>
      <c r="B156" s="36"/>
      <c r="C156" s="36"/>
      <c r="D156" s="36"/>
      <c r="E156" s="36"/>
      <c r="F156" s="36"/>
      <c r="G156" s="36"/>
      <c r="H156" s="36"/>
      <c r="I156" s="36"/>
      <c r="J156" s="36"/>
      <c r="K156" s="36"/>
      <c r="L156" s="36"/>
      <c r="M156" s="36"/>
      <c r="N156" s="36"/>
      <c r="O156" s="36"/>
      <c r="P156" s="36"/>
      <c r="Q156" s="36"/>
      <c r="R156" s="36"/>
      <c r="S156" s="36"/>
      <c r="T156" s="10">
        <f t="shared" si="1"/>
        <v>0</v>
      </c>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row>
    <row r="157">
      <c r="A157" s="37" t="s">
        <v>443</v>
      </c>
      <c r="B157" s="38"/>
      <c r="C157" s="39"/>
      <c r="D157" s="39"/>
      <c r="E157" s="39"/>
      <c r="F157" s="39"/>
      <c r="G157" s="39"/>
      <c r="H157" s="37" t="s">
        <v>444</v>
      </c>
      <c r="I157" s="40" t="s">
        <v>209</v>
      </c>
      <c r="J157" s="39"/>
      <c r="K157" s="39"/>
      <c r="L157" s="39"/>
      <c r="M157" s="39"/>
      <c r="N157" s="41" t="s">
        <v>164</v>
      </c>
      <c r="O157" s="39"/>
      <c r="P157" s="39"/>
      <c r="Q157" s="39"/>
      <c r="R157" s="39"/>
      <c r="S157" s="39"/>
      <c r="T157" s="10">
        <f t="shared" si="1"/>
        <v>2</v>
      </c>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row>
    <row r="158">
      <c r="A158" s="37" t="s">
        <v>445</v>
      </c>
      <c r="B158" s="38"/>
      <c r="C158" s="39"/>
      <c r="D158" s="39"/>
      <c r="E158" s="39"/>
      <c r="F158" s="39"/>
      <c r="G158" s="39"/>
      <c r="H158" s="37" t="s">
        <v>446</v>
      </c>
      <c r="I158" s="40" t="s">
        <v>209</v>
      </c>
      <c r="J158" s="39"/>
      <c r="K158" s="39"/>
      <c r="L158" s="39"/>
      <c r="M158" s="39"/>
      <c r="N158" s="41" t="s">
        <v>164</v>
      </c>
      <c r="O158" s="39"/>
      <c r="P158" s="39"/>
      <c r="Q158" s="39"/>
      <c r="R158" s="39"/>
      <c r="S158" s="39"/>
      <c r="T158" s="10">
        <f t="shared" si="1"/>
        <v>2</v>
      </c>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row>
    <row r="159">
      <c r="A159" s="37" t="s">
        <v>358</v>
      </c>
      <c r="B159" s="38"/>
      <c r="C159" s="39"/>
      <c r="D159" s="39"/>
      <c r="E159" s="39"/>
      <c r="F159" s="39"/>
      <c r="G159" s="39"/>
      <c r="H159" s="37" t="s">
        <v>359</v>
      </c>
      <c r="I159" s="40" t="s">
        <v>209</v>
      </c>
      <c r="J159" s="39"/>
      <c r="K159" s="39"/>
      <c r="L159" s="39"/>
      <c r="M159" s="39"/>
      <c r="N159" s="39"/>
      <c r="O159" s="39"/>
      <c r="P159" s="39"/>
      <c r="Q159" s="39"/>
      <c r="R159" s="39"/>
      <c r="S159" s="39"/>
      <c r="T159" s="10">
        <f t="shared" si="1"/>
        <v>1</v>
      </c>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row>
    <row r="160">
      <c r="A160" s="37" t="s">
        <v>447</v>
      </c>
      <c r="B160" s="38"/>
      <c r="C160" s="39"/>
      <c r="D160" s="39"/>
      <c r="E160" s="39"/>
      <c r="F160" s="39"/>
      <c r="G160" s="39"/>
      <c r="H160" s="37" t="s">
        <v>448</v>
      </c>
      <c r="I160" s="40" t="s">
        <v>209</v>
      </c>
      <c r="J160" s="39"/>
      <c r="K160" s="39"/>
      <c r="L160" s="39"/>
      <c r="M160" s="39"/>
      <c r="N160" s="39"/>
      <c r="O160" s="39"/>
      <c r="P160" s="39"/>
      <c r="Q160" s="39"/>
      <c r="R160" s="39"/>
      <c r="S160" s="39"/>
      <c r="T160" s="10">
        <f t="shared" si="1"/>
        <v>1</v>
      </c>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row>
    <row r="161">
      <c r="A161" s="37" t="s">
        <v>449</v>
      </c>
      <c r="B161" s="38"/>
      <c r="C161" s="39"/>
      <c r="D161" s="39"/>
      <c r="E161" s="39"/>
      <c r="F161" s="39"/>
      <c r="G161" s="39"/>
      <c r="H161" s="37" t="s">
        <v>450</v>
      </c>
      <c r="I161" s="40" t="s">
        <v>209</v>
      </c>
      <c r="J161" s="39"/>
      <c r="K161" s="39"/>
      <c r="L161" s="39"/>
      <c r="M161" s="39"/>
      <c r="N161" s="39"/>
      <c r="O161" s="39"/>
      <c r="P161" s="39"/>
      <c r="Q161" s="39"/>
      <c r="R161" s="39"/>
      <c r="S161" s="39"/>
      <c r="T161" s="10">
        <f t="shared" si="1"/>
        <v>1</v>
      </c>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row>
    <row r="162">
      <c r="A162" s="37" t="s">
        <v>451</v>
      </c>
      <c r="B162" s="38"/>
      <c r="C162" s="39"/>
      <c r="D162" s="39"/>
      <c r="E162" s="39"/>
      <c r="F162" s="39"/>
      <c r="G162" s="39"/>
      <c r="H162" s="37" t="s">
        <v>452</v>
      </c>
      <c r="I162" s="40" t="s">
        <v>209</v>
      </c>
      <c r="J162" s="39"/>
      <c r="K162" s="39"/>
      <c r="L162" s="39"/>
      <c r="M162" s="39"/>
      <c r="N162" s="39"/>
      <c r="O162" s="39"/>
      <c r="P162" s="39"/>
      <c r="Q162" s="40" t="s">
        <v>221</v>
      </c>
      <c r="R162" s="37" t="s">
        <v>102</v>
      </c>
      <c r="S162" s="39"/>
      <c r="T162" s="10">
        <f t="shared" si="1"/>
        <v>3</v>
      </c>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row>
    <row r="163" ht="3.75" customHeight="1">
      <c r="A163" s="36"/>
      <c r="B163" s="36"/>
      <c r="C163" s="36"/>
      <c r="D163" s="36"/>
      <c r="E163" s="36"/>
      <c r="F163" s="36"/>
      <c r="G163" s="36"/>
      <c r="H163" s="36"/>
      <c r="I163" s="36"/>
      <c r="J163" s="36"/>
      <c r="K163" s="36"/>
      <c r="L163" s="36"/>
      <c r="M163" s="36"/>
      <c r="N163" s="36"/>
      <c r="O163" s="36"/>
      <c r="P163" s="36"/>
      <c r="Q163" s="36"/>
      <c r="R163" s="36"/>
      <c r="S163" s="36"/>
      <c r="T163" s="10">
        <f t="shared" si="1"/>
        <v>0</v>
      </c>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row>
    <row r="164">
      <c r="A164" s="37" t="s">
        <v>455</v>
      </c>
      <c r="B164" s="38"/>
      <c r="C164" s="39"/>
      <c r="D164" s="39"/>
      <c r="E164" s="39"/>
      <c r="F164" s="39"/>
      <c r="G164" s="37" t="s">
        <v>456</v>
      </c>
      <c r="H164" s="39"/>
      <c r="I164" s="39"/>
      <c r="J164" s="39"/>
      <c r="K164" s="39"/>
      <c r="L164" s="39"/>
      <c r="M164" s="39"/>
      <c r="N164" s="39"/>
      <c r="O164" s="39"/>
      <c r="P164" s="39"/>
      <c r="Q164" s="39"/>
      <c r="R164" s="39"/>
      <c r="S164" s="37" t="s">
        <v>457</v>
      </c>
      <c r="T164" s="10">
        <f t="shared" si="1"/>
        <v>1</v>
      </c>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row>
    <row r="165">
      <c r="A165" s="37" t="s">
        <v>458</v>
      </c>
      <c r="B165" s="38"/>
      <c r="C165" s="39"/>
      <c r="D165" s="39"/>
      <c r="E165" s="39"/>
      <c r="F165" s="39"/>
      <c r="G165" s="39"/>
      <c r="H165" s="37" t="s">
        <v>459</v>
      </c>
      <c r="I165" s="39"/>
      <c r="J165" s="39"/>
      <c r="K165" s="39"/>
      <c r="L165" s="39"/>
      <c r="M165" s="39"/>
      <c r="N165" s="40" t="s">
        <v>164</v>
      </c>
      <c r="O165" s="39"/>
      <c r="P165" s="39"/>
      <c r="Q165" s="39"/>
      <c r="R165" s="39"/>
      <c r="S165" s="39"/>
      <c r="T165" s="10">
        <f t="shared" si="1"/>
        <v>1</v>
      </c>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row>
    <row r="166">
      <c r="A166" s="37" t="s">
        <v>460</v>
      </c>
      <c r="B166" s="38"/>
      <c r="C166" s="39"/>
      <c r="D166" s="39"/>
      <c r="E166" s="39"/>
      <c r="F166" s="39"/>
      <c r="G166" s="39"/>
      <c r="H166" s="39"/>
      <c r="I166" s="39"/>
      <c r="J166" s="40" t="s">
        <v>256</v>
      </c>
      <c r="K166" s="39"/>
      <c r="L166" s="39"/>
      <c r="M166" s="39"/>
      <c r="N166" s="39"/>
      <c r="O166" s="39"/>
      <c r="P166" s="39"/>
      <c r="Q166" s="39"/>
      <c r="R166" s="39"/>
      <c r="S166" s="39"/>
      <c r="T166" s="10">
        <f t="shared" si="1"/>
        <v>1</v>
      </c>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row>
    <row r="167">
      <c r="A167" s="37" t="s">
        <v>461</v>
      </c>
      <c r="B167" s="38"/>
      <c r="C167" s="39"/>
      <c r="D167" s="39"/>
      <c r="E167" s="39"/>
      <c r="F167" s="39"/>
      <c r="G167" s="39"/>
      <c r="H167" s="37"/>
      <c r="I167" s="39"/>
      <c r="J167" s="39"/>
      <c r="K167" s="39"/>
      <c r="L167" s="39"/>
      <c r="M167" s="39"/>
      <c r="N167" s="39"/>
      <c r="O167" s="39"/>
      <c r="P167" s="39"/>
      <c r="Q167" s="39"/>
      <c r="R167" s="39"/>
      <c r="S167" s="39"/>
      <c r="T167" s="10">
        <f t="shared" si="1"/>
        <v>0</v>
      </c>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row>
    <row r="168">
      <c r="A168" s="37" t="s">
        <v>391</v>
      </c>
      <c r="B168" s="38"/>
      <c r="C168" s="39"/>
      <c r="D168" s="39"/>
      <c r="E168" s="39"/>
      <c r="F168" s="39"/>
      <c r="G168" s="37" t="s">
        <v>254</v>
      </c>
      <c r="H168" s="37"/>
      <c r="I168" s="39"/>
      <c r="J168" s="39"/>
      <c r="K168" s="39"/>
      <c r="L168" s="39"/>
      <c r="M168" s="39"/>
      <c r="N168" s="39"/>
      <c r="O168" s="39"/>
      <c r="P168" s="39"/>
      <c r="Q168" s="39"/>
      <c r="R168" s="39"/>
      <c r="S168" s="37" t="s">
        <v>392</v>
      </c>
      <c r="T168" s="10">
        <f t="shared" si="1"/>
        <v>1</v>
      </c>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row>
    <row r="169">
      <c r="A169" s="37" t="s">
        <v>462</v>
      </c>
      <c r="B169" s="38"/>
      <c r="C169" s="39"/>
      <c r="D169" s="39"/>
      <c r="E169" s="39"/>
      <c r="F169" s="39"/>
      <c r="G169" s="39"/>
      <c r="H169" s="37"/>
      <c r="I169" s="39"/>
      <c r="J169" s="39"/>
      <c r="K169" s="39"/>
      <c r="L169" s="39"/>
      <c r="M169" s="39"/>
      <c r="N169" s="39"/>
      <c r="O169" s="39"/>
      <c r="P169" s="39"/>
      <c r="Q169" s="40" t="s">
        <v>221</v>
      </c>
      <c r="R169" s="39"/>
      <c r="S169" s="39"/>
      <c r="T169" s="10">
        <f t="shared" si="1"/>
        <v>1</v>
      </c>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row>
    <row r="170">
      <c r="A170" s="37" t="s">
        <v>465</v>
      </c>
      <c r="B170" s="38"/>
      <c r="C170" s="39"/>
      <c r="D170" s="39"/>
      <c r="E170" s="39"/>
      <c r="F170" s="39"/>
      <c r="G170" s="39"/>
      <c r="H170" s="37"/>
      <c r="I170" s="39"/>
      <c r="J170" s="39"/>
      <c r="K170" s="39"/>
      <c r="L170" s="39"/>
      <c r="M170" s="39"/>
      <c r="N170" s="39"/>
      <c r="O170" s="39"/>
      <c r="P170" s="39"/>
      <c r="Q170" s="39"/>
      <c r="R170" s="39"/>
      <c r="S170" s="39"/>
      <c r="T170" s="10">
        <f t="shared" si="1"/>
        <v>0</v>
      </c>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row>
    <row r="171">
      <c r="A171" s="37" t="s">
        <v>466</v>
      </c>
      <c r="B171" s="38"/>
      <c r="C171" s="39"/>
      <c r="D171" s="39"/>
      <c r="E171" s="39"/>
      <c r="F171" s="39"/>
      <c r="G171" s="37" t="s">
        <v>254</v>
      </c>
      <c r="H171" s="37"/>
      <c r="I171" s="39"/>
      <c r="J171" s="39"/>
      <c r="K171" s="39"/>
      <c r="L171" s="39"/>
      <c r="M171" s="39"/>
      <c r="N171" s="39"/>
      <c r="O171" s="39"/>
      <c r="P171" s="39"/>
      <c r="Q171" s="39"/>
      <c r="R171" s="39"/>
      <c r="S171" s="37" t="s">
        <v>467</v>
      </c>
      <c r="T171" s="10">
        <f t="shared" si="1"/>
        <v>1</v>
      </c>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row>
    <row r="172">
      <c r="A172" s="37" t="s">
        <v>468</v>
      </c>
      <c r="B172" s="38"/>
      <c r="C172" s="39"/>
      <c r="D172" s="39"/>
      <c r="E172" s="39"/>
      <c r="F172" s="39"/>
      <c r="G172" s="37"/>
      <c r="H172" s="37"/>
      <c r="I172" s="39"/>
      <c r="J172" s="39"/>
      <c r="K172" s="39"/>
      <c r="L172" s="39"/>
      <c r="M172" s="39"/>
      <c r="N172" s="39"/>
      <c r="O172" s="39"/>
      <c r="P172" s="39"/>
      <c r="Q172" s="39"/>
      <c r="R172" s="39"/>
      <c r="S172" s="37"/>
      <c r="T172" s="10">
        <f t="shared" si="1"/>
        <v>0</v>
      </c>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row>
    <row r="173">
      <c r="A173" s="37" t="s">
        <v>469</v>
      </c>
      <c r="B173" s="38"/>
      <c r="C173" s="39"/>
      <c r="D173" s="39"/>
      <c r="E173" s="39"/>
      <c r="F173" s="39"/>
      <c r="G173" s="37" t="s">
        <v>340</v>
      </c>
      <c r="H173" s="37"/>
      <c r="I173" s="39"/>
      <c r="J173" s="39"/>
      <c r="K173" s="39"/>
      <c r="L173" s="39"/>
      <c r="M173" s="39"/>
      <c r="N173" s="39"/>
      <c r="O173" s="39"/>
      <c r="P173" s="39"/>
      <c r="Q173" s="40" t="s">
        <v>221</v>
      </c>
      <c r="R173" s="39"/>
      <c r="S173" s="37"/>
      <c r="T173" s="10">
        <f t="shared" si="1"/>
        <v>1</v>
      </c>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row>
    <row r="174">
      <c r="A174" s="37" t="s">
        <v>470</v>
      </c>
      <c r="B174" s="38"/>
      <c r="C174" s="39"/>
      <c r="D174" s="39"/>
      <c r="E174" s="39"/>
      <c r="F174" s="39"/>
      <c r="G174" s="37" t="s">
        <v>254</v>
      </c>
      <c r="H174" s="37"/>
      <c r="I174" s="39"/>
      <c r="J174" s="39"/>
      <c r="K174" s="39"/>
      <c r="L174" s="39"/>
      <c r="M174" s="39"/>
      <c r="N174" s="39"/>
      <c r="O174" s="39"/>
      <c r="P174" s="39"/>
      <c r="Q174" s="39"/>
      <c r="R174" s="39"/>
      <c r="S174" s="37" t="s">
        <v>471</v>
      </c>
      <c r="T174" s="10">
        <f t="shared" si="1"/>
        <v>1</v>
      </c>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row>
    <row r="175">
      <c r="A175" s="37" t="s">
        <v>472</v>
      </c>
      <c r="B175" s="38"/>
      <c r="C175" s="39"/>
      <c r="D175" s="39"/>
      <c r="E175" s="39"/>
      <c r="F175" s="39"/>
      <c r="G175" s="37"/>
      <c r="H175" s="37"/>
      <c r="I175" s="39"/>
      <c r="J175" s="41" t="s">
        <v>256</v>
      </c>
      <c r="K175" s="39"/>
      <c r="L175" s="39"/>
      <c r="M175" s="39"/>
      <c r="N175" s="41" t="s">
        <v>164</v>
      </c>
      <c r="O175" s="39"/>
      <c r="P175" s="39"/>
      <c r="Q175" s="39"/>
      <c r="R175" s="39"/>
      <c r="S175" s="37"/>
      <c r="T175" s="10">
        <f t="shared" si="1"/>
        <v>2</v>
      </c>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row>
    <row r="176">
      <c r="A176" s="37" t="s">
        <v>473</v>
      </c>
      <c r="B176" s="38"/>
      <c r="C176" s="39"/>
      <c r="D176" s="39"/>
      <c r="E176" s="39"/>
      <c r="F176" s="39"/>
      <c r="G176" s="37"/>
      <c r="H176" s="37" t="s">
        <v>474</v>
      </c>
      <c r="I176" s="39"/>
      <c r="J176" s="41"/>
      <c r="K176" s="39"/>
      <c r="L176" s="39"/>
      <c r="M176" s="39"/>
      <c r="N176" s="40" t="s">
        <v>164</v>
      </c>
      <c r="O176" s="39"/>
      <c r="P176" s="39"/>
      <c r="Q176" s="39"/>
      <c r="R176" s="39"/>
      <c r="S176" s="37"/>
      <c r="T176" s="10">
        <f t="shared" si="1"/>
        <v>1</v>
      </c>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row>
    <row r="177">
      <c r="A177" s="37" t="s">
        <v>393</v>
      </c>
      <c r="B177" s="38"/>
      <c r="C177" s="39"/>
      <c r="D177" s="39"/>
      <c r="E177" s="39"/>
      <c r="F177" s="39"/>
      <c r="G177" s="37"/>
      <c r="H177" s="37"/>
      <c r="I177" s="39"/>
      <c r="J177" s="41"/>
      <c r="K177" s="39"/>
      <c r="L177" s="39"/>
      <c r="M177" s="39"/>
      <c r="N177" s="40" t="s">
        <v>164</v>
      </c>
      <c r="O177" s="39"/>
      <c r="P177" s="39"/>
      <c r="Q177" s="39"/>
      <c r="R177" s="39"/>
      <c r="S177" s="37"/>
      <c r="T177" s="10">
        <f t="shared" si="1"/>
        <v>1</v>
      </c>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row>
    <row r="178">
      <c r="A178" s="45" t="s">
        <v>39</v>
      </c>
      <c r="B178" s="45"/>
      <c r="C178" s="45"/>
      <c r="D178" s="45"/>
      <c r="E178" s="45"/>
      <c r="F178" s="45"/>
      <c r="G178" s="45"/>
      <c r="H178" s="45"/>
      <c r="I178" s="45"/>
      <c r="J178" s="45"/>
      <c r="K178" s="45"/>
      <c r="L178" s="45"/>
      <c r="M178" s="45"/>
      <c r="N178" s="45"/>
      <c r="O178" s="45"/>
      <c r="P178" s="45"/>
      <c r="Q178" s="45"/>
      <c r="R178" s="45"/>
      <c r="S178" s="45"/>
      <c r="T178" s="10">
        <f t="shared" si="1"/>
        <v>0</v>
      </c>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row>
    <row r="179">
      <c r="A179" s="46" t="s">
        <v>478</v>
      </c>
      <c r="B179" s="46"/>
      <c r="C179" s="46"/>
      <c r="D179" s="46"/>
      <c r="E179" s="46"/>
      <c r="F179" s="46"/>
      <c r="G179" s="46"/>
      <c r="H179" s="46"/>
      <c r="I179" s="46"/>
      <c r="J179" s="46"/>
      <c r="K179" s="46"/>
      <c r="L179" s="46"/>
      <c r="M179" s="46"/>
      <c r="N179" s="46"/>
      <c r="O179" s="46"/>
      <c r="P179" s="46"/>
      <c r="Q179" s="46"/>
      <c r="R179" s="46"/>
      <c r="S179" s="46"/>
      <c r="T179" s="10">
        <f t="shared" si="1"/>
        <v>0</v>
      </c>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row>
    <row r="180">
      <c r="A180" s="47" t="s">
        <v>326</v>
      </c>
      <c r="B180" s="48"/>
      <c r="C180" s="49"/>
      <c r="D180" s="49"/>
      <c r="E180" s="49"/>
      <c r="F180" s="49"/>
      <c r="G180" s="49"/>
      <c r="H180" s="47" t="s">
        <v>327</v>
      </c>
      <c r="I180" s="50" t="s">
        <v>209</v>
      </c>
      <c r="J180" s="49"/>
      <c r="K180" s="49"/>
      <c r="L180" s="49"/>
      <c r="M180" s="49"/>
      <c r="N180" s="49"/>
      <c r="O180" s="51" t="s">
        <v>96</v>
      </c>
      <c r="P180" s="49"/>
      <c r="Q180" s="50" t="s">
        <v>221</v>
      </c>
      <c r="R180" s="49"/>
      <c r="S180" s="49"/>
      <c r="T180" s="10">
        <f t="shared" si="1"/>
        <v>3</v>
      </c>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row>
    <row r="181">
      <c r="A181" s="47" t="s">
        <v>323</v>
      </c>
      <c r="B181" s="48"/>
      <c r="C181" s="49"/>
      <c r="D181" s="49"/>
      <c r="E181" s="49"/>
      <c r="F181" s="49"/>
      <c r="G181" s="49"/>
      <c r="H181" s="49"/>
      <c r="I181" s="50" t="s">
        <v>209</v>
      </c>
      <c r="J181" s="49"/>
      <c r="K181" s="49"/>
      <c r="L181" s="49"/>
      <c r="M181" s="50" t="s">
        <v>214</v>
      </c>
      <c r="N181" s="49"/>
      <c r="O181" s="51" t="s">
        <v>96</v>
      </c>
      <c r="P181" s="49"/>
      <c r="Q181" s="50" t="s">
        <v>221</v>
      </c>
      <c r="R181" s="49"/>
      <c r="S181" s="49"/>
      <c r="T181" s="10">
        <f t="shared" si="1"/>
        <v>4</v>
      </c>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row>
    <row r="182">
      <c r="A182" s="47" t="s">
        <v>336</v>
      </c>
      <c r="B182" s="48"/>
      <c r="C182" s="49"/>
      <c r="D182" s="49"/>
      <c r="E182" s="49"/>
      <c r="F182" s="49"/>
      <c r="G182" s="49"/>
      <c r="H182" s="49"/>
      <c r="I182" s="50" t="s">
        <v>209</v>
      </c>
      <c r="J182" s="49"/>
      <c r="K182" s="49"/>
      <c r="L182" s="49"/>
      <c r="M182" s="49"/>
      <c r="N182" s="49"/>
      <c r="O182" s="50" t="s">
        <v>96</v>
      </c>
      <c r="P182" s="49"/>
      <c r="Q182" s="49"/>
      <c r="R182" s="49"/>
      <c r="S182" s="49"/>
      <c r="T182" s="10">
        <f t="shared" si="1"/>
        <v>2</v>
      </c>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row>
    <row r="183">
      <c r="A183" s="47" t="s">
        <v>330</v>
      </c>
      <c r="B183" s="48"/>
      <c r="C183" s="49"/>
      <c r="D183" s="49"/>
      <c r="E183" s="49"/>
      <c r="F183" s="49"/>
      <c r="G183" s="49"/>
      <c r="H183" s="47" t="s">
        <v>331</v>
      </c>
      <c r="I183" s="50" t="s">
        <v>209</v>
      </c>
      <c r="J183" s="49"/>
      <c r="K183" s="49"/>
      <c r="L183" s="49"/>
      <c r="M183" s="50" t="s">
        <v>214</v>
      </c>
      <c r="N183" s="49"/>
      <c r="O183" s="50" t="s">
        <v>96</v>
      </c>
      <c r="P183" s="49"/>
      <c r="Q183" s="49"/>
      <c r="R183" s="49"/>
      <c r="S183" s="49"/>
      <c r="T183" s="10">
        <f t="shared" si="1"/>
        <v>3</v>
      </c>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row>
    <row r="184">
      <c r="A184" s="47" t="s">
        <v>485</v>
      </c>
      <c r="B184" s="48"/>
      <c r="C184" s="49"/>
      <c r="D184" s="49"/>
      <c r="E184" s="49"/>
      <c r="F184" s="49"/>
      <c r="G184" s="49"/>
      <c r="H184" s="49"/>
      <c r="I184" s="50" t="s">
        <v>209</v>
      </c>
      <c r="J184" s="49"/>
      <c r="K184" s="49"/>
      <c r="L184" s="49"/>
      <c r="M184" s="49"/>
      <c r="N184" s="51" t="s">
        <v>164</v>
      </c>
      <c r="O184" s="49"/>
      <c r="P184" s="49"/>
      <c r="Q184" s="49"/>
      <c r="R184" s="49"/>
      <c r="S184" s="49"/>
      <c r="T184" s="10">
        <f t="shared" si="1"/>
        <v>2</v>
      </c>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row>
    <row r="185">
      <c r="A185" s="47" t="s">
        <v>361</v>
      </c>
      <c r="B185" s="48"/>
      <c r="C185" s="49"/>
      <c r="D185" s="49"/>
      <c r="E185" s="49"/>
      <c r="F185" s="49"/>
      <c r="G185" s="49"/>
      <c r="H185" s="49"/>
      <c r="I185" s="50" t="s">
        <v>209</v>
      </c>
      <c r="J185" s="49"/>
      <c r="K185" s="49"/>
      <c r="L185" s="49"/>
      <c r="M185" s="49"/>
      <c r="N185" s="49"/>
      <c r="O185" s="49"/>
      <c r="P185" s="49"/>
      <c r="Q185" s="49"/>
      <c r="R185" s="49"/>
      <c r="S185" s="49"/>
      <c r="T185" s="10">
        <f t="shared" si="1"/>
        <v>1</v>
      </c>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row>
    <row r="186">
      <c r="A186" s="47" t="s">
        <v>488</v>
      </c>
      <c r="B186" s="48"/>
      <c r="C186" s="49"/>
      <c r="D186" s="49"/>
      <c r="E186" s="49"/>
      <c r="F186" s="49"/>
      <c r="G186" s="49"/>
      <c r="H186" s="49"/>
      <c r="I186" s="50" t="s">
        <v>209</v>
      </c>
      <c r="J186" s="49"/>
      <c r="K186" s="49"/>
      <c r="L186" s="49"/>
      <c r="M186" s="49"/>
      <c r="N186" s="49"/>
      <c r="O186" s="49"/>
      <c r="P186" s="49"/>
      <c r="Q186" s="49"/>
      <c r="R186" s="49"/>
      <c r="S186" s="49"/>
      <c r="T186" s="10">
        <f t="shared" si="1"/>
        <v>1</v>
      </c>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row>
    <row r="187">
      <c r="A187" s="47" t="s">
        <v>489</v>
      </c>
      <c r="B187" s="48"/>
      <c r="C187" s="49"/>
      <c r="D187" s="49"/>
      <c r="E187" s="49"/>
      <c r="F187" s="49"/>
      <c r="G187" s="49"/>
      <c r="H187" s="49"/>
      <c r="I187" s="50" t="s">
        <v>209</v>
      </c>
      <c r="J187" s="49"/>
      <c r="K187" s="49"/>
      <c r="L187" s="49"/>
      <c r="M187" s="49"/>
      <c r="N187" s="49"/>
      <c r="O187" s="49"/>
      <c r="P187" s="49"/>
      <c r="Q187" s="49"/>
      <c r="R187" s="49"/>
      <c r="S187" s="49"/>
      <c r="T187" s="10">
        <f t="shared" si="1"/>
        <v>1</v>
      </c>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row>
    <row r="188">
      <c r="A188" s="47" t="s">
        <v>437</v>
      </c>
      <c r="B188" s="48"/>
      <c r="C188" s="49"/>
      <c r="D188" s="49"/>
      <c r="E188" s="49"/>
      <c r="F188" s="49"/>
      <c r="G188" s="49"/>
      <c r="H188" s="49"/>
      <c r="I188" s="50" t="s">
        <v>209</v>
      </c>
      <c r="J188" s="49"/>
      <c r="K188" s="49"/>
      <c r="L188" s="49"/>
      <c r="M188" s="49"/>
      <c r="N188" s="49"/>
      <c r="O188" s="49"/>
      <c r="P188" s="49"/>
      <c r="Q188" s="49"/>
      <c r="R188" s="49"/>
      <c r="S188" s="49"/>
      <c r="T188" s="10">
        <f t="shared" si="1"/>
        <v>1</v>
      </c>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row>
    <row r="189">
      <c r="A189" s="46" t="s">
        <v>41</v>
      </c>
      <c r="B189" s="46"/>
      <c r="C189" s="46"/>
      <c r="D189" s="46"/>
      <c r="E189" s="46"/>
      <c r="F189" s="46"/>
      <c r="G189" s="46"/>
      <c r="H189" s="46"/>
      <c r="I189" s="46"/>
      <c r="J189" s="46"/>
      <c r="K189" s="46"/>
      <c r="L189" s="46"/>
      <c r="M189" s="46"/>
      <c r="N189" s="46"/>
      <c r="O189" s="46"/>
      <c r="P189" s="46"/>
      <c r="Q189" s="46"/>
      <c r="R189" s="46"/>
      <c r="S189" s="46"/>
      <c r="T189" s="10">
        <f t="shared" si="1"/>
        <v>0</v>
      </c>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row>
    <row r="190">
      <c r="A190" s="47" t="s">
        <v>483</v>
      </c>
      <c r="B190" s="48"/>
      <c r="C190" s="49"/>
      <c r="D190" s="49"/>
      <c r="E190" s="49"/>
      <c r="F190" s="49"/>
      <c r="G190" s="49"/>
      <c r="H190" s="47" t="s">
        <v>484</v>
      </c>
      <c r="I190" s="50" t="s">
        <v>209</v>
      </c>
      <c r="J190" s="49"/>
      <c r="K190" s="50" t="s">
        <v>122</v>
      </c>
      <c r="L190" s="50" t="s">
        <v>193</v>
      </c>
      <c r="M190" s="47"/>
      <c r="N190" s="50" t="s">
        <v>164</v>
      </c>
      <c r="O190" s="50" t="s">
        <v>96</v>
      </c>
      <c r="P190" s="49"/>
      <c r="Q190" s="50" t="s">
        <v>221</v>
      </c>
      <c r="R190" s="49"/>
      <c r="S190" s="49"/>
      <c r="T190" s="10">
        <f t="shared" si="1"/>
        <v>6</v>
      </c>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row>
    <row r="191" ht="3.75" customHeight="1">
      <c r="A191" s="52"/>
      <c r="B191" s="52"/>
      <c r="C191" s="53"/>
      <c r="D191" s="53"/>
      <c r="E191" s="53"/>
      <c r="F191" s="53"/>
      <c r="G191" s="53"/>
      <c r="H191" s="52"/>
      <c r="I191" s="52"/>
      <c r="J191" s="53"/>
      <c r="K191" s="53"/>
      <c r="L191" s="53"/>
      <c r="M191" s="53"/>
      <c r="N191" s="53"/>
      <c r="O191" s="52"/>
      <c r="P191" s="53"/>
      <c r="Q191" s="52"/>
      <c r="R191" s="53"/>
      <c r="S191" s="53"/>
      <c r="T191" s="10">
        <f t="shared" si="1"/>
        <v>0</v>
      </c>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row>
    <row r="192">
      <c r="A192" s="47" t="s">
        <v>480</v>
      </c>
      <c r="B192" s="48"/>
      <c r="C192" s="49"/>
      <c r="D192" s="49"/>
      <c r="E192" s="49"/>
      <c r="F192" s="49"/>
      <c r="G192" s="49"/>
      <c r="H192" s="47" t="s">
        <v>481</v>
      </c>
      <c r="I192" s="47"/>
      <c r="J192" s="50" t="s">
        <v>256</v>
      </c>
      <c r="K192" s="50" t="s">
        <v>122</v>
      </c>
      <c r="L192" s="50" t="s">
        <v>193</v>
      </c>
      <c r="M192" s="47"/>
      <c r="N192" s="50" t="s">
        <v>164</v>
      </c>
      <c r="O192" s="50" t="s">
        <v>482</v>
      </c>
      <c r="P192" s="50" t="s">
        <v>268</v>
      </c>
      <c r="Q192" s="50" t="s">
        <v>221</v>
      </c>
      <c r="R192" s="47" t="s">
        <v>102</v>
      </c>
      <c r="S192" s="49"/>
      <c r="T192" s="10">
        <f t="shared" si="1"/>
        <v>8</v>
      </c>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row>
    <row r="193">
      <c r="A193" s="47" t="s">
        <v>490</v>
      </c>
      <c r="B193" s="48"/>
      <c r="C193" s="49"/>
      <c r="D193" s="49"/>
      <c r="E193" s="49"/>
      <c r="F193" s="49"/>
      <c r="G193" s="47"/>
      <c r="H193" s="47"/>
      <c r="I193" s="47"/>
      <c r="J193" s="47" t="s">
        <v>77</v>
      </c>
      <c r="K193" s="50" t="s">
        <v>122</v>
      </c>
      <c r="L193" s="50" t="s">
        <v>193</v>
      </c>
      <c r="M193" s="47"/>
      <c r="N193" s="50" t="s">
        <v>164</v>
      </c>
      <c r="O193" s="50" t="s">
        <v>482</v>
      </c>
      <c r="P193" s="47"/>
      <c r="Q193" s="49"/>
      <c r="R193" s="47"/>
      <c r="S193" s="47"/>
      <c r="T193" s="10">
        <f t="shared" si="1"/>
        <v>5</v>
      </c>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row>
    <row r="194">
      <c r="A194" s="47" t="s">
        <v>491</v>
      </c>
      <c r="B194" s="48"/>
      <c r="C194" s="49"/>
      <c r="D194" s="49"/>
      <c r="E194" s="49"/>
      <c r="F194" s="49"/>
      <c r="G194" s="47"/>
      <c r="H194" s="47"/>
      <c r="I194" s="47"/>
      <c r="J194" s="47" t="s">
        <v>77</v>
      </c>
      <c r="K194" s="50" t="s">
        <v>122</v>
      </c>
      <c r="L194" s="50" t="s">
        <v>193</v>
      </c>
      <c r="M194" s="47"/>
      <c r="N194" s="50" t="s">
        <v>164</v>
      </c>
      <c r="O194" s="50" t="s">
        <v>482</v>
      </c>
      <c r="P194" s="47"/>
      <c r="Q194" s="49"/>
      <c r="R194" s="47"/>
      <c r="S194" s="47"/>
      <c r="T194" s="10">
        <f t="shared" si="1"/>
        <v>5</v>
      </c>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row>
    <row r="195">
      <c r="A195" s="46" t="s">
        <v>42</v>
      </c>
      <c r="B195" s="46"/>
      <c r="C195" s="46"/>
      <c r="D195" s="46"/>
      <c r="E195" s="46"/>
      <c r="F195" s="46"/>
      <c r="G195" s="46"/>
      <c r="H195" s="46"/>
      <c r="I195" s="46"/>
      <c r="J195" s="46"/>
      <c r="K195" s="46"/>
      <c r="L195" s="46"/>
      <c r="M195" s="46"/>
      <c r="N195" s="46"/>
      <c r="O195" s="46"/>
      <c r="P195" s="46"/>
      <c r="Q195" s="46"/>
      <c r="R195" s="46"/>
      <c r="S195" s="46"/>
      <c r="T195" s="10">
        <f t="shared" si="1"/>
        <v>0</v>
      </c>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row>
    <row r="196">
      <c r="A196" s="47" t="s">
        <v>496</v>
      </c>
      <c r="B196" s="48"/>
      <c r="C196" s="49"/>
      <c r="D196" s="49"/>
      <c r="E196" s="49"/>
      <c r="F196" s="49"/>
      <c r="G196" s="49"/>
      <c r="H196" s="49"/>
      <c r="I196" s="50" t="s">
        <v>209</v>
      </c>
      <c r="J196" s="49"/>
      <c r="K196" s="49"/>
      <c r="L196" s="49"/>
      <c r="M196" s="50" t="s">
        <v>214</v>
      </c>
      <c r="N196" s="49"/>
      <c r="O196" s="50" t="s">
        <v>96</v>
      </c>
      <c r="P196" s="49"/>
      <c r="Q196" s="47" t="s">
        <v>261</v>
      </c>
      <c r="R196" s="49"/>
      <c r="S196" s="49"/>
      <c r="T196" s="10">
        <f t="shared" si="1"/>
        <v>4</v>
      </c>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row>
    <row r="197">
      <c r="A197" s="47" t="s">
        <v>347</v>
      </c>
      <c r="B197" s="48"/>
      <c r="C197" s="49"/>
      <c r="D197" s="49"/>
      <c r="E197" s="49"/>
      <c r="F197" s="49"/>
      <c r="G197" s="49"/>
      <c r="H197" s="49"/>
      <c r="I197" s="50" t="s">
        <v>209</v>
      </c>
      <c r="J197" s="49"/>
      <c r="K197" s="49"/>
      <c r="L197" s="49"/>
      <c r="M197" s="50" t="s">
        <v>214</v>
      </c>
      <c r="N197" s="49"/>
      <c r="O197" s="49"/>
      <c r="P197" s="49"/>
      <c r="Q197" s="49"/>
      <c r="R197" s="49"/>
      <c r="S197" s="49"/>
      <c r="T197" s="10">
        <f t="shared" si="1"/>
        <v>2</v>
      </c>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row>
    <row r="198">
      <c r="A198" s="47" t="s">
        <v>498</v>
      </c>
      <c r="B198" s="48"/>
      <c r="C198" s="49"/>
      <c r="D198" s="49"/>
      <c r="E198" s="49"/>
      <c r="F198" s="49"/>
      <c r="G198" s="49"/>
      <c r="H198" s="49"/>
      <c r="I198" s="50" t="s">
        <v>209</v>
      </c>
      <c r="J198" s="49"/>
      <c r="K198" s="49"/>
      <c r="L198" s="49"/>
      <c r="M198" s="49"/>
      <c r="N198" s="49"/>
      <c r="O198" s="49"/>
      <c r="P198" s="49"/>
      <c r="Q198" s="49"/>
      <c r="R198" s="49"/>
      <c r="S198" s="49"/>
      <c r="T198" s="10">
        <f t="shared" si="1"/>
        <v>1</v>
      </c>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row>
    <row r="199">
      <c r="A199" s="47" t="s">
        <v>500</v>
      </c>
      <c r="B199" s="48"/>
      <c r="C199" s="49"/>
      <c r="D199" s="49"/>
      <c r="E199" s="49"/>
      <c r="F199" s="49"/>
      <c r="G199" s="49"/>
      <c r="H199" s="49"/>
      <c r="I199" s="50" t="s">
        <v>209</v>
      </c>
      <c r="J199" s="49"/>
      <c r="K199" s="49"/>
      <c r="L199" s="49"/>
      <c r="M199" s="49"/>
      <c r="N199" s="49"/>
      <c r="O199" s="49"/>
      <c r="P199" s="49"/>
      <c r="Q199" s="50" t="s">
        <v>242</v>
      </c>
      <c r="R199" s="49"/>
      <c r="S199" s="49"/>
      <c r="T199" s="10">
        <f t="shared" si="1"/>
        <v>2</v>
      </c>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row>
    <row r="200">
      <c r="A200" s="46" t="s">
        <v>43</v>
      </c>
      <c r="B200" s="46"/>
      <c r="C200" s="46"/>
      <c r="D200" s="46"/>
      <c r="E200" s="46"/>
      <c r="F200" s="46"/>
      <c r="G200" s="46"/>
      <c r="H200" s="46"/>
      <c r="I200" s="46"/>
      <c r="J200" s="46"/>
      <c r="K200" s="46"/>
      <c r="L200" s="46"/>
      <c r="M200" s="46"/>
      <c r="N200" s="46"/>
      <c r="O200" s="46"/>
      <c r="P200" s="46"/>
      <c r="Q200" s="46"/>
      <c r="R200" s="46"/>
      <c r="S200" s="46"/>
      <c r="T200" s="10">
        <f t="shared" si="1"/>
        <v>0</v>
      </c>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row>
    <row r="201">
      <c r="A201" s="47" t="s">
        <v>502</v>
      </c>
      <c r="B201" s="48"/>
      <c r="C201" s="49"/>
      <c r="D201" s="49"/>
      <c r="E201" s="49"/>
      <c r="F201" s="49"/>
      <c r="G201" s="49"/>
      <c r="H201" s="49"/>
      <c r="I201" s="50" t="s">
        <v>209</v>
      </c>
      <c r="J201" s="49"/>
      <c r="K201" s="49"/>
      <c r="L201" s="49"/>
      <c r="M201" s="49"/>
      <c r="N201" s="49"/>
      <c r="O201" s="49"/>
      <c r="P201" s="49"/>
      <c r="Q201" s="49"/>
      <c r="R201" s="49"/>
      <c r="S201" s="49"/>
      <c r="T201" s="10">
        <f t="shared" si="1"/>
        <v>1</v>
      </c>
      <c r="U201" s="49"/>
      <c r="V201" s="49"/>
      <c r="W201" s="49"/>
      <c r="X201" s="49"/>
      <c r="Y201" s="49"/>
      <c r="Z201" s="49"/>
      <c r="AA201" s="49"/>
      <c r="AB201" s="49"/>
      <c r="AC201" s="49"/>
      <c r="AD201" s="49"/>
      <c r="AE201" s="49"/>
      <c r="AF201" s="49"/>
      <c r="AG201" s="49"/>
      <c r="AH201" s="49"/>
      <c r="AI201" s="49"/>
      <c r="AJ201" s="49"/>
      <c r="AK201" s="49"/>
      <c r="AL201" s="49"/>
      <c r="AM201" s="49"/>
      <c r="AN201" s="49"/>
      <c r="AO201" s="49"/>
      <c r="AP201" s="49"/>
      <c r="AQ201" s="49"/>
    </row>
    <row r="202">
      <c r="A202" s="47" t="s">
        <v>503</v>
      </c>
      <c r="B202" s="48"/>
      <c r="C202" s="49"/>
      <c r="D202" s="49"/>
      <c r="E202" s="49"/>
      <c r="F202" s="49"/>
      <c r="G202" s="49"/>
      <c r="H202" s="49"/>
      <c r="I202" s="50" t="s">
        <v>209</v>
      </c>
      <c r="J202" s="49"/>
      <c r="K202" s="49"/>
      <c r="L202" s="49"/>
      <c r="M202" s="49"/>
      <c r="N202" s="49"/>
      <c r="O202" s="49"/>
      <c r="P202" s="49"/>
      <c r="Q202" s="49"/>
      <c r="R202" s="49"/>
      <c r="S202" s="49"/>
      <c r="T202" s="10">
        <f t="shared" si="1"/>
        <v>1</v>
      </c>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row>
    <row r="203">
      <c r="A203" s="47" t="s">
        <v>504</v>
      </c>
      <c r="B203" s="48"/>
      <c r="C203" s="49"/>
      <c r="D203" s="49"/>
      <c r="E203" s="49"/>
      <c r="F203" s="49"/>
      <c r="G203" s="49"/>
      <c r="H203" s="49"/>
      <c r="I203" s="50" t="s">
        <v>209</v>
      </c>
      <c r="J203" s="49"/>
      <c r="K203" s="49"/>
      <c r="L203" s="49"/>
      <c r="M203" s="49"/>
      <c r="N203" s="49"/>
      <c r="O203" s="49"/>
      <c r="P203" s="49"/>
      <c r="Q203" s="49"/>
      <c r="R203" s="49"/>
      <c r="S203" s="49"/>
      <c r="T203" s="10">
        <f t="shared" si="1"/>
        <v>1</v>
      </c>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row>
    <row r="204">
      <c r="A204" s="46" t="s">
        <v>44</v>
      </c>
      <c r="B204" s="46"/>
      <c r="C204" s="46"/>
      <c r="D204" s="46"/>
      <c r="E204" s="46"/>
      <c r="F204" s="46"/>
      <c r="G204" s="46"/>
      <c r="H204" s="46"/>
      <c r="I204" s="46"/>
      <c r="J204" s="46"/>
      <c r="K204" s="46"/>
      <c r="L204" s="46"/>
      <c r="M204" s="46"/>
      <c r="N204" s="46"/>
      <c r="O204" s="46"/>
      <c r="P204" s="46"/>
      <c r="Q204" s="46"/>
      <c r="R204" s="46"/>
      <c r="S204" s="46"/>
      <c r="T204" s="10">
        <f t="shared" si="1"/>
        <v>0</v>
      </c>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row>
    <row r="205">
      <c r="A205" s="47" t="s">
        <v>505</v>
      </c>
      <c r="B205" s="48"/>
      <c r="C205" s="49"/>
      <c r="D205" s="49"/>
      <c r="E205" s="49"/>
      <c r="F205" s="49"/>
      <c r="G205" s="49"/>
      <c r="H205" s="49"/>
      <c r="I205" s="50" t="s">
        <v>209</v>
      </c>
      <c r="J205" s="49"/>
      <c r="K205" s="49"/>
      <c r="L205" s="49"/>
      <c r="M205" s="49"/>
      <c r="N205" s="49"/>
      <c r="O205" s="49"/>
      <c r="P205" s="49"/>
      <c r="Q205" s="49"/>
      <c r="R205" s="49"/>
      <c r="S205" s="49"/>
      <c r="T205" s="10">
        <f t="shared" si="1"/>
        <v>1</v>
      </c>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row>
    <row r="206">
      <c r="A206" s="47" t="s">
        <v>506</v>
      </c>
      <c r="B206" s="48"/>
      <c r="C206" s="49"/>
      <c r="D206" s="49"/>
      <c r="E206" s="49"/>
      <c r="F206" s="49"/>
      <c r="G206" s="49"/>
      <c r="H206" s="49"/>
      <c r="I206" s="50" t="s">
        <v>209</v>
      </c>
      <c r="J206" s="49"/>
      <c r="K206" s="49"/>
      <c r="L206" s="49"/>
      <c r="M206" s="49"/>
      <c r="N206" s="49"/>
      <c r="O206" s="49"/>
      <c r="P206" s="49"/>
      <c r="Q206" s="49"/>
      <c r="R206" s="49"/>
      <c r="S206" s="49"/>
      <c r="T206" s="10">
        <f t="shared" si="1"/>
        <v>1</v>
      </c>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row>
    <row r="207">
      <c r="A207" s="47" t="s">
        <v>507</v>
      </c>
      <c r="B207" s="48"/>
      <c r="C207" s="49"/>
      <c r="D207" s="49"/>
      <c r="E207" s="49"/>
      <c r="F207" s="49"/>
      <c r="G207" s="49"/>
      <c r="H207" s="49"/>
      <c r="I207" s="50" t="s">
        <v>209</v>
      </c>
      <c r="J207" s="49"/>
      <c r="K207" s="49"/>
      <c r="L207" s="49"/>
      <c r="M207" s="49"/>
      <c r="N207" s="49"/>
      <c r="O207" s="49"/>
      <c r="P207" s="49"/>
      <c r="Q207" s="49"/>
      <c r="R207" s="49"/>
      <c r="S207" s="49"/>
      <c r="T207" s="10">
        <f t="shared" si="1"/>
        <v>1</v>
      </c>
      <c r="U207" s="49"/>
      <c r="V207" s="49"/>
      <c r="W207" s="49"/>
      <c r="X207" s="49"/>
      <c r="Y207" s="49"/>
      <c r="Z207" s="49"/>
      <c r="AA207" s="49"/>
      <c r="AB207" s="49"/>
      <c r="AC207" s="49"/>
      <c r="AD207" s="49"/>
      <c r="AE207" s="49"/>
      <c r="AF207" s="49"/>
      <c r="AG207" s="49"/>
      <c r="AH207" s="49"/>
      <c r="AI207" s="49"/>
      <c r="AJ207" s="49"/>
      <c r="AK207" s="49"/>
      <c r="AL207" s="49"/>
      <c r="AM207" s="49"/>
      <c r="AN207" s="49"/>
      <c r="AO207" s="49"/>
      <c r="AP207" s="49"/>
      <c r="AQ207" s="49"/>
    </row>
    <row r="208">
      <c r="A208" s="46" t="s">
        <v>45</v>
      </c>
      <c r="B208" s="46"/>
      <c r="C208" s="46"/>
      <c r="D208" s="46"/>
      <c r="E208" s="46"/>
      <c r="F208" s="46"/>
      <c r="G208" s="46"/>
      <c r="H208" s="46"/>
      <c r="I208" s="46"/>
      <c r="J208" s="46"/>
      <c r="K208" s="46"/>
      <c r="L208" s="46"/>
      <c r="M208" s="46"/>
      <c r="N208" s="46"/>
      <c r="O208" s="46"/>
      <c r="P208" s="46"/>
      <c r="Q208" s="46"/>
      <c r="R208" s="46"/>
      <c r="S208" s="46"/>
      <c r="T208" s="10">
        <f t="shared" si="1"/>
        <v>0</v>
      </c>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row>
    <row r="209">
      <c r="A209" s="47" t="s">
        <v>363</v>
      </c>
      <c r="B209" s="48"/>
      <c r="C209" s="49"/>
      <c r="D209" s="49"/>
      <c r="E209" s="49"/>
      <c r="F209" s="49"/>
      <c r="G209" s="49"/>
      <c r="H209" s="49"/>
      <c r="I209" s="50" t="s">
        <v>209</v>
      </c>
      <c r="J209" s="49"/>
      <c r="K209" s="49"/>
      <c r="L209" s="49"/>
      <c r="M209" s="49"/>
      <c r="N209" s="49"/>
      <c r="O209" s="49"/>
      <c r="P209" s="49"/>
      <c r="Q209" s="49"/>
      <c r="R209" s="49"/>
      <c r="S209" s="49"/>
      <c r="T209" s="10">
        <f t="shared" si="1"/>
        <v>1</v>
      </c>
      <c r="U209" s="49"/>
      <c r="V209" s="49"/>
      <c r="W209" s="49"/>
      <c r="X209" s="49"/>
      <c r="Y209" s="49"/>
      <c r="Z209" s="49"/>
      <c r="AA209" s="49"/>
      <c r="AB209" s="49"/>
      <c r="AC209" s="49"/>
      <c r="AD209" s="49"/>
      <c r="AE209" s="49"/>
      <c r="AF209" s="49"/>
      <c r="AG209" s="49"/>
      <c r="AH209" s="49"/>
      <c r="AI209" s="49"/>
      <c r="AJ209" s="49"/>
      <c r="AK209" s="49"/>
      <c r="AL209" s="49"/>
      <c r="AM209" s="49"/>
      <c r="AN209" s="49"/>
      <c r="AO209" s="49"/>
      <c r="AP209" s="49"/>
      <c r="AQ209" s="49"/>
    </row>
    <row r="210">
      <c r="A210" s="47" t="s">
        <v>508</v>
      </c>
      <c r="B210" s="48"/>
      <c r="C210" s="49"/>
      <c r="D210" s="49"/>
      <c r="E210" s="49"/>
      <c r="F210" s="49"/>
      <c r="G210" s="49"/>
      <c r="H210" s="49"/>
      <c r="I210" s="50" t="s">
        <v>209</v>
      </c>
      <c r="J210" s="49"/>
      <c r="K210" s="49"/>
      <c r="L210" s="49"/>
      <c r="M210" s="49"/>
      <c r="N210" s="49"/>
      <c r="O210" s="49"/>
      <c r="P210" s="49"/>
      <c r="Q210" s="49"/>
      <c r="R210" s="49"/>
      <c r="S210" s="49"/>
      <c r="T210" s="10">
        <f t="shared" si="1"/>
        <v>1</v>
      </c>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row>
    <row r="211">
      <c r="A211" s="47" t="s">
        <v>509</v>
      </c>
      <c r="B211" s="48"/>
      <c r="C211" s="49"/>
      <c r="D211" s="49"/>
      <c r="E211" s="49"/>
      <c r="F211" s="49"/>
      <c r="G211" s="49"/>
      <c r="H211" s="49"/>
      <c r="I211" s="50" t="s">
        <v>209</v>
      </c>
      <c r="J211" s="49"/>
      <c r="K211" s="49"/>
      <c r="L211" s="49"/>
      <c r="M211" s="49"/>
      <c r="N211" s="49"/>
      <c r="O211" s="49"/>
      <c r="P211" s="49"/>
      <c r="Q211" s="49"/>
      <c r="R211" s="49"/>
      <c r="S211" s="49"/>
      <c r="T211" s="10">
        <f t="shared" si="1"/>
        <v>1</v>
      </c>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row>
    <row r="212">
      <c r="A212" s="47" t="s">
        <v>510</v>
      </c>
      <c r="B212" s="48"/>
      <c r="C212" s="49"/>
      <c r="D212" s="49"/>
      <c r="E212" s="49"/>
      <c r="F212" s="49"/>
      <c r="G212" s="49"/>
      <c r="H212" s="49"/>
      <c r="I212" s="50" t="s">
        <v>209</v>
      </c>
      <c r="J212" s="49"/>
      <c r="K212" s="49"/>
      <c r="L212" s="49"/>
      <c r="M212" s="49"/>
      <c r="N212" s="49"/>
      <c r="O212" s="49"/>
      <c r="P212" s="49"/>
      <c r="Q212" s="49"/>
      <c r="R212" s="49"/>
      <c r="S212" s="49"/>
      <c r="T212" s="10">
        <f t="shared" si="1"/>
        <v>1</v>
      </c>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row>
    <row r="213">
      <c r="A213" s="46" t="s">
        <v>46</v>
      </c>
      <c r="B213" s="46"/>
      <c r="C213" s="46"/>
      <c r="D213" s="46"/>
      <c r="E213" s="46"/>
      <c r="F213" s="46"/>
      <c r="G213" s="46"/>
      <c r="H213" s="46"/>
      <c r="I213" s="46"/>
      <c r="J213" s="46"/>
      <c r="K213" s="46"/>
      <c r="L213" s="46"/>
      <c r="M213" s="46"/>
      <c r="N213" s="46"/>
      <c r="O213" s="46"/>
      <c r="P213" s="46"/>
      <c r="Q213" s="46"/>
      <c r="R213" s="46"/>
      <c r="S213" s="46"/>
      <c r="T213" s="10">
        <f t="shared" si="1"/>
        <v>0</v>
      </c>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row>
    <row r="214">
      <c r="A214" s="47" t="s">
        <v>511</v>
      </c>
      <c r="B214" s="48"/>
      <c r="C214" s="49"/>
      <c r="D214" s="49"/>
      <c r="E214" s="49"/>
      <c r="F214" s="49"/>
      <c r="G214" s="49"/>
      <c r="H214" s="47" t="s">
        <v>512</v>
      </c>
      <c r="I214" s="50" t="s">
        <v>209</v>
      </c>
      <c r="J214" s="49"/>
      <c r="K214" s="49"/>
      <c r="L214" s="49"/>
      <c r="M214" s="49"/>
      <c r="N214" s="49"/>
      <c r="O214" s="49"/>
      <c r="P214" s="49"/>
      <c r="Q214" s="49"/>
      <c r="R214" s="49"/>
      <c r="S214" s="49"/>
      <c r="T214" s="10">
        <f t="shared" si="1"/>
        <v>1</v>
      </c>
      <c r="U214" s="49"/>
      <c r="V214" s="49"/>
      <c r="W214" s="49"/>
      <c r="X214" s="49"/>
      <c r="Y214" s="49"/>
      <c r="Z214" s="49"/>
      <c r="AA214" s="49"/>
      <c r="AB214" s="49"/>
      <c r="AC214" s="49"/>
      <c r="AD214" s="49"/>
      <c r="AE214" s="49"/>
      <c r="AF214" s="49"/>
      <c r="AG214" s="49"/>
      <c r="AH214" s="49"/>
      <c r="AI214" s="49"/>
      <c r="AJ214" s="49"/>
      <c r="AK214" s="49"/>
      <c r="AL214" s="49"/>
      <c r="AM214" s="49"/>
      <c r="AN214" s="49"/>
      <c r="AO214" s="49"/>
      <c r="AP214" s="49"/>
      <c r="AQ214" s="49"/>
    </row>
    <row r="215">
      <c r="A215" s="47" t="s">
        <v>513</v>
      </c>
      <c r="B215" s="48"/>
      <c r="C215" s="49"/>
      <c r="D215" s="49"/>
      <c r="E215" s="49"/>
      <c r="F215" s="49"/>
      <c r="G215" s="49"/>
      <c r="H215" s="49"/>
      <c r="I215" s="50" t="s">
        <v>209</v>
      </c>
      <c r="J215" s="49"/>
      <c r="K215" s="49"/>
      <c r="L215" s="49"/>
      <c r="M215" s="49"/>
      <c r="N215" s="49"/>
      <c r="O215" s="49"/>
      <c r="P215" s="49"/>
      <c r="Q215" s="49"/>
      <c r="R215" s="49"/>
      <c r="S215" s="49"/>
      <c r="T215" s="10">
        <f t="shared" si="1"/>
        <v>1</v>
      </c>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row>
    <row r="216">
      <c r="A216" s="46" t="s">
        <v>514</v>
      </c>
      <c r="B216" s="46"/>
      <c r="C216" s="46"/>
      <c r="D216" s="46"/>
      <c r="E216" s="46"/>
      <c r="F216" s="46"/>
      <c r="G216" s="46"/>
      <c r="H216" s="46"/>
      <c r="I216" s="46"/>
      <c r="J216" s="46"/>
      <c r="K216" s="46"/>
      <c r="L216" s="46"/>
      <c r="M216" s="46"/>
      <c r="N216" s="46"/>
      <c r="O216" s="46"/>
      <c r="P216" s="46"/>
      <c r="Q216" s="46"/>
      <c r="R216" s="46"/>
      <c r="S216" s="46"/>
      <c r="T216" s="10">
        <f t="shared" si="1"/>
        <v>0</v>
      </c>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row>
    <row r="217">
      <c r="A217" s="47" t="s">
        <v>492</v>
      </c>
      <c r="B217" s="48"/>
      <c r="C217" s="49"/>
      <c r="D217" s="49"/>
      <c r="E217" s="49"/>
      <c r="F217" s="49"/>
      <c r="G217" s="49"/>
      <c r="H217" s="47" t="s">
        <v>493</v>
      </c>
      <c r="I217" s="50" t="s">
        <v>209</v>
      </c>
      <c r="J217" s="50" t="s">
        <v>256</v>
      </c>
      <c r="K217" s="50" t="s">
        <v>122</v>
      </c>
      <c r="L217" s="49"/>
      <c r="M217" s="49"/>
      <c r="N217" s="49"/>
      <c r="O217" s="49"/>
      <c r="P217" s="50" t="s">
        <v>268</v>
      </c>
      <c r="Q217" s="49"/>
      <c r="R217" s="47" t="s">
        <v>102</v>
      </c>
      <c r="S217" s="49"/>
      <c r="T217" s="10">
        <f t="shared" si="1"/>
        <v>5</v>
      </c>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row>
    <row r="218" ht="3.75" customHeight="1">
      <c r="A218" s="46"/>
      <c r="B218" s="46"/>
      <c r="C218" s="46"/>
      <c r="D218" s="46"/>
      <c r="E218" s="46"/>
      <c r="F218" s="46"/>
      <c r="G218" s="46"/>
      <c r="H218" s="46"/>
      <c r="I218" s="46"/>
      <c r="J218" s="46"/>
      <c r="K218" s="46"/>
      <c r="L218" s="46"/>
      <c r="M218" s="46"/>
      <c r="N218" s="46"/>
      <c r="O218" s="46"/>
      <c r="P218" s="46"/>
      <c r="Q218" s="46"/>
      <c r="R218" s="46"/>
      <c r="S218" s="46"/>
      <c r="T218" s="10">
        <f t="shared" si="1"/>
        <v>0</v>
      </c>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row>
    <row r="219">
      <c r="A219" s="47" t="s">
        <v>486</v>
      </c>
      <c r="B219" s="48"/>
      <c r="C219" s="49"/>
      <c r="D219" s="49"/>
      <c r="E219" s="49"/>
      <c r="F219" s="49"/>
      <c r="G219" s="49"/>
      <c r="H219" s="47" t="s">
        <v>487</v>
      </c>
      <c r="I219" s="47"/>
      <c r="J219" s="50" t="s">
        <v>256</v>
      </c>
      <c r="K219" s="50" t="s">
        <v>122</v>
      </c>
      <c r="L219" s="49"/>
      <c r="M219" s="49"/>
      <c r="N219" s="50" t="s">
        <v>164</v>
      </c>
      <c r="O219" s="49"/>
      <c r="P219" s="50" t="s">
        <v>268</v>
      </c>
      <c r="Q219" s="50" t="s">
        <v>221</v>
      </c>
      <c r="R219" s="47" t="s">
        <v>102</v>
      </c>
      <c r="S219" s="49"/>
      <c r="T219" s="10">
        <f t="shared" si="1"/>
        <v>6</v>
      </c>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row>
    <row r="220">
      <c r="A220" s="47" t="s">
        <v>433</v>
      </c>
      <c r="B220" s="48"/>
      <c r="C220" s="49"/>
      <c r="D220" s="49"/>
      <c r="E220" s="49"/>
      <c r="F220" s="49"/>
      <c r="G220" s="49"/>
      <c r="H220" s="49"/>
      <c r="I220" s="47"/>
      <c r="J220" s="49"/>
      <c r="K220" s="49"/>
      <c r="L220" s="49"/>
      <c r="M220" s="49"/>
      <c r="N220" s="49"/>
      <c r="O220" s="49"/>
      <c r="P220" s="50" t="s">
        <v>268</v>
      </c>
      <c r="Q220" s="50" t="s">
        <v>221</v>
      </c>
      <c r="R220" s="49"/>
      <c r="S220" s="49"/>
      <c r="T220" s="10">
        <f t="shared" si="1"/>
        <v>2</v>
      </c>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row>
    <row r="221">
      <c r="A221" s="47" t="s">
        <v>422</v>
      </c>
      <c r="B221" s="48"/>
      <c r="C221" s="49"/>
      <c r="D221" s="49"/>
      <c r="E221" s="49"/>
      <c r="F221" s="49"/>
      <c r="G221" s="49"/>
      <c r="H221" s="47" t="s">
        <v>423</v>
      </c>
      <c r="I221" s="47"/>
      <c r="J221" s="50" t="s">
        <v>256</v>
      </c>
      <c r="K221" s="50" t="s">
        <v>86</v>
      </c>
      <c r="L221" s="49"/>
      <c r="M221" s="49"/>
      <c r="N221" s="49"/>
      <c r="O221" s="49"/>
      <c r="P221" s="50" t="s">
        <v>268</v>
      </c>
      <c r="Q221" s="50" t="s">
        <v>221</v>
      </c>
      <c r="R221" s="49"/>
      <c r="S221" s="49"/>
      <c r="T221" s="10">
        <f t="shared" si="1"/>
        <v>4</v>
      </c>
      <c r="U221" s="49"/>
      <c r="V221" s="49"/>
      <c r="W221" s="49"/>
      <c r="X221" s="49"/>
      <c r="Y221" s="49"/>
      <c r="Z221" s="49"/>
      <c r="AA221" s="49"/>
      <c r="AB221" s="49"/>
      <c r="AC221" s="49"/>
      <c r="AD221" s="49"/>
      <c r="AE221" s="49"/>
      <c r="AF221" s="49"/>
      <c r="AG221" s="49"/>
      <c r="AH221" s="49"/>
      <c r="AI221" s="49"/>
      <c r="AJ221" s="49"/>
      <c r="AK221" s="49"/>
      <c r="AL221" s="49"/>
      <c r="AM221" s="49"/>
      <c r="AN221" s="49"/>
      <c r="AO221" s="49"/>
      <c r="AP221" s="49"/>
      <c r="AQ221" s="49"/>
    </row>
    <row r="222">
      <c r="A222" s="47" t="s">
        <v>494</v>
      </c>
      <c r="B222" s="48"/>
      <c r="C222" s="49"/>
      <c r="D222" s="49"/>
      <c r="E222" s="49"/>
      <c r="F222" s="49"/>
      <c r="G222" s="49"/>
      <c r="H222" s="47" t="s">
        <v>495</v>
      </c>
      <c r="I222" s="47"/>
      <c r="J222" s="50" t="s">
        <v>256</v>
      </c>
      <c r="K222" s="50" t="s">
        <v>86</v>
      </c>
      <c r="L222" s="49"/>
      <c r="M222" s="49"/>
      <c r="N222" s="50" t="s">
        <v>164</v>
      </c>
      <c r="O222" s="49"/>
      <c r="P222" s="50" t="s">
        <v>268</v>
      </c>
      <c r="Q222" s="50" t="s">
        <v>221</v>
      </c>
      <c r="R222" s="49"/>
      <c r="S222" s="49"/>
      <c r="T222" s="10">
        <f t="shared" si="1"/>
        <v>5</v>
      </c>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row>
    <row r="223">
      <c r="A223" s="47" t="s">
        <v>424</v>
      </c>
      <c r="B223" s="48"/>
      <c r="C223" s="49"/>
      <c r="D223" s="49"/>
      <c r="E223" s="49"/>
      <c r="F223" s="49"/>
      <c r="G223" s="47"/>
      <c r="H223" s="47" t="s">
        <v>425</v>
      </c>
      <c r="I223" s="47"/>
      <c r="J223" s="50" t="s">
        <v>256</v>
      </c>
      <c r="K223" s="50" t="s">
        <v>122</v>
      </c>
      <c r="L223" s="49"/>
      <c r="M223" s="49"/>
      <c r="N223" s="49"/>
      <c r="O223" s="49"/>
      <c r="P223" s="50" t="s">
        <v>268</v>
      </c>
      <c r="Q223" s="49"/>
      <c r="R223" s="49"/>
      <c r="S223" s="47" t="s">
        <v>426</v>
      </c>
      <c r="T223" s="10">
        <f t="shared" si="1"/>
        <v>4</v>
      </c>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row>
    <row r="224">
      <c r="A224" s="47" t="s">
        <v>497</v>
      </c>
      <c r="B224" s="48"/>
      <c r="C224" s="49"/>
      <c r="D224" s="49"/>
      <c r="E224" s="49"/>
      <c r="F224" s="49"/>
      <c r="G224" s="47"/>
      <c r="H224" s="47" t="s">
        <v>493</v>
      </c>
      <c r="I224" s="47"/>
      <c r="J224" s="50" t="s">
        <v>256</v>
      </c>
      <c r="K224" s="50" t="s">
        <v>122</v>
      </c>
      <c r="L224" s="49"/>
      <c r="M224" s="49"/>
      <c r="N224" s="49"/>
      <c r="O224" s="49"/>
      <c r="P224" s="50" t="s">
        <v>268</v>
      </c>
      <c r="Q224" s="49"/>
      <c r="R224" s="47" t="s">
        <v>102</v>
      </c>
      <c r="S224" s="47"/>
      <c r="T224" s="10">
        <f t="shared" si="1"/>
        <v>4</v>
      </c>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row>
    <row r="225">
      <c r="A225" s="47" t="s">
        <v>519</v>
      </c>
      <c r="B225" s="48"/>
      <c r="C225" s="49"/>
      <c r="D225" s="49"/>
      <c r="E225" s="49"/>
      <c r="F225" s="49"/>
      <c r="G225" s="47"/>
      <c r="H225" s="47"/>
      <c r="I225" s="47"/>
      <c r="J225" s="50" t="s">
        <v>256</v>
      </c>
      <c r="K225" s="50" t="s">
        <v>122</v>
      </c>
      <c r="L225" s="49"/>
      <c r="M225" s="49"/>
      <c r="N225" s="49"/>
      <c r="O225" s="49"/>
      <c r="P225" s="47"/>
      <c r="Q225" s="49"/>
      <c r="R225" s="47"/>
      <c r="S225" s="47"/>
      <c r="T225" s="10">
        <f t="shared" si="1"/>
        <v>2</v>
      </c>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row>
    <row r="226">
      <c r="A226" s="46" t="s">
        <v>48</v>
      </c>
      <c r="B226" s="46"/>
      <c r="C226" s="46"/>
      <c r="D226" s="46"/>
      <c r="E226" s="46"/>
      <c r="F226" s="46"/>
      <c r="G226" s="46"/>
      <c r="H226" s="46"/>
      <c r="I226" s="46"/>
      <c r="J226" s="46"/>
      <c r="K226" s="46"/>
      <c r="L226" s="46"/>
      <c r="M226" s="46"/>
      <c r="N226" s="46"/>
      <c r="O226" s="46"/>
      <c r="P226" s="46"/>
      <c r="Q226" s="46"/>
      <c r="R226" s="46"/>
      <c r="S226" s="46"/>
      <c r="T226" s="10">
        <f t="shared" si="1"/>
        <v>0</v>
      </c>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row>
    <row r="227">
      <c r="A227" s="47" t="s">
        <v>381</v>
      </c>
      <c r="B227" s="48"/>
      <c r="C227" s="49"/>
      <c r="D227" s="49"/>
      <c r="E227" s="49"/>
      <c r="F227" s="49"/>
      <c r="G227" s="47" t="s">
        <v>382</v>
      </c>
      <c r="H227" s="49"/>
      <c r="I227" s="50" t="s">
        <v>209</v>
      </c>
      <c r="J227" s="49"/>
      <c r="K227" s="50" t="s">
        <v>335</v>
      </c>
      <c r="L227" s="51" t="s">
        <v>193</v>
      </c>
      <c r="M227" s="51"/>
      <c r="N227" s="50" t="s">
        <v>164</v>
      </c>
      <c r="O227" s="49"/>
      <c r="P227" s="47" t="s">
        <v>372</v>
      </c>
      <c r="Q227" s="49"/>
      <c r="R227" s="47" t="s">
        <v>102</v>
      </c>
      <c r="S227" s="47" t="s">
        <v>257</v>
      </c>
      <c r="T227" s="10">
        <f t="shared" si="1"/>
        <v>7</v>
      </c>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row>
    <row r="228" ht="3.75" customHeight="1">
      <c r="A228" s="46"/>
      <c r="B228" s="46"/>
      <c r="C228" s="46"/>
      <c r="D228" s="46"/>
      <c r="E228" s="46"/>
      <c r="F228" s="46"/>
      <c r="G228" s="46"/>
      <c r="H228" s="46"/>
      <c r="I228" s="46"/>
      <c r="J228" s="46"/>
      <c r="K228" s="46"/>
      <c r="L228" s="46"/>
      <c r="M228" s="46"/>
      <c r="N228" s="46"/>
      <c r="O228" s="46"/>
      <c r="P228" s="46"/>
      <c r="Q228" s="46"/>
      <c r="R228" s="46"/>
      <c r="S228" s="46"/>
      <c r="T228" s="10">
        <f t="shared" si="1"/>
        <v>0</v>
      </c>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row>
    <row r="229">
      <c r="A229" s="47" t="s">
        <v>374</v>
      </c>
      <c r="B229" s="48"/>
      <c r="C229" s="49"/>
      <c r="D229" s="49"/>
      <c r="E229" s="49"/>
      <c r="F229" s="49"/>
      <c r="G229" s="47" t="s">
        <v>376</v>
      </c>
      <c r="H229" s="47" t="s">
        <v>377</v>
      </c>
      <c r="I229" s="47"/>
      <c r="J229" s="50" t="s">
        <v>256</v>
      </c>
      <c r="K229" s="50" t="s">
        <v>335</v>
      </c>
      <c r="L229" s="50" t="s">
        <v>193</v>
      </c>
      <c r="M229" s="47"/>
      <c r="N229" s="50" t="s">
        <v>164</v>
      </c>
      <c r="O229" s="49"/>
      <c r="P229" s="47" t="s">
        <v>372</v>
      </c>
      <c r="Q229" s="50" t="s">
        <v>221</v>
      </c>
      <c r="R229" s="47" t="s">
        <v>102</v>
      </c>
      <c r="S229" s="47" t="s">
        <v>257</v>
      </c>
      <c r="T229" s="10">
        <f t="shared" si="1"/>
        <v>8</v>
      </c>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row>
    <row r="230">
      <c r="A230" s="46" t="s">
        <v>49</v>
      </c>
      <c r="B230" s="46"/>
      <c r="C230" s="46"/>
      <c r="D230" s="46"/>
      <c r="E230" s="46"/>
      <c r="F230" s="46"/>
      <c r="G230" s="46"/>
      <c r="H230" s="46"/>
      <c r="I230" s="46"/>
      <c r="J230" s="46"/>
      <c r="K230" s="46"/>
      <c r="L230" s="46"/>
      <c r="M230" s="46"/>
      <c r="N230" s="46"/>
      <c r="O230" s="46"/>
      <c r="P230" s="46"/>
      <c r="Q230" s="46"/>
      <c r="R230" s="46"/>
      <c r="S230" s="46"/>
      <c r="T230" s="10">
        <f t="shared" si="1"/>
        <v>0</v>
      </c>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row>
    <row r="231">
      <c r="A231" s="47" t="s">
        <v>453</v>
      </c>
      <c r="B231" s="48"/>
      <c r="C231" s="49"/>
      <c r="D231" s="49"/>
      <c r="E231" s="49"/>
      <c r="F231" s="49"/>
      <c r="G231" s="47" t="s">
        <v>254</v>
      </c>
      <c r="H231" s="47" t="s">
        <v>454</v>
      </c>
      <c r="I231" s="50" t="s">
        <v>209</v>
      </c>
      <c r="J231" s="51" t="s">
        <v>256</v>
      </c>
      <c r="K231" s="49"/>
      <c r="L231" s="50" t="s">
        <v>193</v>
      </c>
      <c r="M231" s="47"/>
      <c r="N231" s="50" t="s">
        <v>164</v>
      </c>
      <c r="O231" s="49"/>
      <c r="P231" s="47" t="s">
        <v>283</v>
      </c>
      <c r="Q231" s="47" t="s">
        <v>261</v>
      </c>
      <c r="R231" s="47" t="s">
        <v>102</v>
      </c>
      <c r="S231" s="47" t="s">
        <v>284</v>
      </c>
      <c r="T231" s="10">
        <f t="shared" si="1"/>
        <v>8</v>
      </c>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row>
    <row r="232" ht="3.75" customHeight="1">
      <c r="A232" s="46"/>
      <c r="B232" s="46"/>
      <c r="C232" s="46"/>
      <c r="D232" s="46"/>
      <c r="E232" s="46"/>
      <c r="F232" s="46"/>
      <c r="G232" s="46"/>
      <c r="H232" s="46"/>
      <c r="I232" s="46"/>
      <c r="J232" s="46"/>
      <c r="K232" s="46"/>
      <c r="L232" s="46"/>
      <c r="M232" s="46"/>
      <c r="N232" s="46"/>
      <c r="O232" s="46"/>
      <c r="P232" s="46"/>
      <c r="Q232" s="46"/>
      <c r="R232" s="46"/>
      <c r="S232" s="46"/>
      <c r="T232" s="10">
        <f t="shared" si="1"/>
        <v>0</v>
      </c>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row>
    <row r="233">
      <c r="A233" s="47" t="s">
        <v>463</v>
      </c>
      <c r="B233" s="48"/>
      <c r="C233" s="49"/>
      <c r="D233" s="49"/>
      <c r="E233" s="49"/>
      <c r="F233" s="49"/>
      <c r="G233" s="47" t="s">
        <v>464</v>
      </c>
      <c r="H233" s="49"/>
      <c r="I233" s="47"/>
      <c r="J233" s="49"/>
      <c r="K233" s="49"/>
      <c r="L233" s="49"/>
      <c r="M233" s="49"/>
      <c r="N233" s="50" t="s">
        <v>164</v>
      </c>
      <c r="O233" s="49"/>
      <c r="P233" s="47" t="s">
        <v>430</v>
      </c>
      <c r="Q233" s="50" t="s">
        <v>221</v>
      </c>
      <c r="R233" s="49"/>
      <c r="S233" s="47" t="s">
        <v>284</v>
      </c>
      <c r="T233" s="10">
        <f t="shared" si="1"/>
        <v>4</v>
      </c>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row>
    <row r="234">
      <c r="A234" s="46" t="s">
        <v>50</v>
      </c>
      <c r="B234" s="46"/>
      <c r="C234" s="46"/>
      <c r="D234" s="46"/>
      <c r="E234" s="46"/>
      <c r="F234" s="46"/>
      <c r="G234" s="46"/>
      <c r="H234" s="46"/>
      <c r="I234" s="46"/>
      <c r="J234" s="46"/>
      <c r="K234" s="46"/>
      <c r="L234" s="46"/>
      <c r="M234" s="46"/>
      <c r="N234" s="46"/>
      <c r="O234" s="46"/>
      <c r="P234" s="46"/>
      <c r="Q234" s="46"/>
      <c r="R234" s="46"/>
      <c r="S234" s="46"/>
      <c r="T234" s="10">
        <f t="shared" si="1"/>
        <v>0</v>
      </c>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row>
    <row r="235">
      <c r="A235" s="47" t="s">
        <v>523</v>
      </c>
      <c r="B235" s="48"/>
      <c r="C235" s="49"/>
      <c r="D235" s="49"/>
      <c r="E235" s="49"/>
      <c r="F235" s="49"/>
      <c r="G235" s="49"/>
      <c r="H235" s="49"/>
      <c r="I235" s="50" t="s">
        <v>209</v>
      </c>
      <c r="J235" s="49"/>
      <c r="K235" s="49"/>
      <c r="L235" s="49"/>
      <c r="M235" s="49"/>
      <c r="N235" s="49"/>
      <c r="O235" s="49"/>
      <c r="P235" s="49"/>
      <c r="Q235" s="49"/>
      <c r="R235" s="49"/>
      <c r="S235" s="47" t="s">
        <v>524</v>
      </c>
      <c r="T235" s="10">
        <f t="shared" si="1"/>
        <v>2</v>
      </c>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row>
    <row r="236">
      <c r="A236" s="54" t="s">
        <v>51</v>
      </c>
      <c r="B236" s="54"/>
      <c r="C236" s="54"/>
      <c r="D236" s="54"/>
      <c r="E236" s="54"/>
      <c r="F236" s="54"/>
      <c r="G236" s="54"/>
      <c r="H236" s="54"/>
      <c r="I236" s="54"/>
      <c r="J236" s="54"/>
      <c r="K236" s="54"/>
      <c r="L236" s="54"/>
      <c r="M236" s="54"/>
      <c r="N236" s="54"/>
      <c r="O236" s="54"/>
      <c r="P236" s="54"/>
      <c r="Q236" s="54"/>
      <c r="R236" s="54"/>
      <c r="S236" s="54"/>
      <c r="T236" s="10">
        <f t="shared" si="1"/>
        <v>0</v>
      </c>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row>
    <row r="237">
      <c r="A237" s="55" t="s">
        <v>52</v>
      </c>
      <c r="B237" s="55"/>
      <c r="C237" s="55"/>
      <c r="D237" s="55"/>
      <c r="E237" s="55"/>
      <c r="F237" s="55"/>
      <c r="G237" s="55"/>
      <c r="H237" s="55"/>
      <c r="I237" s="55"/>
      <c r="J237" s="55"/>
      <c r="K237" s="55"/>
      <c r="L237" s="55"/>
      <c r="M237" s="55"/>
      <c r="N237" s="55"/>
      <c r="O237" s="55"/>
      <c r="P237" s="55"/>
      <c r="Q237" s="55"/>
      <c r="R237" s="55"/>
      <c r="S237" s="55"/>
      <c r="T237" s="10">
        <f t="shared" si="1"/>
        <v>0</v>
      </c>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row>
    <row r="238">
      <c r="A238" s="56" t="s">
        <v>525</v>
      </c>
      <c r="B238" s="57"/>
      <c r="C238" s="58"/>
      <c r="D238" s="58"/>
      <c r="E238" s="58"/>
      <c r="F238" s="58"/>
      <c r="G238" s="58"/>
      <c r="H238" s="58"/>
      <c r="I238" s="59" t="s">
        <v>209</v>
      </c>
      <c r="J238" s="58"/>
      <c r="K238" s="58"/>
      <c r="L238" s="58"/>
      <c r="M238" s="58"/>
      <c r="N238" s="58"/>
      <c r="O238" s="58"/>
      <c r="P238" s="58"/>
      <c r="Q238" s="58"/>
      <c r="R238" s="58"/>
      <c r="S238" s="58"/>
      <c r="T238" s="10">
        <f t="shared" si="1"/>
        <v>1</v>
      </c>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row>
    <row r="239">
      <c r="A239" s="56" t="s">
        <v>364</v>
      </c>
      <c r="B239" s="57"/>
      <c r="C239" s="58"/>
      <c r="D239" s="58"/>
      <c r="E239" s="58"/>
      <c r="F239" s="58"/>
      <c r="G239" s="58"/>
      <c r="H239" s="58"/>
      <c r="I239" s="59" t="s">
        <v>209</v>
      </c>
      <c r="J239" s="58"/>
      <c r="K239" s="58"/>
      <c r="L239" s="58"/>
      <c r="M239" s="58"/>
      <c r="N239" s="58"/>
      <c r="O239" s="58"/>
      <c r="P239" s="58"/>
      <c r="Q239" s="58"/>
      <c r="R239" s="58"/>
      <c r="S239" s="58"/>
      <c r="T239" s="10">
        <f t="shared" si="1"/>
        <v>1</v>
      </c>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row>
    <row r="240">
      <c r="A240" s="56" t="s">
        <v>366</v>
      </c>
      <c r="B240" s="57"/>
      <c r="C240" s="58"/>
      <c r="D240" s="58"/>
      <c r="E240" s="58"/>
      <c r="F240" s="58"/>
      <c r="G240" s="58"/>
      <c r="H240" s="58"/>
      <c r="I240" s="59" t="s">
        <v>209</v>
      </c>
      <c r="J240" s="58"/>
      <c r="K240" s="58"/>
      <c r="L240" s="58"/>
      <c r="M240" s="58"/>
      <c r="N240" s="58"/>
      <c r="O240" s="58"/>
      <c r="P240" s="58"/>
      <c r="Q240" s="58"/>
      <c r="R240" s="58"/>
      <c r="S240" s="58"/>
      <c r="T240" s="10">
        <f t="shared" si="1"/>
        <v>1</v>
      </c>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row>
    <row r="241">
      <c r="A241" s="56" t="s">
        <v>368</v>
      </c>
      <c r="B241" s="57"/>
      <c r="C241" s="58"/>
      <c r="D241" s="58"/>
      <c r="E241" s="58"/>
      <c r="F241" s="58"/>
      <c r="G241" s="58"/>
      <c r="H241" s="58"/>
      <c r="I241" s="59" t="s">
        <v>209</v>
      </c>
      <c r="J241" s="58"/>
      <c r="K241" s="58"/>
      <c r="L241" s="58"/>
      <c r="M241" s="58"/>
      <c r="N241" s="58"/>
      <c r="O241" s="58"/>
      <c r="P241" s="58"/>
      <c r="Q241" s="58"/>
      <c r="R241" s="58"/>
      <c r="S241" s="58"/>
      <c r="T241" s="10">
        <f t="shared" si="1"/>
        <v>1</v>
      </c>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row>
    <row r="242">
      <c r="A242" s="56" t="s">
        <v>526</v>
      </c>
      <c r="B242" s="57"/>
      <c r="C242" s="58"/>
      <c r="D242" s="58"/>
      <c r="E242" s="58"/>
      <c r="F242" s="58"/>
      <c r="G242" s="58"/>
      <c r="H242" s="58"/>
      <c r="I242" s="59" t="s">
        <v>209</v>
      </c>
      <c r="J242" s="58"/>
      <c r="K242" s="58"/>
      <c r="L242" s="58"/>
      <c r="M242" s="58"/>
      <c r="N242" s="58"/>
      <c r="O242" s="58"/>
      <c r="P242" s="58"/>
      <c r="Q242" s="58"/>
      <c r="R242" s="58"/>
      <c r="S242" s="58"/>
      <c r="T242" s="10">
        <f t="shared" si="1"/>
        <v>1</v>
      </c>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row>
    <row r="243">
      <c r="A243" s="56" t="s">
        <v>527</v>
      </c>
      <c r="B243" s="57"/>
      <c r="C243" s="58"/>
      <c r="D243" s="58"/>
      <c r="E243" s="58"/>
      <c r="F243" s="58"/>
      <c r="G243" s="58"/>
      <c r="H243" s="58"/>
      <c r="I243" s="59" t="s">
        <v>209</v>
      </c>
      <c r="J243" s="58"/>
      <c r="K243" s="58"/>
      <c r="L243" s="58"/>
      <c r="M243" s="58"/>
      <c r="N243" s="58"/>
      <c r="O243" s="58"/>
      <c r="P243" s="58"/>
      <c r="Q243" s="58"/>
      <c r="R243" s="58"/>
      <c r="S243" s="58"/>
      <c r="T243" s="10">
        <f t="shared" si="1"/>
        <v>1</v>
      </c>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row>
    <row r="244">
      <c r="A244" s="56" t="s">
        <v>539</v>
      </c>
      <c r="B244" s="57"/>
      <c r="C244" s="58"/>
      <c r="D244" s="58"/>
      <c r="E244" s="58"/>
      <c r="F244" s="58"/>
      <c r="G244" s="58"/>
      <c r="H244" s="58"/>
      <c r="I244" s="59" t="s">
        <v>209</v>
      </c>
      <c r="J244" s="58"/>
      <c r="K244" s="58"/>
      <c r="L244" s="58"/>
      <c r="M244" s="58"/>
      <c r="N244" s="58"/>
      <c r="O244" s="58"/>
      <c r="P244" s="58"/>
      <c r="Q244" s="58"/>
      <c r="R244" s="58"/>
      <c r="S244" s="58"/>
      <c r="T244" s="10">
        <f t="shared" si="1"/>
        <v>1</v>
      </c>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row>
    <row r="245" ht="3.75" customHeight="1">
      <c r="A245" s="55"/>
      <c r="B245" s="55"/>
      <c r="C245" s="55"/>
      <c r="D245" s="55"/>
      <c r="E245" s="55"/>
      <c r="F245" s="55"/>
      <c r="G245" s="55"/>
      <c r="H245" s="55"/>
      <c r="I245" s="55"/>
      <c r="J245" s="55"/>
      <c r="K245" s="55"/>
      <c r="L245" s="55"/>
      <c r="M245" s="55"/>
      <c r="N245" s="55"/>
      <c r="O245" s="55"/>
      <c r="P245" s="55"/>
      <c r="Q245" s="55"/>
      <c r="R245" s="55"/>
      <c r="S245" s="55"/>
      <c r="T245" s="10">
        <f t="shared" si="1"/>
        <v>0</v>
      </c>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row>
    <row r="246">
      <c r="A246" s="56" t="s">
        <v>540</v>
      </c>
      <c r="B246" s="57"/>
      <c r="C246" s="58"/>
      <c r="D246" s="58"/>
      <c r="E246" s="58"/>
      <c r="F246" s="58"/>
      <c r="G246" s="58"/>
      <c r="H246" s="56" t="s">
        <v>541</v>
      </c>
      <c r="I246" s="56"/>
      <c r="J246" s="59" t="s">
        <v>77</v>
      </c>
      <c r="K246" s="58"/>
      <c r="L246" s="58"/>
      <c r="M246" s="58"/>
      <c r="N246" s="58"/>
      <c r="O246" s="58"/>
      <c r="P246" s="59" t="s">
        <v>538</v>
      </c>
      <c r="Q246" s="58"/>
      <c r="R246" s="58"/>
      <c r="S246" s="58"/>
      <c r="T246" s="10">
        <f t="shared" si="1"/>
        <v>2</v>
      </c>
      <c r="U246" s="58"/>
      <c r="V246" s="58"/>
      <c r="W246" s="58"/>
      <c r="X246" s="58"/>
      <c r="Y246" s="58"/>
      <c r="Z246" s="58"/>
      <c r="AA246" s="58"/>
      <c r="AB246" s="58"/>
      <c r="AC246" s="58"/>
      <c r="AD246" s="58"/>
      <c r="AE246" s="58"/>
      <c r="AF246" s="58"/>
      <c r="AG246" s="58"/>
      <c r="AH246" s="58">
        <v>0.0</v>
      </c>
      <c r="AI246" s="58"/>
      <c r="AJ246" s="58"/>
      <c r="AK246" s="58"/>
      <c r="AL246" s="58"/>
      <c r="AM246" s="58"/>
      <c r="AN246" s="58"/>
      <c r="AO246" s="58"/>
      <c r="AP246" s="58"/>
      <c r="AQ246" s="58"/>
    </row>
    <row r="247">
      <c r="A247" s="56" t="s">
        <v>542</v>
      </c>
      <c r="B247" s="57"/>
      <c r="C247" s="58"/>
      <c r="D247" s="58"/>
      <c r="E247" s="58"/>
      <c r="F247" s="58"/>
      <c r="G247" s="58"/>
      <c r="H247" s="56" t="s">
        <v>543</v>
      </c>
      <c r="I247" s="56"/>
      <c r="J247" s="56" t="s">
        <v>273</v>
      </c>
      <c r="K247" s="58"/>
      <c r="L247" s="58"/>
      <c r="M247" s="58"/>
      <c r="N247" s="58"/>
      <c r="O247" s="58"/>
      <c r="P247" s="59" t="s">
        <v>268</v>
      </c>
      <c r="Q247" s="58"/>
      <c r="R247" s="58"/>
      <c r="S247" s="58"/>
      <c r="T247" s="10">
        <f t="shared" si="1"/>
        <v>2</v>
      </c>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row>
    <row r="248">
      <c r="A248" s="56" t="s">
        <v>544</v>
      </c>
      <c r="B248" s="57"/>
      <c r="C248" s="58"/>
      <c r="D248" s="58"/>
      <c r="E248" s="58"/>
      <c r="F248" s="58"/>
      <c r="G248" s="58"/>
      <c r="H248" s="56" t="s">
        <v>545</v>
      </c>
      <c r="I248" s="56"/>
      <c r="J248" s="59" t="s">
        <v>77</v>
      </c>
      <c r="K248" s="58"/>
      <c r="L248" s="58"/>
      <c r="M248" s="58"/>
      <c r="N248" s="58"/>
      <c r="O248" s="58"/>
      <c r="P248" s="59" t="s">
        <v>268</v>
      </c>
      <c r="Q248" s="58"/>
      <c r="R248" s="58"/>
      <c r="S248" s="58"/>
      <c r="T248" s="10">
        <f t="shared" si="1"/>
        <v>2</v>
      </c>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row>
    <row r="249">
      <c r="A249" s="56" t="s">
        <v>546</v>
      </c>
      <c r="B249" s="57"/>
      <c r="C249" s="58"/>
      <c r="D249" s="58"/>
      <c r="E249" s="58"/>
      <c r="F249" s="58"/>
      <c r="G249" s="58"/>
      <c r="H249" s="56" t="s">
        <v>541</v>
      </c>
      <c r="I249" s="56"/>
      <c r="J249" s="59" t="s">
        <v>77</v>
      </c>
      <c r="K249" s="58"/>
      <c r="L249" s="58"/>
      <c r="M249" s="58"/>
      <c r="N249" s="58"/>
      <c r="O249" s="58"/>
      <c r="P249" s="59" t="s">
        <v>268</v>
      </c>
      <c r="Q249" s="58"/>
      <c r="R249" s="58"/>
      <c r="S249" s="58"/>
      <c r="T249" s="10">
        <f t="shared" si="1"/>
        <v>2</v>
      </c>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row>
    <row r="250">
      <c r="A250" s="56" t="s">
        <v>547</v>
      </c>
      <c r="B250" s="57"/>
      <c r="C250" s="58"/>
      <c r="D250" s="58"/>
      <c r="E250" s="58"/>
      <c r="F250" s="58"/>
      <c r="G250" s="58"/>
      <c r="H250" s="56" t="s">
        <v>541</v>
      </c>
      <c r="I250" s="56"/>
      <c r="J250" s="59" t="s">
        <v>77</v>
      </c>
      <c r="K250" s="58"/>
      <c r="L250" s="58"/>
      <c r="M250" s="58"/>
      <c r="N250" s="58"/>
      <c r="O250" s="58"/>
      <c r="P250" s="59" t="s">
        <v>268</v>
      </c>
      <c r="Q250" s="58"/>
      <c r="R250" s="58"/>
      <c r="S250" s="58"/>
      <c r="T250" s="10">
        <f t="shared" si="1"/>
        <v>2</v>
      </c>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row>
    <row r="251">
      <c r="A251" s="56" t="s">
        <v>549</v>
      </c>
      <c r="B251" s="57"/>
      <c r="C251" s="58"/>
      <c r="D251" s="58"/>
      <c r="E251" s="58"/>
      <c r="F251" s="58"/>
      <c r="G251" s="58"/>
      <c r="H251" s="58"/>
      <c r="I251" s="56"/>
      <c r="J251" s="58"/>
      <c r="K251" s="58"/>
      <c r="L251" s="58"/>
      <c r="M251" s="58"/>
      <c r="N251" s="58"/>
      <c r="O251" s="58"/>
      <c r="P251" s="59" t="s">
        <v>268</v>
      </c>
      <c r="Q251" s="58"/>
      <c r="R251" s="58"/>
      <c r="S251" s="58"/>
      <c r="T251" s="10">
        <f t="shared" si="1"/>
        <v>1</v>
      </c>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row>
    <row r="252">
      <c r="A252" s="56" t="s">
        <v>551</v>
      </c>
      <c r="B252" s="57"/>
      <c r="C252" s="58"/>
      <c r="D252" s="58"/>
      <c r="E252" s="58"/>
      <c r="F252" s="58"/>
      <c r="G252" s="58"/>
      <c r="H252" s="56" t="s">
        <v>552</v>
      </c>
      <c r="I252" s="56"/>
      <c r="J252" s="59" t="s">
        <v>256</v>
      </c>
      <c r="K252" s="58"/>
      <c r="L252" s="58"/>
      <c r="M252" s="58"/>
      <c r="N252" s="59" t="s">
        <v>164</v>
      </c>
      <c r="O252" s="58"/>
      <c r="P252" s="59" t="s">
        <v>268</v>
      </c>
      <c r="Q252" s="58"/>
      <c r="R252" s="58"/>
      <c r="S252" s="58"/>
      <c r="T252" s="10">
        <f t="shared" si="1"/>
        <v>3</v>
      </c>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row>
    <row r="253">
      <c r="A253" s="56" t="s">
        <v>556</v>
      </c>
      <c r="B253" s="57"/>
      <c r="C253" s="58"/>
      <c r="D253" s="58"/>
      <c r="E253" s="58"/>
      <c r="F253" s="58"/>
      <c r="G253" s="58"/>
      <c r="H253" s="58"/>
      <c r="I253" s="56"/>
      <c r="J253" s="59" t="s">
        <v>77</v>
      </c>
      <c r="K253" s="58"/>
      <c r="L253" s="58"/>
      <c r="M253" s="58"/>
      <c r="N253" s="58"/>
      <c r="O253" s="58"/>
      <c r="P253" s="59" t="s">
        <v>268</v>
      </c>
      <c r="Q253" s="58"/>
      <c r="R253" s="58"/>
      <c r="S253" s="58"/>
      <c r="T253" s="10">
        <f t="shared" si="1"/>
        <v>2</v>
      </c>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row>
    <row r="254">
      <c r="A254" s="56" t="s">
        <v>528</v>
      </c>
      <c r="B254" s="57"/>
      <c r="C254" s="58"/>
      <c r="D254" s="58"/>
      <c r="E254" s="58"/>
      <c r="F254" s="58"/>
      <c r="G254" s="58"/>
      <c r="H254" s="58"/>
      <c r="I254" s="56"/>
      <c r="J254" s="56" t="s">
        <v>273</v>
      </c>
      <c r="K254" s="58"/>
      <c r="L254" s="58"/>
      <c r="M254" s="58"/>
      <c r="N254" s="58"/>
      <c r="O254" s="58"/>
      <c r="P254" s="56"/>
      <c r="Q254" s="58"/>
      <c r="R254" s="58"/>
      <c r="S254" s="58"/>
      <c r="T254" s="10">
        <f t="shared" si="1"/>
        <v>1</v>
      </c>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row>
    <row r="255">
      <c r="A255" s="56" t="s">
        <v>529</v>
      </c>
      <c r="B255" s="57"/>
      <c r="C255" s="58"/>
      <c r="D255" s="58"/>
      <c r="E255" s="58"/>
      <c r="F255" s="58"/>
      <c r="G255" s="58"/>
      <c r="H255" s="58"/>
      <c r="I255" s="56"/>
      <c r="J255" s="59" t="s">
        <v>256</v>
      </c>
      <c r="K255" s="58"/>
      <c r="L255" s="58"/>
      <c r="M255" s="58"/>
      <c r="N255" s="58"/>
      <c r="O255" s="58"/>
      <c r="P255" s="56"/>
      <c r="Q255" s="58"/>
      <c r="R255" s="58"/>
      <c r="S255" s="58"/>
      <c r="T255" s="10">
        <f t="shared" si="1"/>
        <v>1</v>
      </c>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row>
    <row r="256">
      <c r="A256" s="56" t="s">
        <v>562</v>
      </c>
      <c r="B256" s="57"/>
      <c r="C256" s="58"/>
      <c r="D256" s="58"/>
      <c r="E256" s="58"/>
      <c r="F256" s="58"/>
      <c r="G256" s="58"/>
      <c r="H256" s="56" t="s">
        <v>563</v>
      </c>
      <c r="I256" s="56"/>
      <c r="J256" s="56" t="s">
        <v>273</v>
      </c>
      <c r="K256" s="58"/>
      <c r="L256" s="58"/>
      <c r="M256" s="58"/>
      <c r="N256" s="58"/>
      <c r="O256" s="58"/>
      <c r="P256" s="56"/>
      <c r="Q256" s="58"/>
      <c r="R256" s="58"/>
      <c r="S256" s="58"/>
      <c r="T256" s="10">
        <f t="shared" si="1"/>
        <v>1</v>
      </c>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row>
    <row r="257">
      <c r="A257" s="56" t="s">
        <v>564</v>
      </c>
      <c r="B257" s="57"/>
      <c r="C257" s="58"/>
      <c r="D257" s="58"/>
      <c r="E257" s="58"/>
      <c r="F257" s="58"/>
      <c r="G257" s="58"/>
      <c r="H257" s="58"/>
      <c r="I257" s="56"/>
      <c r="J257" s="59" t="s">
        <v>256</v>
      </c>
      <c r="K257" s="58"/>
      <c r="L257" s="58"/>
      <c r="M257" s="58"/>
      <c r="N257" s="58"/>
      <c r="O257" s="58"/>
      <c r="P257" s="56"/>
      <c r="Q257" s="58"/>
      <c r="R257" s="58"/>
      <c r="S257" s="58"/>
      <c r="T257" s="10">
        <f t="shared" si="1"/>
        <v>1</v>
      </c>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row>
    <row r="258">
      <c r="A258" s="56" t="s">
        <v>565</v>
      </c>
      <c r="B258" s="57"/>
      <c r="C258" s="58"/>
      <c r="D258" s="58"/>
      <c r="E258" s="58"/>
      <c r="F258" s="58"/>
      <c r="G258" s="58"/>
      <c r="H258" s="58"/>
      <c r="I258" s="56"/>
      <c r="J258" s="59" t="s">
        <v>256</v>
      </c>
      <c r="K258" s="58"/>
      <c r="L258" s="58"/>
      <c r="M258" s="58"/>
      <c r="N258" s="58"/>
      <c r="O258" s="58"/>
      <c r="P258" s="56"/>
      <c r="Q258" s="58"/>
      <c r="R258" s="58"/>
      <c r="S258" s="58"/>
      <c r="T258" s="10">
        <f t="shared" si="1"/>
        <v>1</v>
      </c>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row>
    <row r="259">
      <c r="A259" s="56" t="s">
        <v>566</v>
      </c>
      <c r="B259" s="57"/>
      <c r="C259" s="58"/>
      <c r="D259" s="58"/>
      <c r="E259" s="58"/>
      <c r="F259" s="58"/>
      <c r="G259" s="58"/>
      <c r="H259" s="58"/>
      <c r="I259" s="56"/>
      <c r="J259" s="59" t="s">
        <v>256</v>
      </c>
      <c r="K259" s="58"/>
      <c r="L259" s="58"/>
      <c r="M259" s="58"/>
      <c r="N259" s="59" t="s">
        <v>164</v>
      </c>
      <c r="O259" s="58"/>
      <c r="P259" s="56"/>
      <c r="Q259" s="58"/>
      <c r="R259" s="58"/>
      <c r="S259" s="58"/>
      <c r="T259" s="10">
        <f t="shared" si="1"/>
        <v>2</v>
      </c>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row>
    <row r="260">
      <c r="A260" s="56" t="s">
        <v>570</v>
      </c>
      <c r="B260" s="57"/>
      <c r="C260" s="58"/>
      <c r="D260" s="58"/>
      <c r="E260" s="58"/>
      <c r="F260" s="58"/>
      <c r="G260" s="58"/>
      <c r="H260" s="58"/>
      <c r="I260" s="56"/>
      <c r="J260" s="59" t="s">
        <v>256</v>
      </c>
      <c r="K260" s="58"/>
      <c r="L260" s="58"/>
      <c r="M260" s="58"/>
      <c r="N260" s="59" t="s">
        <v>164</v>
      </c>
      <c r="O260" s="58"/>
      <c r="P260" s="56"/>
      <c r="Q260" s="58"/>
      <c r="R260" s="58"/>
      <c r="S260" s="58"/>
      <c r="T260" s="10">
        <f t="shared" si="1"/>
        <v>2</v>
      </c>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row>
    <row r="261">
      <c r="A261" s="56" t="s">
        <v>573</v>
      </c>
      <c r="B261" s="57"/>
      <c r="C261" s="58"/>
      <c r="D261" s="58"/>
      <c r="E261" s="58"/>
      <c r="F261" s="58"/>
      <c r="G261" s="58"/>
      <c r="H261" s="58"/>
      <c r="I261" s="56"/>
      <c r="J261" s="59" t="s">
        <v>77</v>
      </c>
      <c r="K261" s="59" t="s">
        <v>86</v>
      </c>
      <c r="L261" s="59" t="s">
        <v>193</v>
      </c>
      <c r="M261" s="56"/>
      <c r="N261" s="58"/>
      <c r="O261" s="58"/>
      <c r="P261" s="56"/>
      <c r="Q261" s="58"/>
      <c r="R261" s="58"/>
      <c r="S261" s="58"/>
      <c r="T261" s="10">
        <f t="shared" si="1"/>
        <v>3</v>
      </c>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row>
    <row r="262">
      <c r="A262" s="56" t="s">
        <v>530</v>
      </c>
      <c r="B262" s="57"/>
      <c r="C262" s="58"/>
      <c r="D262" s="58"/>
      <c r="E262" s="58"/>
      <c r="F262" s="58"/>
      <c r="G262" s="58"/>
      <c r="H262" s="58"/>
      <c r="I262" s="56"/>
      <c r="J262" s="59" t="s">
        <v>77</v>
      </c>
      <c r="K262" s="58"/>
      <c r="L262" s="58"/>
      <c r="M262" s="58"/>
      <c r="N262" s="58"/>
      <c r="O262" s="58"/>
      <c r="P262" s="56"/>
      <c r="Q262" s="58"/>
      <c r="R262" s="58"/>
      <c r="S262" s="58"/>
      <c r="T262" s="10">
        <f t="shared" si="1"/>
        <v>1</v>
      </c>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row>
    <row r="263">
      <c r="A263" s="56" t="s">
        <v>574</v>
      </c>
      <c r="B263" s="57"/>
      <c r="C263" s="58"/>
      <c r="D263" s="58"/>
      <c r="E263" s="58"/>
      <c r="F263" s="58"/>
      <c r="G263" s="58"/>
      <c r="H263" s="58"/>
      <c r="I263" s="56"/>
      <c r="J263" s="59" t="s">
        <v>77</v>
      </c>
      <c r="K263" s="58"/>
      <c r="L263" s="58"/>
      <c r="M263" s="58"/>
      <c r="N263" s="58"/>
      <c r="O263" s="58"/>
      <c r="P263" s="56"/>
      <c r="Q263" s="58"/>
      <c r="R263" s="58"/>
      <c r="S263" s="58"/>
      <c r="T263" s="10">
        <f t="shared" si="1"/>
        <v>1</v>
      </c>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row>
    <row r="264">
      <c r="A264" s="56" t="s">
        <v>438</v>
      </c>
      <c r="B264" s="57"/>
      <c r="C264" s="58"/>
      <c r="D264" s="58"/>
      <c r="E264" s="58"/>
      <c r="F264" s="58"/>
      <c r="G264" s="58"/>
      <c r="H264" s="58"/>
      <c r="I264" s="56"/>
      <c r="J264" s="59" t="s">
        <v>77</v>
      </c>
      <c r="K264" s="58"/>
      <c r="L264" s="58"/>
      <c r="M264" s="58"/>
      <c r="N264" s="58"/>
      <c r="O264" s="58"/>
      <c r="P264" s="56"/>
      <c r="Q264" s="58"/>
      <c r="R264" s="58"/>
      <c r="S264" s="58"/>
      <c r="T264" s="10">
        <f t="shared" si="1"/>
        <v>1</v>
      </c>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row>
    <row r="265">
      <c r="A265" s="56" t="s">
        <v>531</v>
      </c>
      <c r="B265" s="57"/>
      <c r="C265" s="58"/>
      <c r="D265" s="58"/>
      <c r="E265" s="58"/>
      <c r="F265" s="58"/>
      <c r="G265" s="58"/>
      <c r="H265" s="58"/>
      <c r="I265" s="56"/>
      <c r="J265" s="59" t="s">
        <v>77</v>
      </c>
      <c r="K265" s="58"/>
      <c r="L265" s="58"/>
      <c r="M265" s="58"/>
      <c r="N265" s="58"/>
      <c r="O265" s="58"/>
      <c r="P265" s="56"/>
      <c r="Q265" s="58"/>
      <c r="R265" s="58"/>
      <c r="S265" s="58"/>
      <c r="T265" s="10">
        <f t="shared" si="1"/>
        <v>1</v>
      </c>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row>
    <row r="266">
      <c r="A266" s="56" t="s">
        <v>532</v>
      </c>
      <c r="B266" s="57"/>
      <c r="C266" s="58"/>
      <c r="D266" s="58"/>
      <c r="E266" s="58"/>
      <c r="F266" s="58"/>
      <c r="G266" s="58"/>
      <c r="H266" s="58"/>
      <c r="I266" s="56"/>
      <c r="J266" s="59" t="s">
        <v>77</v>
      </c>
      <c r="K266" s="58"/>
      <c r="L266" s="58"/>
      <c r="M266" s="58"/>
      <c r="N266" s="58"/>
      <c r="O266" s="58"/>
      <c r="P266" s="56"/>
      <c r="Q266" s="58"/>
      <c r="R266" s="58"/>
      <c r="S266" s="58"/>
      <c r="T266" s="10">
        <f t="shared" si="1"/>
        <v>1</v>
      </c>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row>
    <row r="267">
      <c r="A267" s="56" t="s">
        <v>90</v>
      </c>
      <c r="B267" s="57"/>
      <c r="C267" s="58"/>
      <c r="D267" s="58"/>
      <c r="E267" s="58"/>
      <c r="F267" s="58"/>
      <c r="G267" s="58"/>
      <c r="H267" s="56" t="s">
        <v>575</v>
      </c>
      <c r="I267" s="56"/>
      <c r="J267" s="56" t="s">
        <v>77</v>
      </c>
      <c r="K267" s="58"/>
      <c r="L267" s="58"/>
      <c r="M267" s="58"/>
      <c r="N267" s="58"/>
      <c r="O267" s="58"/>
      <c r="P267" s="56"/>
      <c r="Q267" s="58"/>
      <c r="R267" s="58"/>
      <c r="S267" s="58"/>
      <c r="T267" s="10">
        <f t="shared" si="1"/>
        <v>1</v>
      </c>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row>
    <row r="268">
      <c r="A268" s="56" t="s">
        <v>475</v>
      </c>
      <c r="B268" s="57"/>
      <c r="C268" s="58"/>
      <c r="D268" s="58"/>
      <c r="E268" s="58"/>
      <c r="F268" s="58"/>
      <c r="G268" s="58"/>
      <c r="H268" s="56"/>
      <c r="I268" s="56"/>
      <c r="J268" s="56"/>
      <c r="K268" s="58"/>
      <c r="L268" s="59" t="s">
        <v>193</v>
      </c>
      <c r="M268" s="56"/>
      <c r="N268" s="58"/>
      <c r="O268" s="58"/>
      <c r="P268" s="56"/>
      <c r="Q268" s="58"/>
      <c r="R268" s="58"/>
      <c r="S268" s="58"/>
      <c r="T268" s="10">
        <f t="shared" si="1"/>
        <v>1</v>
      </c>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row>
    <row r="269">
      <c r="A269" s="55" t="s">
        <v>53</v>
      </c>
      <c r="B269" s="55"/>
      <c r="C269" s="55"/>
      <c r="D269" s="55"/>
      <c r="E269" s="55"/>
      <c r="F269" s="55"/>
      <c r="G269" s="55"/>
      <c r="H269" s="55"/>
      <c r="I269" s="55"/>
      <c r="J269" s="55"/>
      <c r="K269" s="55"/>
      <c r="L269" s="55"/>
      <c r="M269" s="55"/>
      <c r="N269" s="55"/>
      <c r="O269" s="55"/>
      <c r="P269" s="55"/>
      <c r="Q269" s="55"/>
      <c r="R269" s="55"/>
      <c r="S269" s="55"/>
      <c r="T269" s="10">
        <f t="shared" si="1"/>
        <v>0</v>
      </c>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row>
    <row r="270">
      <c r="A270" s="56" t="s">
        <v>576</v>
      </c>
      <c r="B270" s="57"/>
      <c r="C270" s="58"/>
      <c r="D270" s="58"/>
      <c r="E270" s="58"/>
      <c r="F270" s="58"/>
      <c r="G270" s="58"/>
      <c r="H270" s="58"/>
      <c r="I270" s="59" t="s">
        <v>209</v>
      </c>
      <c r="J270" s="58"/>
      <c r="K270" s="58"/>
      <c r="L270" s="58"/>
      <c r="M270" s="58"/>
      <c r="N270" s="58"/>
      <c r="O270" s="58"/>
      <c r="P270" s="58"/>
      <c r="Q270" s="58"/>
      <c r="R270" s="58"/>
      <c r="S270" s="58"/>
      <c r="T270" s="10">
        <f t="shared" si="1"/>
        <v>1</v>
      </c>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row>
    <row r="271">
      <c r="A271" s="56" t="s">
        <v>577</v>
      </c>
      <c r="B271" s="57"/>
      <c r="C271" s="58"/>
      <c r="D271" s="58"/>
      <c r="E271" s="58"/>
      <c r="F271" s="58"/>
      <c r="G271" s="58"/>
      <c r="H271" s="58"/>
      <c r="I271" s="59" t="s">
        <v>209</v>
      </c>
      <c r="J271" s="58"/>
      <c r="K271" s="59" t="s">
        <v>86</v>
      </c>
      <c r="L271" s="58"/>
      <c r="M271" s="58"/>
      <c r="N271" s="58"/>
      <c r="O271" s="60" t="s">
        <v>96</v>
      </c>
      <c r="P271" s="58"/>
      <c r="Q271" s="58"/>
      <c r="R271" s="58"/>
      <c r="S271" s="58"/>
      <c r="T271" s="10">
        <f t="shared" si="1"/>
        <v>3</v>
      </c>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row>
    <row r="272">
      <c r="A272" s="56" t="s">
        <v>580</v>
      </c>
      <c r="B272" s="57"/>
      <c r="C272" s="58"/>
      <c r="D272" s="58"/>
      <c r="E272" s="58"/>
      <c r="F272" s="58"/>
      <c r="G272" s="58"/>
      <c r="H272" s="58"/>
      <c r="I272" s="59" t="s">
        <v>209</v>
      </c>
      <c r="J272" s="58"/>
      <c r="K272" s="58"/>
      <c r="L272" s="58"/>
      <c r="M272" s="58"/>
      <c r="N272" s="58"/>
      <c r="O272" s="58"/>
      <c r="P272" s="56" t="s">
        <v>516</v>
      </c>
      <c r="Q272" s="58"/>
      <c r="R272" s="58"/>
      <c r="S272" s="56" t="s">
        <v>517</v>
      </c>
      <c r="T272" s="10">
        <f t="shared" si="1"/>
        <v>3</v>
      </c>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row>
    <row r="273">
      <c r="A273" s="56" t="s">
        <v>582</v>
      </c>
      <c r="B273" s="57"/>
      <c r="C273" s="58"/>
      <c r="D273" s="58"/>
      <c r="E273" s="58"/>
      <c r="F273" s="58"/>
      <c r="G273" s="58"/>
      <c r="H273" s="58"/>
      <c r="I273" s="59" t="s">
        <v>209</v>
      </c>
      <c r="J273" s="58"/>
      <c r="K273" s="58"/>
      <c r="L273" s="58"/>
      <c r="M273" s="58"/>
      <c r="N273" s="58"/>
      <c r="O273" s="58"/>
      <c r="P273" s="56" t="s">
        <v>516</v>
      </c>
      <c r="Q273" s="58"/>
      <c r="R273" s="58"/>
      <c r="S273" s="56" t="s">
        <v>517</v>
      </c>
      <c r="T273" s="10">
        <f t="shared" si="1"/>
        <v>3</v>
      </c>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row>
    <row r="274">
      <c r="A274" s="56" t="s">
        <v>584</v>
      </c>
      <c r="B274" s="57"/>
      <c r="C274" s="58"/>
      <c r="D274" s="58"/>
      <c r="E274" s="58"/>
      <c r="F274" s="58"/>
      <c r="G274" s="58"/>
      <c r="H274" s="56" t="s">
        <v>585</v>
      </c>
      <c r="I274" s="59" t="s">
        <v>209</v>
      </c>
      <c r="J274" s="59" t="s">
        <v>77</v>
      </c>
      <c r="K274" s="59" t="s">
        <v>122</v>
      </c>
      <c r="L274" s="59" t="s">
        <v>193</v>
      </c>
      <c r="M274" s="56"/>
      <c r="N274" s="58"/>
      <c r="O274" s="60" t="s">
        <v>96</v>
      </c>
      <c r="P274" s="58"/>
      <c r="Q274" s="58"/>
      <c r="R274" s="58"/>
      <c r="S274" s="58"/>
      <c r="T274" s="10">
        <f t="shared" si="1"/>
        <v>5</v>
      </c>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row>
    <row r="275">
      <c r="A275" s="56" t="s">
        <v>515</v>
      </c>
      <c r="B275" s="57"/>
      <c r="C275" s="58"/>
      <c r="D275" s="58"/>
      <c r="E275" s="58"/>
      <c r="F275" s="58"/>
      <c r="G275" s="58"/>
      <c r="H275" s="56" t="s">
        <v>484</v>
      </c>
      <c r="I275" s="59" t="s">
        <v>209</v>
      </c>
      <c r="J275" s="58"/>
      <c r="K275" s="58"/>
      <c r="L275" s="58"/>
      <c r="M275" s="58"/>
      <c r="N275" s="58"/>
      <c r="O275" s="58"/>
      <c r="P275" s="56" t="s">
        <v>516</v>
      </c>
      <c r="Q275" s="58"/>
      <c r="R275" s="58"/>
      <c r="S275" s="56" t="s">
        <v>517</v>
      </c>
      <c r="T275" s="10">
        <f t="shared" si="1"/>
        <v>3</v>
      </c>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row>
    <row r="276" ht="3.75" customHeight="1">
      <c r="A276" s="55"/>
      <c r="B276" s="55"/>
      <c r="C276" s="55"/>
      <c r="D276" s="55"/>
      <c r="E276" s="55"/>
      <c r="F276" s="55"/>
      <c r="G276" s="55"/>
      <c r="H276" s="55"/>
      <c r="I276" s="55"/>
      <c r="J276" s="55"/>
      <c r="K276" s="55"/>
      <c r="L276" s="55"/>
      <c r="M276" s="55"/>
      <c r="N276" s="55"/>
      <c r="O276" s="55"/>
      <c r="P276" s="55"/>
      <c r="Q276" s="55"/>
      <c r="R276" s="55"/>
      <c r="S276" s="55"/>
      <c r="T276" s="10">
        <f t="shared" si="1"/>
        <v>0</v>
      </c>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row>
    <row r="277">
      <c r="A277" s="56" t="s">
        <v>595</v>
      </c>
      <c r="B277" s="57"/>
      <c r="C277" s="58"/>
      <c r="D277" s="58"/>
      <c r="E277" s="58"/>
      <c r="F277" s="58"/>
      <c r="G277" s="56" t="s">
        <v>597</v>
      </c>
      <c r="H277" s="56"/>
      <c r="I277" s="56"/>
      <c r="J277" s="58"/>
      <c r="K277" s="58"/>
      <c r="L277" s="58"/>
      <c r="M277" s="58"/>
      <c r="N277" s="58"/>
      <c r="O277" s="58"/>
      <c r="P277" s="56" t="s">
        <v>598</v>
      </c>
      <c r="Q277" s="58"/>
      <c r="R277" s="56" t="s">
        <v>102</v>
      </c>
      <c r="S277" s="56" t="s">
        <v>517</v>
      </c>
      <c r="T277" s="10">
        <f t="shared" si="1"/>
        <v>3</v>
      </c>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row>
    <row r="278">
      <c r="A278" s="56" t="s">
        <v>601</v>
      </c>
      <c r="B278" s="57"/>
      <c r="C278" s="58"/>
      <c r="D278" s="58"/>
      <c r="E278" s="58"/>
      <c r="F278" s="58"/>
      <c r="G278" s="56" t="s">
        <v>602</v>
      </c>
      <c r="H278" s="56"/>
      <c r="I278" s="56"/>
      <c r="J278" s="58"/>
      <c r="K278" s="58"/>
      <c r="L278" s="58"/>
      <c r="M278" s="58"/>
      <c r="N278" s="58"/>
      <c r="O278" s="58"/>
      <c r="P278" s="56" t="s">
        <v>603</v>
      </c>
      <c r="Q278" s="58"/>
      <c r="R278" s="58"/>
      <c r="S278" s="56" t="s">
        <v>604</v>
      </c>
      <c r="T278" s="10">
        <f t="shared" si="1"/>
        <v>2</v>
      </c>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row>
    <row r="279">
      <c r="A279" s="56" t="s">
        <v>605</v>
      </c>
      <c r="B279" s="57"/>
      <c r="C279" s="58"/>
      <c r="D279" s="58"/>
      <c r="E279" s="58"/>
      <c r="F279" s="58"/>
      <c r="G279" s="56" t="s">
        <v>606</v>
      </c>
      <c r="H279" s="56"/>
      <c r="I279" s="56"/>
      <c r="J279" s="58"/>
      <c r="K279" s="58"/>
      <c r="L279" s="58"/>
      <c r="M279" s="58"/>
      <c r="N279" s="58"/>
      <c r="O279" s="58"/>
      <c r="P279" s="56" t="s">
        <v>607</v>
      </c>
      <c r="Q279" s="58"/>
      <c r="R279" s="58"/>
      <c r="S279" s="56" t="s">
        <v>607</v>
      </c>
      <c r="T279" s="10">
        <f t="shared" si="1"/>
        <v>2</v>
      </c>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row>
    <row r="280">
      <c r="A280" s="56" t="s">
        <v>536</v>
      </c>
      <c r="B280" s="57"/>
      <c r="C280" s="58"/>
      <c r="D280" s="58"/>
      <c r="E280" s="58"/>
      <c r="F280" s="58"/>
      <c r="G280" s="56"/>
      <c r="H280" s="56" t="s">
        <v>537</v>
      </c>
      <c r="I280" s="56"/>
      <c r="J280" s="59" t="s">
        <v>256</v>
      </c>
      <c r="K280" s="60" t="s">
        <v>122</v>
      </c>
      <c r="L280" s="59" t="s">
        <v>193</v>
      </c>
      <c r="M280" s="56"/>
      <c r="N280" s="59" t="s">
        <v>164</v>
      </c>
      <c r="O280" s="58"/>
      <c r="P280" s="59" t="s">
        <v>538</v>
      </c>
      <c r="Q280" s="59" t="s">
        <v>221</v>
      </c>
      <c r="R280" s="56" t="s">
        <v>102</v>
      </c>
      <c r="S280" s="56" t="s">
        <v>524</v>
      </c>
      <c r="T280" s="10">
        <f t="shared" si="1"/>
        <v>8</v>
      </c>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row>
    <row r="281">
      <c r="A281" s="56" t="s">
        <v>499</v>
      </c>
      <c r="B281" s="57"/>
      <c r="C281" s="58"/>
      <c r="D281" s="58"/>
      <c r="E281" s="58"/>
      <c r="F281" s="58"/>
      <c r="G281" s="56"/>
      <c r="H281" s="56"/>
      <c r="I281" s="56"/>
      <c r="J281" s="59" t="s">
        <v>256</v>
      </c>
      <c r="K281" s="58"/>
      <c r="L281" s="58"/>
      <c r="M281" s="58"/>
      <c r="N281" s="59" t="s">
        <v>164</v>
      </c>
      <c r="O281" s="58"/>
      <c r="P281" s="56"/>
      <c r="Q281" s="59" t="s">
        <v>221</v>
      </c>
      <c r="R281" s="58"/>
      <c r="S281" s="56" t="s">
        <v>501</v>
      </c>
      <c r="T281" s="10">
        <f t="shared" si="1"/>
        <v>4</v>
      </c>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row>
    <row r="282">
      <c r="A282" s="56" t="s">
        <v>608</v>
      </c>
      <c r="B282" s="57"/>
      <c r="C282" s="58"/>
      <c r="D282" s="58"/>
      <c r="E282" s="58"/>
      <c r="F282" s="58"/>
      <c r="G282" s="56"/>
      <c r="H282" s="56"/>
      <c r="I282" s="56"/>
      <c r="J282" s="58"/>
      <c r="K282" s="58"/>
      <c r="L282" s="58"/>
      <c r="M282" s="58"/>
      <c r="N282" s="58"/>
      <c r="O282" s="58"/>
      <c r="P282" s="59" t="s">
        <v>538</v>
      </c>
      <c r="Q282" s="58"/>
      <c r="R282" s="58"/>
      <c r="S282" s="56" t="s">
        <v>609</v>
      </c>
      <c r="T282" s="10">
        <f t="shared" si="1"/>
        <v>2</v>
      </c>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row>
    <row r="283">
      <c r="A283" s="56" t="s">
        <v>610</v>
      </c>
      <c r="B283" s="57"/>
      <c r="C283" s="58"/>
      <c r="D283" s="58"/>
      <c r="E283" s="58"/>
      <c r="F283" s="58"/>
      <c r="G283" s="56" t="s">
        <v>254</v>
      </c>
      <c r="H283" s="56"/>
      <c r="I283" s="56"/>
      <c r="J283" s="58"/>
      <c r="K283" s="58"/>
      <c r="L283" s="58"/>
      <c r="M283" s="58"/>
      <c r="N283" s="58"/>
      <c r="O283" s="58"/>
      <c r="P283" s="56"/>
      <c r="Q283" s="58"/>
      <c r="R283" s="58"/>
      <c r="S283" s="56" t="s">
        <v>611</v>
      </c>
      <c r="T283" s="10">
        <f t="shared" si="1"/>
        <v>1</v>
      </c>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row>
    <row r="284">
      <c r="A284" s="56" t="s">
        <v>612</v>
      </c>
      <c r="B284" s="57"/>
      <c r="C284" s="58"/>
      <c r="D284" s="58"/>
      <c r="E284" s="58"/>
      <c r="F284" s="58"/>
      <c r="G284" s="56"/>
      <c r="H284" s="56"/>
      <c r="I284" s="56"/>
      <c r="J284" s="58"/>
      <c r="K284" s="58"/>
      <c r="L284" s="58"/>
      <c r="M284" s="58"/>
      <c r="N284" s="58"/>
      <c r="O284" s="58"/>
      <c r="P284" s="56"/>
      <c r="Q284" s="58"/>
      <c r="R284" s="56" t="s">
        <v>102</v>
      </c>
      <c r="S284" s="56"/>
      <c r="T284" s="10">
        <f t="shared" si="1"/>
        <v>1</v>
      </c>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row>
    <row r="285">
      <c r="A285" s="56" t="s">
        <v>578</v>
      </c>
      <c r="B285" s="57"/>
      <c r="C285" s="58"/>
      <c r="D285" s="58"/>
      <c r="E285" s="58"/>
      <c r="F285" s="58"/>
      <c r="G285" s="56"/>
      <c r="H285" s="56"/>
      <c r="I285" s="56"/>
      <c r="J285" s="59" t="s">
        <v>77</v>
      </c>
      <c r="K285" s="59" t="s">
        <v>86</v>
      </c>
      <c r="L285" s="58"/>
      <c r="M285" s="58"/>
      <c r="N285" s="58"/>
      <c r="O285" s="58"/>
      <c r="P285" s="56"/>
      <c r="Q285" s="58"/>
      <c r="R285" s="56"/>
      <c r="S285" s="56"/>
      <c r="T285" s="10">
        <f t="shared" si="1"/>
        <v>2</v>
      </c>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row>
    <row r="286">
      <c r="A286" s="56" t="s">
        <v>613</v>
      </c>
      <c r="B286" s="57"/>
      <c r="C286" s="58"/>
      <c r="D286" s="58"/>
      <c r="E286" s="58"/>
      <c r="F286" s="58"/>
      <c r="G286" s="56"/>
      <c r="H286" s="56" t="s">
        <v>614</v>
      </c>
      <c r="I286" s="56"/>
      <c r="J286" s="59" t="s">
        <v>77</v>
      </c>
      <c r="K286" s="59" t="s">
        <v>86</v>
      </c>
      <c r="L286" s="58"/>
      <c r="M286" s="58"/>
      <c r="N286" s="58"/>
      <c r="O286" s="58"/>
      <c r="P286" s="56"/>
      <c r="Q286" s="58"/>
      <c r="R286" s="56"/>
      <c r="S286" s="56"/>
      <c r="T286" s="10">
        <f t="shared" si="1"/>
        <v>2</v>
      </c>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row>
    <row r="287">
      <c r="A287" s="56" t="s">
        <v>615</v>
      </c>
      <c r="B287" s="57"/>
      <c r="C287" s="58"/>
      <c r="D287" s="58"/>
      <c r="E287" s="58"/>
      <c r="F287" s="58"/>
      <c r="G287" s="56"/>
      <c r="H287" s="56" t="s">
        <v>614</v>
      </c>
      <c r="I287" s="56"/>
      <c r="J287" s="59" t="s">
        <v>77</v>
      </c>
      <c r="K287" s="59" t="s">
        <v>86</v>
      </c>
      <c r="L287" s="58"/>
      <c r="M287" s="58"/>
      <c r="N287" s="58"/>
      <c r="O287" s="58"/>
      <c r="P287" s="56"/>
      <c r="Q287" s="58"/>
      <c r="R287" s="56"/>
      <c r="S287" s="56"/>
      <c r="T287" s="10">
        <f t="shared" si="1"/>
        <v>2</v>
      </c>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row>
    <row r="288">
      <c r="A288" s="56" t="s">
        <v>579</v>
      </c>
      <c r="B288" s="57"/>
      <c r="C288" s="58"/>
      <c r="D288" s="58"/>
      <c r="E288" s="58"/>
      <c r="F288" s="58"/>
      <c r="G288" s="56"/>
      <c r="H288" s="56"/>
      <c r="I288" s="56"/>
      <c r="J288" s="59" t="s">
        <v>77</v>
      </c>
      <c r="K288" s="59" t="s">
        <v>86</v>
      </c>
      <c r="L288" s="58"/>
      <c r="M288" s="58"/>
      <c r="N288" s="58"/>
      <c r="O288" s="58"/>
      <c r="P288" s="56"/>
      <c r="Q288" s="58"/>
      <c r="R288" s="56"/>
      <c r="S288" s="56"/>
      <c r="T288" s="10">
        <f t="shared" si="1"/>
        <v>2</v>
      </c>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row>
    <row r="289">
      <c r="A289" s="56" t="s">
        <v>581</v>
      </c>
      <c r="B289" s="57"/>
      <c r="C289" s="58"/>
      <c r="D289" s="58"/>
      <c r="E289" s="58"/>
      <c r="F289" s="58"/>
      <c r="G289" s="56"/>
      <c r="H289" s="56"/>
      <c r="I289" s="56"/>
      <c r="J289" s="59" t="s">
        <v>77</v>
      </c>
      <c r="K289" s="59" t="s">
        <v>86</v>
      </c>
      <c r="L289" s="58"/>
      <c r="M289" s="58"/>
      <c r="N289" s="58"/>
      <c r="O289" s="58"/>
      <c r="P289" s="56"/>
      <c r="Q289" s="58"/>
      <c r="R289" s="56"/>
      <c r="S289" s="56"/>
      <c r="T289" s="10">
        <f t="shared" si="1"/>
        <v>2</v>
      </c>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row>
    <row r="290">
      <c r="A290" s="56" t="s">
        <v>583</v>
      </c>
      <c r="B290" s="57"/>
      <c r="C290" s="58"/>
      <c r="D290" s="58"/>
      <c r="E290" s="58"/>
      <c r="F290" s="58"/>
      <c r="G290" s="56"/>
      <c r="H290" s="56"/>
      <c r="I290" s="56"/>
      <c r="J290" s="59" t="s">
        <v>77</v>
      </c>
      <c r="K290" s="59" t="s">
        <v>86</v>
      </c>
      <c r="L290" s="58"/>
      <c r="M290" s="58"/>
      <c r="N290" s="58"/>
      <c r="O290" s="58"/>
      <c r="P290" s="56"/>
      <c r="Q290" s="58"/>
      <c r="R290" s="56"/>
      <c r="S290" s="56"/>
      <c r="T290" s="10">
        <f t="shared" si="1"/>
        <v>2</v>
      </c>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row>
    <row r="291">
      <c r="A291" s="56" t="s">
        <v>586</v>
      </c>
      <c r="B291" s="57"/>
      <c r="C291" s="58"/>
      <c r="D291" s="58"/>
      <c r="E291" s="58"/>
      <c r="F291" s="58"/>
      <c r="G291" s="56"/>
      <c r="H291" s="56"/>
      <c r="I291" s="56"/>
      <c r="J291" s="59" t="s">
        <v>77</v>
      </c>
      <c r="K291" s="59" t="s">
        <v>86</v>
      </c>
      <c r="L291" s="58"/>
      <c r="M291" s="58"/>
      <c r="N291" s="58"/>
      <c r="O291" s="58"/>
      <c r="P291" s="56"/>
      <c r="Q291" s="58"/>
      <c r="R291" s="56"/>
      <c r="S291" s="56"/>
      <c r="T291" s="10">
        <f t="shared" si="1"/>
        <v>2</v>
      </c>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row>
    <row r="292">
      <c r="A292" s="56" t="s">
        <v>79</v>
      </c>
      <c r="B292" s="57"/>
      <c r="C292" s="58"/>
      <c r="D292" s="58"/>
      <c r="E292" s="58"/>
      <c r="F292" s="58"/>
      <c r="G292" s="56"/>
      <c r="H292" s="56"/>
      <c r="I292" s="56"/>
      <c r="J292" s="56"/>
      <c r="K292" s="59" t="s">
        <v>122</v>
      </c>
      <c r="L292" s="58"/>
      <c r="M292" s="58"/>
      <c r="N292" s="58"/>
      <c r="O292" s="58"/>
      <c r="P292" s="56"/>
      <c r="Q292" s="58"/>
      <c r="R292" s="56"/>
      <c r="S292" s="56"/>
      <c r="T292" s="10">
        <f t="shared" si="1"/>
        <v>1</v>
      </c>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row>
    <row r="293">
      <c r="A293" s="56" t="s">
        <v>476</v>
      </c>
      <c r="B293" s="57"/>
      <c r="C293" s="58"/>
      <c r="D293" s="58"/>
      <c r="E293" s="58"/>
      <c r="F293" s="58"/>
      <c r="G293" s="56"/>
      <c r="H293" s="56"/>
      <c r="I293" s="56"/>
      <c r="J293" s="56"/>
      <c r="K293" s="59" t="s">
        <v>122</v>
      </c>
      <c r="L293" s="58"/>
      <c r="M293" s="58"/>
      <c r="N293" s="58"/>
      <c r="O293" s="58"/>
      <c r="P293" s="56"/>
      <c r="Q293" s="58"/>
      <c r="R293" s="56"/>
      <c r="S293" s="56"/>
      <c r="T293" s="10">
        <f t="shared" si="1"/>
        <v>1</v>
      </c>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row>
    <row r="294">
      <c r="A294" s="56" t="s">
        <v>622</v>
      </c>
      <c r="B294" s="57"/>
      <c r="C294" s="58"/>
      <c r="D294" s="58"/>
      <c r="E294" s="58"/>
      <c r="F294" s="58"/>
      <c r="G294" s="56"/>
      <c r="H294" s="56" t="s">
        <v>623</v>
      </c>
      <c r="I294" s="56"/>
      <c r="J294" s="56"/>
      <c r="K294" s="56" t="s">
        <v>122</v>
      </c>
      <c r="L294" s="58"/>
      <c r="M294" s="58"/>
      <c r="N294" s="58"/>
      <c r="O294" s="58"/>
      <c r="P294" s="56"/>
      <c r="Q294" s="58"/>
      <c r="R294" s="56"/>
      <c r="S294" s="56"/>
      <c r="T294" s="10">
        <f t="shared" si="1"/>
        <v>1</v>
      </c>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row>
    <row r="295">
      <c r="A295" s="56" t="s">
        <v>616</v>
      </c>
      <c r="B295" s="57"/>
      <c r="C295" s="58"/>
      <c r="D295" s="58"/>
      <c r="E295" s="58"/>
      <c r="F295" s="58"/>
      <c r="G295" s="56"/>
      <c r="H295" s="56"/>
      <c r="I295" s="56"/>
      <c r="J295" s="56"/>
      <c r="K295" s="59" t="s">
        <v>335</v>
      </c>
      <c r="L295" s="58"/>
      <c r="M295" s="58"/>
      <c r="N295" s="58"/>
      <c r="O295" s="58"/>
      <c r="P295" s="56"/>
      <c r="Q295" s="58"/>
      <c r="R295" s="56"/>
      <c r="S295" s="56"/>
      <c r="T295" s="10">
        <f t="shared" si="1"/>
        <v>1</v>
      </c>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row>
    <row r="296">
      <c r="A296" s="56" t="s">
        <v>617</v>
      </c>
      <c r="B296" s="57"/>
      <c r="C296" s="58"/>
      <c r="D296" s="58"/>
      <c r="E296" s="58"/>
      <c r="F296" s="58"/>
      <c r="G296" s="56"/>
      <c r="H296" s="56"/>
      <c r="I296" s="56"/>
      <c r="J296" s="56"/>
      <c r="K296" s="56"/>
      <c r="L296" s="59" t="s">
        <v>193</v>
      </c>
      <c r="M296" s="56"/>
      <c r="N296" s="58"/>
      <c r="O296" s="58"/>
      <c r="P296" s="56"/>
      <c r="Q296" s="58"/>
      <c r="R296" s="56"/>
      <c r="S296" s="56"/>
      <c r="T296" s="10">
        <f t="shared" si="1"/>
        <v>1</v>
      </c>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row>
    <row r="297">
      <c r="A297" s="55" t="s">
        <v>54</v>
      </c>
      <c r="B297" s="55"/>
      <c r="C297" s="55"/>
      <c r="D297" s="55"/>
      <c r="E297" s="55"/>
      <c r="F297" s="55"/>
      <c r="G297" s="55"/>
      <c r="H297" s="55"/>
      <c r="I297" s="55"/>
      <c r="J297" s="55"/>
      <c r="K297" s="55"/>
      <c r="L297" s="55"/>
      <c r="M297" s="55"/>
      <c r="N297" s="55"/>
      <c r="O297" s="55"/>
      <c r="P297" s="55"/>
      <c r="Q297" s="55"/>
      <c r="R297" s="55"/>
      <c r="S297" s="55"/>
      <c r="T297" s="10">
        <f t="shared" si="1"/>
        <v>0</v>
      </c>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row>
    <row r="298">
      <c r="A298" s="56" t="s">
        <v>625</v>
      </c>
      <c r="B298" s="57"/>
      <c r="C298" s="58"/>
      <c r="D298" s="58"/>
      <c r="E298" s="58"/>
      <c r="F298" s="58"/>
      <c r="G298" s="58"/>
      <c r="H298" s="56" t="s">
        <v>626</v>
      </c>
      <c r="I298" s="59" t="s">
        <v>209</v>
      </c>
      <c r="J298" s="59" t="s">
        <v>77</v>
      </c>
      <c r="K298" s="59" t="s">
        <v>122</v>
      </c>
      <c r="L298" s="58"/>
      <c r="M298" s="59" t="s">
        <v>214</v>
      </c>
      <c r="N298" s="58"/>
      <c r="O298" s="58"/>
      <c r="P298" s="58"/>
      <c r="Q298" s="58"/>
      <c r="R298" s="56" t="s">
        <v>102</v>
      </c>
      <c r="S298" s="56" t="s">
        <v>517</v>
      </c>
      <c r="T298" s="10">
        <f t="shared" si="1"/>
        <v>6</v>
      </c>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row>
    <row r="299">
      <c r="A299" s="56" t="s">
        <v>627</v>
      </c>
      <c r="B299" s="57"/>
      <c r="C299" s="58"/>
      <c r="D299" s="58"/>
      <c r="E299" s="58"/>
      <c r="F299" s="58"/>
      <c r="G299" s="58"/>
      <c r="H299" s="56" t="s">
        <v>628</v>
      </c>
      <c r="I299" s="59" t="s">
        <v>209</v>
      </c>
      <c r="J299" s="58"/>
      <c r="K299" s="59" t="s">
        <v>122</v>
      </c>
      <c r="L299" s="58"/>
      <c r="M299" s="58"/>
      <c r="N299" s="58"/>
      <c r="O299" s="58"/>
      <c r="P299" s="58"/>
      <c r="Q299" s="58"/>
      <c r="R299" s="56" t="s">
        <v>102</v>
      </c>
      <c r="S299" s="56" t="s">
        <v>517</v>
      </c>
      <c r="T299" s="10">
        <f t="shared" si="1"/>
        <v>4</v>
      </c>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row>
    <row r="300" ht="3.75" customHeight="1">
      <c r="A300" s="55"/>
      <c r="B300" s="55"/>
      <c r="C300" s="55"/>
      <c r="D300" s="55"/>
      <c r="E300" s="55"/>
      <c r="F300" s="55"/>
      <c r="G300" s="55"/>
      <c r="H300" s="55"/>
      <c r="I300" s="55"/>
      <c r="J300" s="55"/>
      <c r="K300" s="55"/>
      <c r="L300" s="55"/>
      <c r="M300" s="55"/>
      <c r="N300" s="55"/>
      <c r="O300" s="55"/>
      <c r="P300" s="55"/>
      <c r="Q300" s="55"/>
      <c r="R300" s="55"/>
      <c r="S300" s="55"/>
      <c r="T300" s="10">
        <f t="shared" si="1"/>
        <v>0</v>
      </c>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row>
    <row r="301">
      <c r="A301" s="56" t="s">
        <v>629</v>
      </c>
      <c r="B301" s="57"/>
      <c r="C301" s="58"/>
      <c r="D301" s="58"/>
      <c r="E301" s="58"/>
      <c r="F301" s="58"/>
      <c r="G301" s="56" t="s">
        <v>630</v>
      </c>
      <c r="H301" s="56"/>
      <c r="I301" s="56"/>
      <c r="J301" s="58"/>
      <c r="K301" s="58"/>
      <c r="L301" s="58"/>
      <c r="M301" s="58"/>
      <c r="N301" s="58"/>
      <c r="O301" s="58"/>
      <c r="P301" s="56" t="s">
        <v>631</v>
      </c>
      <c r="Q301" s="58"/>
      <c r="R301" s="58"/>
      <c r="S301" s="56" t="s">
        <v>632</v>
      </c>
      <c r="T301" s="10">
        <f t="shared" si="1"/>
        <v>2</v>
      </c>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row>
    <row r="302">
      <c r="A302" s="56" t="s">
        <v>633</v>
      </c>
      <c r="B302" s="57"/>
      <c r="C302" s="58"/>
      <c r="D302" s="58"/>
      <c r="E302" s="58"/>
      <c r="F302" s="58"/>
      <c r="G302" s="56" t="s">
        <v>254</v>
      </c>
      <c r="H302" s="56"/>
      <c r="I302" s="56"/>
      <c r="J302" s="58"/>
      <c r="K302" s="58"/>
      <c r="L302" s="58"/>
      <c r="M302" s="58"/>
      <c r="N302" s="58"/>
      <c r="O302" s="58"/>
      <c r="P302" s="56"/>
      <c r="Q302" s="58"/>
      <c r="R302" s="58"/>
      <c r="S302" s="56" t="s">
        <v>634</v>
      </c>
      <c r="T302" s="10">
        <f t="shared" si="1"/>
        <v>1</v>
      </c>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row>
    <row r="303">
      <c r="A303" s="56" t="s">
        <v>635</v>
      </c>
      <c r="B303" s="57"/>
      <c r="C303" s="58"/>
      <c r="D303" s="58"/>
      <c r="E303" s="58"/>
      <c r="F303" s="58"/>
      <c r="G303" s="56"/>
      <c r="H303" s="56" t="s">
        <v>636</v>
      </c>
      <c r="I303" s="56"/>
      <c r="J303" s="58"/>
      <c r="K303" s="58"/>
      <c r="L303" s="58"/>
      <c r="M303" s="58"/>
      <c r="N303" s="58"/>
      <c r="O303" s="58"/>
      <c r="P303" s="59" t="s">
        <v>538</v>
      </c>
      <c r="Q303" s="58"/>
      <c r="R303" s="58"/>
      <c r="S303" s="56"/>
      <c r="T303" s="10">
        <f t="shared" si="1"/>
        <v>1</v>
      </c>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row>
    <row r="304">
      <c r="A304" s="56" t="s">
        <v>518</v>
      </c>
      <c r="B304" s="57"/>
      <c r="C304" s="58"/>
      <c r="D304" s="58"/>
      <c r="E304" s="58"/>
      <c r="F304" s="58"/>
      <c r="G304" s="56"/>
      <c r="H304" s="56"/>
      <c r="I304" s="56"/>
      <c r="J304" s="59" t="s">
        <v>77</v>
      </c>
      <c r="K304" s="59" t="s">
        <v>122</v>
      </c>
      <c r="L304" s="59" t="s">
        <v>193</v>
      </c>
      <c r="M304" s="56"/>
      <c r="N304" s="58"/>
      <c r="O304" s="58"/>
      <c r="P304" s="56"/>
      <c r="Q304" s="58"/>
      <c r="R304" s="58"/>
      <c r="S304" s="56"/>
      <c r="T304" s="10">
        <f t="shared" si="1"/>
        <v>3</v>
      </c>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row>
    <row r="305">
      <c r="A305" s="56" t="s">
        <v>587</v>
      </c>
      <c r="B305" s="57"/>
      <c r="C305" s="58"/>
      <c r="D305" s="58"/>
      <c r="E305" s="58"/>
      <c r="F305" s="58"/>
      <c r="G305" s="56"/>
      <c r="H305" s="56"/>
      <c r="I305" s="56"/>
      <c r="J305" s="56"/>
      <c r="K305" s="59" t="s">
        <v>122</v>
      </c>
      <c r="L305" s="58"/>
      <c r="M305" s="58"/>
      <c r="N305" s="59" t="s">
        <v>164</v>
      </c>
      <c r="O305" s="58"/>
      <c r="P305" s="56"/>
      <c r="Q305" s="58"/>
      <c r="R305" s="58"/>
      <c r="S305" s="56"/>
      <c r="T305" s="10">
        <f t="shared" si="1"/>
        <v>2</v>
      </c>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row>
    <row r="306">
      <c r="A306" s="56" t="s">
        <v>388</v>
      </c>
      <c r="B306" s="57"/>
      <c r="C306" s="58"/>
      <c r="D306" s="58"/>
      <c r="E306" s="58"/>
      <c r="F306" s="58"/>
      <c r="G306" s="56"/>
      <c r="H306" s="56"/>
      <c r="I306" s="56"/>
      <c r="J306" s="56"/>
      <c r="K306" s="59" t="s">
        <v>122</v>
      </c>
      <c r="L306" s="58"/>
      <c r="M306" s="58"/>
      <c r="N306" s="59" t="s">
        <v>164</v>
      </c>
      <c r="O306" s="58"/>
      <c r="P306" s="56"/>
      <c r="Q306" s="58"/>
      <c r="R306" s="58"/>
      <c r="S306" s="56"/>
      <c r="T306" s="10">
        <f t="shared" si="1"/>
        <v>2</v>
      </c>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row>
    <row r="307">
      <c r="A307" s="56" t="s">
        <v>588</v>
      </c>
      <c r="B307" s="57"/>
      <c r="C307" s="58"/>
      <c r="D307" s="58"/>
      <c r="E307" s="58"/>
      <c r="F307" s="58"/>
      <c r="G307" s="56"/>
      <c r="H307" s="56"/>
      <c r="I307" s="56"/>
      <c r="J307" s="56"/>
      <c r="K307" s="59" t="s">
        <v>122</v>
      </c>
      <c r="L307" s="58"/>
      <c r="M307" s="58"/>
      <c r="N307" s="59" t="s">
        <v>164</v>
      </c>
      <c r="O307" s="58"/>
      <c r="P307" s="56"/>
      <c r="Q307" s="58"/>
      <c r="R307" s="58"/>
      <c r="S307" s="56"/>
      <c r="T307" s="10">
        <f t="shared" si="1"/>
        <v>2</v>
      </c>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row>
    <row r="308">
      <c r="A308" s="56" t="s">
        <v>106</v>
      </c>
      <c r="B308" s="57"/>
      <c r="C308" s="58"/>
      <c r="D308" s="58"/>
      <c r="E308" s="58"/>
      <c r="F308" s="58"/>
      <c r="G308" s="56"/>
      <c r="H308" s="56" t="s">
        <v>637</v>
      </c>
      <c r="I308" s="56"/>
      <c r="J308" s="56"/>
      <c r="K308" s="59" t="s">
        <v>122</v>
      </c>
      <c r="L308" s="58"/>
      <c r="M308" s="58"/>
      <c r="N308" s="56"/>
      <c r="O308" s="58"/>
      <c r="P308" s="56"/>
      <c r="Q308" s="58"/>
      <c r="R308" s="58"/>
      <c r="S308" s="56"/>
      <c r="T308" s="10">
        <f t="shared" si="1"/>
        <v>1</v>
      </c>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row>
    <row r="309">
      <c r="A309" s="56" t="s">
        <v>618</v>
      </c>
      <c r="B309" s="57"/>
      <c r="C309" s="58"/>
      <c r="D309" s="58"/>
      <c r="E309" s="58"/>
      <c r="F309" s="58"/>
      <c r="G309" s="56"/>
      <c r="H309" s="56"/>
      <c r="I309" s="56"/>
      <c r="J309" s="56"/>
      <c r="K309" s="59" t="s">
        <v>335</v>
      </c>
      <c r="L309" s="58"/>
      <c r="M309" s="58"/>
      <c r="N309" s="56"/>
      <c r="O309" s="58"/>
      <c r="P309" s="56"/>
      <c r="Q309" s="58"/>
      <c r="R309" s="58"/>
      <c r="S309" s="56"/>
      <c r="T309" s="10">
        <f t="shared" si="1"/>
        <v>1</v>
      </c>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row>
    <row r="310">
      <c r="A310" s="55" t="s">
        <v>55</v>
      </c>
      <c r="B310" s="55"/>
      <c r="C310" s="55"/>
      <c r="D310" s="55"/>
      <c r="E310" s="55"/>
      <c r="F310" s="55"/>
      <c r="G310" s="55"/>
      <c r="H310" s="55"/>
      <c r="I310" s="55"/>
      <c r="J310" s="55"/>
      <c r="K310" s="55"/>
      <c r="L310" s="55"/>
      <c r="M310" s="55"/>
      <c r="N310" s="55"/>
      <c r="O310" s="55"/>
      <c r="P310" s="55"/>
      <c r="Q310" s="55"/>
      <c r="R310" s="55"/>
      <c r="S310" s="55"/>
      <c r="T310" s="10">
        <f t="shared" si="1"/>
        <v>0</v>
      </c>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row>
    <row r="311">
      <c r="A311" s="56" t="s">
        <v>348</v>
      </c>
      <c r="B311" s="57"/>
      <c r="C311" s="58"/>
      <c r="D311" s="58"/>
      <c r="E311" s="58"/>
      <c r="F311" s="58"/>
      <c r="G311" s="58"/>
      <c r="H311" s="56" t="s">
        <v>349</v>
      </c>
      <c r="I311" s="59" t="s">
        <v>209</v>
      </c>
      <c r="J311" s="58"/>
      <c r="K311" s="58"/>
      <c r="L311" s="58"/>
      <c r="M311" s="58"/>
      <c r="N311" s="58"/>
      <c r="O311" s="60" t="s">
        <v>96</v>
      </c>
      <c r="P311" s="58"/>
      <c r="Q311" s="58"/>
      <c r="R311" s="58"/>
      <c r="S311" s="58"/>
      <c r="T311" s="10">
        <f t="shared" si="1"/>
        <v>2</v>
      </c>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row>
    <row r="312">
      <c r="A312" s="56" t="s">
        <v>638</v>
      </c>
      <c r="B312" s="57"/>
      <c r="C312" s="58"/>
      <c r="D312" s="58"/>
      <c r="E312" s="58"/>
      <c r="F312" s="58"/>
      <c r="G312" s="58"/>
      <c r="H312" s="56" t="s">
        <v>639</v>
      </c>
      <c r="I312" s="59" t="s">
        <v>209</v>
      </c>
      <c r="J312" s="58"/>
      <c r="K312" s="58"/>
      <c r="L312" s="58"/>
      <c r="M312" s="58"/>
      <c r="N312" s="58"/>
      <c r="O312" s="58"/>
      <c r="P312" s="58"/>
      <c r="Q312" s="58"/>
      <c r="R312" s="58"/>
      <c r="S312" s="58"/>
      <c r="T312" s="10">
        <f t="shared" si="1"/>
        <v>1</v>
      </c>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row>
    <row r="313">
      <c r="A313" s="56" t="s">
        <v>640</v>
      </c>
      <c r="B313" s="57"/>
      <c r="C313" s="58"/>
      <c r="D313" s="58"/>
      <c r="E313" s="58"/>
      <c r="F313" s="58"/>
      <c r="G313" s="58"/>
      <c r="H313" s="56" t="s">
        <v>641</v>
      </c>
      <c r="I313" s="59" t="s">
        <v>209</v>
      </c>
      <c r="J313" s="58"/>
      <c r="K313" s="58"/>
      <c r="L313" s="58"/>
      <c r="M313" s="58"/>
      <c r="N313" s="58"/>
      <c r="O313" s="59" t="s">
        <v>96</v>
      </c>
      <c r="P313" s="58"/>
      <c r="Q313" s="58"/>
      <c r="R313" s="56" t="s">
        <v>102</v>
      </c>
      <c r="S313" s="58"/>
      <c r="T313" s="10">
        <f t="shared" si="1"/>
        <v>3</v>
      </c>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row>
    <row r="314" ht="16.5" customHeight="1">
      <c r="A314" s="56" t="s">
        <v>642</v>
      </c>
      <c r="B314" s="57"/>
      <c r="C314" s="58"/>
      <c r="D314" s="58"/>
      <c r="E314" s="58"/>
      <c r="F314" s="58"/>
      <c r="G314" s="58"/>
      <c r="H314" s="56" t="s">
        <v>641</v>
      </c>
      <c r="I314" s="59" t="s">
        <v>209</v>
      </c>
      <c r="J314" s="58"/>
      <c r="K314" s="58"/>
      <c r="L314" s="58"/>
      <c r="M314" s="58"/>
      <c r="N314" s="58"/>
      <c r="O314" s="59" t="s">
        <v>96</v>
      </c>
      <c r="P314" s="58"/>
      <c r="Q314" s="58"/>
      <c r="R314" s="56" t="s">
        <v>102</v>
      </c>
      <c r="S314" s="58"/>
      <c r="T314" s="10">
        <f t="shared" si="1"/>
        <v>3</v>
      </c>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row>
    <row r="315" ht="3.75" customHeight="1">
      <c r="A315" s="55"/>
      <c r="B315" s="55"/>
      <c r="C315" s="55"/>
      <c r="D315" s="55"/>
      <c r="E315" s="55"/>
      <c r="F315" s="55"/>
      <c r="G315" s="55"/>
      <c r="H315" s="55"/>
      <c r="I315" s="55"/>
      <c r="J315" s="55"/>
      <c r="K315" s="55"/>
      <c r="L315" s="55"/>
      <c r="M315" s="55"/>
      <c r="N315" s="55"/>
      <c r="O315" s="55"/>
      <c r="P315" s="55"/>
      <c r="Q315" s="55"/>
      <c r="R315" s="55"/>
      <c r="S315" s="55"/>
      <c r="T315" s="10">
        <f t="shared" si="1"/>
        <v>0</v>
      </c>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row>
    <row r="316">
      <c r="A316" s="56" t="s">
        <v>643</v>
      </c>
      <c r="B316" s="57"/>
      <c r="C316" s="58"/>
      <c r="D316" s="58"/>
      <c r="E316" s="58"/>
      <c r="F316" s="58"/>
      <c r="G316" s="56" t="s">
        <v>644</v>
      </c>
      <c r="H316" s="58"/>
      <c r="I316" s="56"/>
      <c r="J316" s="58"/>
      <c r="K316" s="58"/>
      <c r="L316" s="58"/>
      <c r="M316" s="58"/>
      <c r="N316" s="58"/>
      <c r="O316" s="56"/>
      <c r="P316" s="56" t="s">
        <v>645</v>
      </c>
      <c r="Q316" s="58"/>
      <c r="R316" s="58"/>
      <c r="S316" s="56" t="s">
        <v>646</v>
      </c>
      <c r="T316" s="10">
        <f t="shared" si="1"/>
        <v>2</v>
      </c>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row>
    <row r="317">
      <c r="A317" s="56" t="s">
        <v>647</v>
      </c>
      <c r="B317" s="57"/>
      <c r="C317" s="58"/>
      <c r="D317" s="58"/>
      <c r="E317" s="58"/>
      <c r="F317" s="58"/>
      <c r="G317" s="56"/>
      <c r="H317" s="58"/>
      <c r="I317" s="56"/>
      <c r="J317" s="58"/>
      <c r="K317" s="58"/>
      <c r="L317" s="58"/>
      <c r="M317" s="58"/>
      <c r="N317" s="58"/>
      <c r="O317" s="56"/>
      <c r="P317" s="59" t="s">
        <v>538</v>
      </c>
      <c r="Q317" s="58"/>
      <c r="R317" s="58"/>
      <c r="S317" s="56"/>
      <c r="T317" s="10">
        <f t="shared" si="1"/>
        <v>1</v>
      </c>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row>
    <row r="318">
      <c r="A318" s="56" t="s">
        <v>648</v>
      </c>
      <c r="B318" s="57"/>
      <c r="C318" s="58"/>
      <c r="D318" s="58"/>
      <c r="E318" s="58"/>
      <c r="F318" s="58"/>
      <c r="G318" s="56"/>
      <c r="H318" s="58"/>
      <c r="I318" s="56"/>
      <c r="J318" s="59" t="s">
        <v>77</v>
      </c>
      <c r="K318" s="58"/>
      <c r="L318" s="58"/>
      <c r="M318" s="58"/>
      <c r="N318" s="58"/>
      <c r="O318" s="56"/>
      <c r="P318" s="56"/>
      <c r="Q318" s="58"/>
      <c r="R318" s="58"/>
      <c r="S318" s="56"/>
      <c r="T318" s="10">
        <f t="shared" si="1"/>
        <v>1</v>
      </c>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row>
    <row r="319">
      <c r="A319" s="55" t="s">
        <v>56</v>
      </c>
      <c r="B319" s="55"/>
      <c r="C319" s="55"/>
      <c r="D319" s="55"/>
      <c r="E319" s="55"/>
      <c r="F319" s="55"/>
      <c r="G319" s="55"/>
      <c r="H319" s="55"/>
      <c r="I319" s="55"/>
      <c r="J319" s="55"/>
      <c r="K319" s="55"/>
      <c r="L319" s="55"/>
      <c r="M319" s="55"/>
      <c r="N319" s="55"/>
      <c r="O319" s="55"/>
      <c r="P319" s="55"/>
      <c r="Q319" s="55"/>
      <c r="R319" s="55"/>
      <c r="S319" s="55"/>
      <c r="T319" s="10">
        <f t="shared" si="1"/>
        <v>0</v>
      </c>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row>
    <row r="320">
      <c r="A320" s="56" t="s">
        <v>649</v>
      </c>
      <c r="B320" s="57"/>
      <c r="C320" s="58"/>
      <c r="D320" s="58"/>
      <c r="E320" s="58"/>
      <c r="F320" s="58"/>
      <c r="G320" s="58"/>
      <c r="H320" s="58"/>
      <c r="I320" s="59" t="s">
        <v>209</v>
      </c>
      <c r="J320" s="59" t="s">
        <v>77</v>
      </c>
      <c r="K320" s="59" t="s">
        <v>122</v>
      </c>
      <c r="L320" s="59" t="s">
        <v>193</v>
      </c>
      <c r="M320" s="59" t="s">
        <v>214</v>
      </c>
      <c r="N320" s="58"/>
      <c r="O320" s="58"/>
      <c r="P320" s="58"/>
      <c r="Q320" s="58"/>
      <c r="R320" s="58"/>
      <c r="S320" s="58"/>
      <c r="T320" s="10">
        <f t="shared" si="1"/>
        <v>5</v>
      </c>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row>
    <row r="321">
      <c r="A321" s="56" t="s">
        <v>650</v>
      </c>
      <c r="B321" s="57"/>
      <c r="C321" s="58"/>
      <c r="D321" s="58"/>
      <c r="E321" s="58"/>
      <c r="F321" s="58"/>
      <c r="G321" s="58"/>
      <c r="H321" s="56" t="s">
        <v>651</v>
      </c>
      <c r="I321" s="59" t="s">
        <v>209</v>
      </c>
      <c r="J321" s="59" t="s">
        <v>77</v>
      </c>
      <c r="K321" s="59" t="s">
        <v>122</v>
      </c>
      <c r="L321" s="59" t="s">
        <v>193</v>
      </c>
      <c r="M321" s="56"/>
      <c r="N321" s="58"/>
      <c r="O321" s="58"/>
      <c r="P321" s="58"/>
      <c r="Q321" s="58"/>
      <c r="R321" s="58"/>
      <c r="S321" s="58"/>
      <c r="T321" s="10">
        <f t="shared" si="1"/>
        <v>4</v>
      </c>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row>
    <row r="322">
      <c r="A322" s="56" t="s">
        <v>652</v>
      </c>
      <c r="B322" s="57"/>
      <c r="C322" s="58"/>
      <c r="D322" s="58"/>
      <c r="E322" s="58"/>
      <c r="F322" s="58"/>
      <c r="G322" s="58"/>
      <c r="H322" s="58"/>
      <c r="I322" s="59" t="s">
        <v>209</v>
      </c>
      <c r="J322" s="58"/>
      <c r="K322" s="59" t="s">
        <v>335</v>
      </c>
      <c r="L322" s="59" t="s">
        <v>193</v>
      </c>
      <c r="M322" s="59" t="s">
        <v>214</v>
      </c>
      <c r="N322" s="59" t="s">
        <v>164</v>
      </c>
      <c r="O322" s="58"/>
      <c r="P322" s="58"/>
      <c r="Q322" s="58"/>
      <c r="R322" s="58"/>
      <c r="S322" s="56" t="s">
        <v>653</v>
      </c>
      <c r="T322" s="10">
        <f t="shared" si="1"/>
        <v>6</v>
      </c>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row>
    <row r="323">
      <c r="A323" s="56" t="s">
        <v>654</v>
      </c>
      <c r="B323" s="57"/>
      <c r="C323" s="58"/>
      <c r="D323" s="58"/>
      <c r="E323" s="58"/>
      <c r="F323" s="58"/>
      <c r="G323" s="58"/>
      <c r="H323" s="58"/>
      <c r="I323" s="59" t="s">
        <v>209</v>
      </c>
      <c r="J323" s="58"/>
      <c r="K323" s="59" t="s">
        <v>335</v>
      </c>
      <c r="L323" s="59" t="s">
        <v>193</v>
      </c>
      <c r="M323" s="59" t="s">
        <v>214</v>
      </c>
      <c r="N323" s="58"/>
      <c r="O323" s="58"/>
      <c r="P323" s="58"/>
      <c r="Q323" s="58"/>
      <c r="R323" s="58"/>
      <c r="S323" s="58"/>
      <c r="T323" s="10">
        <f t="shared" si="1"/>
        <v>4</v>
      </c>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row>
    <row r="324">
      <c r="A324" s="56" t="s">
        <v>655</v>
      </c>
      <c r="B324" s="57"/>
      <c r="C324" s="58"/>
      <c r="D324" s="58"/>
      <c r="E324" s="58"/>
      <c r="F324" s="58"/>
      <c r="G324" s="58"/>
      <c r="H324" s="58"/>
      <c r="I324" s="59" t="s">
        <v>209</v>
      </c>
      <c r="J324" s="58"/>
      <c r="K324" s="58"/>
      <c r="L324" s="58"/>
      <c r="M324" s="58"/>
      <c r="N324" s="58"/>
      <c r="O324" s="58"/>
      <c r="P324" s="58"/>
      <c r="Q324" s="58"/>
      <c r="R324" s="58"/>
      <c r="S324" s="58"/>
      <c r="T324" s="10">
        <f t="shared" si="1"/>
        <v>1</v>
      </c>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row>
    <row r="325">
      <c r="A325" s="56" t="s">
        <v>548</v>
      </c>
      <c r="B325" s="57"/>
      <c r="C325" s="58"/>
      <c r="D325" s="58"/>
      <c r="E325" s="58"/>
      <c r="F325" s="58"/>
      <c r="G325" s="58"/>
      <c r="H325" s="56" t="s">
        <v>550</v>
      </c>
      <c r="I325" s="59" t="s">
        <v>209</v>
      </c>
      <c r="J325" s="59" t="s">
        <v>256</v>
      </c>
      <c r="K325" s="58"/>
      <c r="L325" s="58"/>
      <c r="M325" s="58"/>
      <c r="N325" s="58"/>
      <c r="O325" s="59" t="s">
        <v>96</v>
      </c>
      <c r="P325" s="58"/>
      <c r="Q325" s="58"/>
      <c r="R325" s="58"/>
      <c r="S325" s="56" t="s">
        <v>553</v>
      </c>
      <c r="T325" s="10">
        <f t="shared" si="1"/>
        <v>4</v>
      </c>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row>
    <row r="326">
      <c r="A326" s="56" t="s">
        <v>554</v>
      </c>
      <c r="B326" s="57"/>
      <c r="C326" s="58"/>
      <c r="D326" s="58"/>
      <c r="E326" s="58"/>
      <c r="F326" s="58"/>
      <c r="G326" s="58"/>
      <c r="H326" s="56" t="s">
        <v>555</v>
      </c>
      <c r="I326" s="59" t="s">
        <v>209</v>
      </c>
      <c r="J326" s="59" t="s">
        <v>256</v>
      </c>
      <c r="K326" s="58"/>
      <c r="L326" s="58"/>
      <c r="M326" s="58"/>
      <c r="N326" s="58"/>
      <c r="O326" s="59" t="s">
        <v>96</v>
      </c>
      <c r="P326" s="58"/>
      <c r="Q326" s="58"/>
      <c r="R326" s="58"/>
      <c r="S326" s="56" t="s">
        <v>553</v>
      </c>
      <c r="T326" s="10">
        <f t="shared" si="1"/>
        <v>4</v>
      </c>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row>
    <row r="327">
      <c r="A327" s="56" t="s">
        <v>656</v>
      </c>
      <c r="B327" s="57"/>
      <c r="C327" s="58"/>
      <c r="D327" s="58"/>
      <c r="E327" s="58"/>
      <c r="F327" s="58"/>
      <c r="G327" s="58"/>
      <c r="H327" s="56" t="s">
        <v>657</v>
      </c>
      <c r="I327" s="59" t="s">
        <v>209</v>
      </c>
      <c r="J327" s="58"/>
      <c r="K327" s="58"/>
      <c r="L327" s="58"/>
      <c r="M327" s="58"/>
      <c r="N327" s="58"/>
      <c r="O327" s="58"/>
      <c r="P327" s="58"/>
      <c r="Q327" s="58"/>
      <c r="R327" s="58"/>
      <c r="S327" s="58"/>
      <c r="T327" s="10">
        <f t="shared" si="1"/>
        <v>1</v>
      </c>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row>
    <row r="328" ht="3.75" customHeight="1">
      <c r="A328" s="55"/>
      <c r="B328" s="55"/>
      <c r="C328" s="55"/>
      <c r="D328" s="55"/>
      <c r="E328" s="55"/>
      <c r="F328" s="55"/>
      <c r="G328" s="55"/>
      <c r="H328" s="55"/>
      <c r="I328" s="55"/>
      <c r="J328" s="55"/>
      <c r="K328" s="55"/>
      <c r="L328" s="55"/>
      <c r="M328" s="55"/>
      <c r="N328" s="55"/>
      <c r="O328" s="55"/>
      <c r="P328" s="55"/>
      <c r="Q328" s="55"/>
      <c r="R328" s="55"/>
      <c r="S328" s="55"/>
      <c r="T328" s="10">
        <f t="shared" si="1"/>
        <v>0</v>
      </c>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row>
    <row r="329">
      <c r="A329" s="56" t="s">
        <v>557</v>
      </c>
      <c r="B329" s="57"/>
      <c r="C329" s="58"/>
      <c r="D329" s="58"/>
      <c r="E329" s="58"/>
      <c r="F329" s="58"/>
      <c r="G329" s="56"/>
      <c r="H329" s="56"/>
      <c r="I329" s="58"/>
      <c r="J329" s="59" t="s">
        <v>77</v>
      </c>
      <c r="K329" s="59" t="s">
        <v>408</v>
      </c>
      <c r="L329" s="59" t="s">
        <v>193</v>
      </c>
      <c r="M329" s="59" t="s">
        <v>214</v>
      </c>
      <c r="N329" s="58"/>
      <c r="O329" s="58"/>
      <c r="P329" s="56"/>
      <c r="Q329" s="58"/>
      <c r="R329" s="58"/>
      <c r="S329" s="56"/>
      <c r="T329" s="10">
        <f t="shared" si="1"/>
        <v>4</v>
      </c>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row>
    <row r="330">
      <c r="A330" s="56" t="s">
        <v>567</v>
      </c>
      <c r="B330" s="57"/>
      <c r="C330" s="58"/>
      <c r="D330" s="58"/>
      <c r="E330" s="58"/>
      <c r="F330" s="58"/>
      <c r="G330" s="56"/>
      <c r="H330" s="56"/>
      <c r="I330" s="58"/>
      <c r="J330" s="59" t="s">
        <v>77</v>
      </c>
      <c r="K330" s="59" t="s">
        <v>408</v>
      </c>
      <c r="L330" s="58"/>
      <c r="M330" s="59" t="s">
        <v>214</v>
      </c>
      <c r="N330" s="58"/>
      <c r="O330" s="58"/>
      <c r="P330" s="56"/>
      <c r="Q330" s="58"/>
      <c r="R330" s="58"/>
      <c r="S330" s="56"/>
      <c r="T330" s="10">
        <f t="shared" si="1"/>
        <v>3</v>
      </c>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row>
    <row r="331">
      <c r="A331" s="56" t="s">
        <v>477</v>
      </c>
      <c r="B331" s="57"/>
      <c r="C331" s="58"/>
      <c r="D331" s="58"/>
      <c r="E331" s="58"/>
      <c r="F331" s="58"/>
      <c r="G331" s="56"/>
      <c r="H331" s="56"/>
      <c r="I331" s="58"/>
      <c r="J331" s="59" t="s">
        <v>77</v>
      </c>
      <c r="K331" s="58"/>
      <c r="L331" s="58"/>
      <c r="M331" s="58"/>
      <c r="N331" s="58"/>
      <c r="O331" s="58"/>
      <c r="P331" s="56"/>
      <c r="Q331" s="58"/>
      <c r="R331" s="58"/>
      <c r="S331" s="56"/>
      <c r="T331" s="10">
        <f t="shared" si="1"/>
        <v>1</v>
      </c>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row>
    <row r="332">
      <c r="A332" s="56" t="s">
        <v>658</v>
      </c>
      <c r="B332" s="57"/>
      <c r="C332" s="58"/>
      <c r="D332" s="58"/>
      <c r="E332" s="58"/>
      <c r="F332" s="58"/>
      <c r="G332" s="56" t="s">
        <v>659</v>
      </c>
      <c r="H332" s="56"/>
      <c r="I332" s="58"/>
      <c r="J332" s="58"/>
      <c r="K332" s="58"/>
      <c r="L332" s="58"/>
      <c r="M332" s="58"/>
      <c r="N332" s="58"/>
      <c r="O332" s="58"/>
      <c r="P332" s="56" t="s">
        <v>660</v>
      </c>
      <c r="Q332" s="58"/>
      <c r="R332" s="58"/>
      <c r="S332" s="56" t="s">
        <v>661</v>
      </c>
      <c r="T332" s="10">
        <f t="shared" si="1"/>
        <v>2</v>
      </c>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row>
    <row r="333">
      <c r="A333" s="56" t="s">
        <v>662</v>
      </c>
      <c r="B333" s="57"/>
      <c r="C333" s="58"/>
      <c r="D333" s="58"/>
      <c r="E333" s="58"/>
      <c r="F333" s="58"/>
      <c r="G333" s="56" t="s">
        <v>659</v>
      </c>
      <c r="H333" s="56"/>
      <c r="I333" s="58"/>
      <c r="J333" s="58"/>
      <c r="K333" s="58"/>
      <c r="L333" s="58"/>
      <c r="M333" s="58"/>
      <c r="N333" s="58"/>
      <c r="O333" s="58"/>
      <c r="P333" s="56" t="s">
        <v>663</v>
      </c>
      <c r="Q333" s="58"/>
      <c r="R333" s="58"/>
      <c r="S333" s="56" t="s">
        <v>664</v>
      </c>
      <c r="T333" s="10">
        <f t="shared" si="1"/>
        <v>2</v>
      </c>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row>
    <row r="334">
      <c r="A334" s="56" t="s">
        <v>665</v>
      </c>
      <c r="B334" s="57"/>
      <c r="C334" s="58"/>
      <c r="D334" s="58"/>
      <c r="E334" s="58"/>
      <c r="F334" s="58"/>
      <c r="G334" s="56" t="s">
        <v>659</v>
      </c>
      <c r="H334" s="56"/>
      <c r="I334" s="58"/>
      <c r="J334" s="58"/>
      <c r="K334" s="58"/>
      <c r="L334" s="58"/>
      <c r="M334" s="58"/>
      <c r="N334" s="58"/>
      <c r="O334" s="58"/>
      <c r="P334" s="56" t="s">
        <v>666</v>
      </c>
      <c r="Q334" s="58"/>
      <c r="R334" s="58"/>
      <c r="S334" s="56" t="s">
        <v>661</v>
      </c>
      <c r="T334" s="10">
        <f t="shared" si="1"/>
        <v>2</v>
      </c>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row>
    <row r="335">
      <c r="A335" s="56" t="s">
        <v>667</v>
      </c>
      <c r="B335" s="57"/>
      <c r="C335" s="58"/>
      <c r="D335" s="58"/>
      <c r="E335" s="58"/>
      <c r="F335" s="58"/>
      <c r="G335" s="56" t="s">
        <v>659</v>
      </c>
      <c r="H335" s="56"/>
      <c r="I335" s="58"/>
      <c r="J335" s="58"/>
      <c r="K335" s="58"/>
      <c r="L335" s="58"/>
      <c r="M335" s="58"/>
      <c r="N335" s="58"/>
      <c r="O335" s="58"/>
      <c r="P335" s="56" t="s">
        <v>668</v>
      </c>
      <c r="Q335" s="58"/>
      <c r="R335" s="58"/>
      <c r="S335" s="56" t="s">
        <v>664</v>
      </c>
      <c r="T335" s="10">
        <f t="shared" si="1"/>
        <v>2</v>
      </c>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row>
    <row r="336">
      <c r="A336" s="56" t="s">
        <v>669</v>
      </c>
      <c r="B336" s="57"/>
      <c r="C336" s="58"/>
      <c r="D336" s="58"/>
      <c r="E336" s="58"/>
      <c r="F336" s="58"/>
      <c r="G336" s="56" t="s">
        <v>659</v>
      </c>
      <c r="H336" s="56"/>
      <c r="I336" s="58"/>
      <c r="J336" s="58"/>
      <c r="K336" s="58"/>
      <c r="L336" s="58"/>
      <c r="M336" s="58"/>
      <c r="N336" s="58"/>
      <c r="O336" s="58"/>
      <c r="P336" s="56" t="s">
        <v>670</v>
      </c>
      <c r="Q336" s="58"/>
      <c r="R336" s="58"/>
      <c r="S336" s="56" t="s">
        <v>670</v>
      </c>
      <c r="T336" s="10">
        <f t="shared" si="1"/>
        <v>2</v>
      </c>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row>
    <row r="337">
      <c r="A337" s="56" t="s">
        <v>568</v>
      </c>
      <c r="B337" s="57"/>
      <c r="C337" s="58"/>
      <c r="D337" s="58"/>
      <c r="E337" s="58"/>
      <c r="F337" s="58"/>
      <c r="G337" s="56" t="s">
        <v>569</v>
      </c>
      <c r="H337" s="56"/>
      <c r="I337" s="58"/>
      <c r="J337" s="56" t="s">
        <v>273</v>
      </c>
      <c r="K337" s="59" t="s">
        <v>408</v>
      </c>
      <c r="L337" s="58"/>
      <c r="M337" s="58"/>
      <c r="N337" s="58"/>
      <c r="O337" s="58"/>
      <c r="P337" s="56"/>
      <c r="Q337" s="58"/>
      <c r="R337" s="58"/>
      <c r="S337" s="56" t="s">
        <v>553</v>
      </c>
      <c r="T337" s="10">
        <f t="shared" si="1"/>
        <v>3</v>
      </c>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row>
    <row r="338">
      <c r="A338" s="56" t="s">
        <v>671</v>
      </c>
      <c r="B338" s="57"/>
      <c r="C338" s="58"/>
      <c r="D338" s="58"/>
      <c r="E338" s="58"/>
      <c r="F338" s="58"/>
      <c r="G338" s="56" t="s">
        <v>672</v>
      </c>
      <c r="H338" s="56"/>
      <c r="I338" s="58"/>
      <c r="J338" s="58"/>
      <c r="K338" s="58"/>
      <c r="L338" s="58"/>
      <c r="M338" s="58"/>
      <c r="N338" s="58"/>
      <c r="O338" s="58"/>
      <c r="P338" s="56" t="s">
        <v>673</v>
      </c>
      <c r="Q338" s="58"/>
      <c r="R338" s="58"/>
      <c r="S338" s="56" t="s">
        <v>674</v>
      </c>
      <c r="T338" s="10">
        <f t="shared" si="1"/>
        <v>2</v>
      </c>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row>
    <row r="339">
      <c r="A339" s="56" t="s">
        <v>571</v>
      </c>
      <c r="B339" s="57"/>
      <c r="C339" s="58"/>
      <c r="D339" s="58"/>
      <c r="E339" s="58"/>
      <c r="F339" s="58"/>
      <c r="G339" s="58"/>
      <c r="H339" s="56"/>
      <c r="I339" s="58"/>
      <c r="J339" s="56" t="s">
        <v>273</v>
      </c>
      <c r="K339" s="59" t="s">
        <v>408</v>
      </c>
      <c r="L339" s="58"/>
      <c r="M339" s="58"/>
      <c r="N339" s="58"/>
      <c r="O339" s="58"/>
      <c r="P339" s="58"/>
      <c r="Q339" s="58"/>
      <c r="R339" s="58"/>
      <c r="S339" s="56" t="s">
        <v>553</v>
      </c>
      <c r="T339" s="10">
        <f t="shared" si="1"/>
        <v>3</v>
      </c>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row>
    <row r="340">
      <c r="A340" s="56" t="s">
        <v>572</v>
      </c>
      <c r="B340" s="57"/>
      <c r="C340" s="58"/>
      <c r="D340" s="58"/>
      <c r="E340" s="58"/>
      <c r="F340" s="58"/>
      <c r="G340" s="58"/>
      <c r="H340" s="56"/>
      <c r="I340" s="58"/>
      <c r="J340" s="56" t="s">
        <v>273</v>
      </c>
      <c r="K340" s="59" t="s">
        <v>408</v>
      </c>
      <c r="L340" s="58"/>
      <c r="M340" s="58"/>
      <c r="N340" s="58"/>
      <c r="O340" s="58"/>
      <c r="P340" s="58"/>
      <c r="Q340" s="58"/>
      <c r="R340" s="58"/>
      <c r="S340" s="56" t="s">
        <v>553</v>
      </c>
      <c r="T340" s="10">
        <f t="shared" si="1"/>
        <v>3</v>
      </c>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row>
    <row r="341">
      <c r="A341" s="56" t="s">
        <v>558</v>
      </c>
      <c r="B341" s="57"/>
      <c r="C341" s="58"/>
      <c r="D341" s="58"/>
      <c r="E341" s="58"/>
      <c r="F341" s="58"/>
      <c r="G341" s="56" t="s">
        <v>559</v>
      </c>
      <c r="H341" s="56"/>
      <c r="I341" s="58"/>
      <c r="J341" s="56" t="s">
        <v>273</v>
      </c>
      <c r="K341" s="59" t="s">
        <v>408</v>
      </c>
      <c r="L341" s="58"/>
      <c r="M341" s="58"/>
      <c r="N341" s="58"/>
      <c r="O341" s="58"/>
      <c r="P341" s="56" t="s">
        <v>560</v>
      </c>
      <c r="Q341" s="58"/>
      <c r="R341" s="58"/>
      <c r="S341" s="56" t="s">
        <v>561</v>
      </c>
      <c r="T341" s="10">
        <f t="shared" si="1"/>
        <v>4</v>
      </c>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row>
    <row r="342">
      <c r="A342" s="56" t="s">
        <v>589</v>
      </c>
      <c r="B342" s="57"/>
      <c r="C342" s="58"/>
      <c r="D342" s="58"/>
      <c r="E342" s="58"/>
      <c r="F342" s="58"/>
      <c r="G342" s="56" t="s">
        <v>590</v>
      </c>
      <c r="H342" s="56"/>
      <c r="I342" s="58"/>
      <c r="J342" s="58"/>
      <c r="K342" s="58"/>
      <c r="L342" s="58"/>
      <c r="M342" s="58"/>
      <c r="N342" s="58"/>
      <c r="O342" s="58"/>
      <c r="P342" s="56" t="s">
        <v>591</v>
      </c>
      <c r="Q342" s="58"/>
      <c r="R342" s="58"/>
      <c r="S342" s="56" t="s">
        <v>553</v>
      </c>
      <c r="T342" s="10">
        <f t="shared" si="1"/>
        <v>2</v>
      </c>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row>
    <row r="343">
      <c r="A343" s="56" t="s">
        <v>675</v>
      </c>
      <c r="B343" s="57"/>
      <c r="C343" s="58"/>
      <c r="D343" s="58"/>
      <c r="E343" s="58"/>
      <c r="F343" s="58"/>
      <c r="G343" s="56" t="s">
        <v>676</v>
      </c>
      <c r="H343" s="56"/>
      <c r="I343" s="58"/>
      <c r="J343" s="58"/>
      <c r="K343" s="58"/>
      <c r="L343" s="58"/>
      <c r="M343" s="58"/>
      <c r="N343" s="58"/>
      <c r="O343" s="58"/>
      <c r="P343" s="56" t="s">
        <v>677</v>
      </c>
      <c r="Q343" s="58"/>
      <c r="R343" s="58"/>
      <c r="S343" s="56" t="s">
        <v>678</v>
      </c>
      <c r="T343" s="10">
        <f t="shared" si="1"/>
        <v>2</v>
      </c>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row>
    <row r="344">
      <c r="A344" s="56" t="s">
        <v>592</v>
      </c>
      <c r="B344" s="57"/>
      <c r="C344" s="58"/>
      <c r="D344" s="58"/>
      <c r="E344" s="58"/>
      <c r="F344" s="58"/>
      <c r="G344" s="56" t="s">
        <v>593</v>
      </c>
      <c r="H344" s="56"/>
      <c r="I344" s="58"/>
      <c r="J344" s="58"/>
      <c r="K344" s="58"/>
      <c r="L344" s="58"/>
      <c r="M344" s="58"/>
      <c r="N344" s="58"/>
      <c r="O344" s="58"/>
      <c r="P344" s="56" t="s">
        <v>594</v>
      </c>
      <c r="Q344" s="58"/>
      <c r="R344" s="58"/>
      <c r="S344" s="56" t="s">
        <v>596</v>
      </c>
      <c r="T344" s="10">
        <f t="shared" si="1"/>
        <v>2</v>
      </c>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row>
    <row r="345">
      <c r="A345" s="56" t="s">
        <v>679</v>
      </c>
      <c r="B345" s="57"/>
      <c r="C345" s="58"/>
      <c r="D345" s="58"/>
      <c r="E345" s="58"/>
      <c r="F345" s="58"/>
      <c r="G345" s="58"/>
      <c r="H345" s="56"/>
      <c r="I345" s="58"/>
      <c r="J345" s="58"/>
      <c r="K345" s="58"/>
      <c r="L345" s="58"/>
      <c r="M345" s="58"/>
      <c r="N345" s="58"/>
      <c r="O345" s="58"/>
      <c r="P345" s="59" t="s">
        <v>538</v>
      </c>
      <c r="Q345" s="58"/>
      <c r="R345" s="58"/>
      <c r="S345" s="58"/>
      <c r="T345" s="10">
        <f t="shared" si="1"/>
        <v>1</v>
      </c>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row>
    <row r="346">
      <c r="A346" s="56" t="s">
        <v>680</v>
      </c>
      <c r="B346" s="57"/>
      <c r="C346" s="58"/>
      <c r="D346" s="58"/>
      <c r="E346" s="58"/>
      <c r="F346" s="58"/>
      <c r="G346" s="58"/>
      <c r="H346" s="56"/>
      <c r="I346" s="58"/>
      <c r="J346" s="58"/>
      <c r="K346" s="58"/>
      <c r="L346" s="58"/>
      <c r="M346" s="58"/>
      <c r="N346" s="58"/>
      <c r="O346" s="58"/>
      <c r="P346" s="59" t="s">
        <v>538</v>
      </c>
      <c r="Q346" s="58"/>
      <c r="R346" s="58"/>
      <c r="S346" s="58"/>
      <c r="T346" s="10">
        <f t="shared" si="1"/>
        <v>1</v>
      </c>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row>
    <row r="347">
      <c r="A347" s="56" t="s">
        <v>681</v>
      </c>
      <c r="B347" s="57"/>
      <c r="C347" s="58"/>
      <c r="D347" s="58"/>
      <c r="E347" s="58"/>
      <c r="F347" s="58"/>
      <c r="G347" s="58"/>
      <c r="H347" s="56"/>
      <c r="I347" s="58"/>
      <c r="J347" s="58"/>
      <c r="K347" s="58"/>
      <c r="L347" s="58"/>
      <c r="M347" s="58"/>
      <c r="N347" s="58"/>
      <c r="O347" s="58"/>
      <c r="P347" s="59" t="s">
        <v>538</v>
      </c>
      <c r="Q347" s="58"/>
      <c r="R347" s="58"/>
      <c r="S347" s="58"/>
      <c r="T347" s="10">
        <f t="shared" si="1"/>
        <v>1</v>
      </c>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c r="A348" s="56" t="s">
        <v>682</v>
      </c>
      <c r="B348" s="57"/>
      <c r="C348" s="58"/>
      <c r="D348" s="58"/>
      <c r="E348" s="58"/>
      <c r="F348" s="58"/>
      <c r="G348" s="58"/>
      <c r="H348" s="56"/>
      <c r="I348" s="58"/>
      <c r="J348" s="58"/>
      <c r="K348" s="58"/>
      <c r="L348" s="58"/>
      <c r="M348" s="58"/>
      <c r="N348" s="58"/>
      <c r="O348" s="58"/>
      <c r="P348" s="59" t="s">
        <v>268</v>
      </c>
      <c r="Q348" s="58"/>
      <c r="R348" s="58"/>
      <c r="S348" s="58"/>
      <c r="T348" s="10">
        <f t="shared" si="1"/>
        <v>1</v>
      </c>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row>
    <row r="349">
      <c r="A349" s="56" t="s">
        <v>619</v>
      </c>
      <c r="B349" s="57"/>
      <c r="C349" s="58"/>
      <c r="D349" s="58"/>
      <c r="E349" s="58"/>
      <c r="F349" s="58"/>
      <c r="G349" s="58"/>
      <c r="H349" s="56"/>
      <c r="I349" s="58"/>
      <c r="J349" s="59" t="s">
        <v>256</v>
      </c>
      <c r="K349" s="58"/>
      <c r="L349" s="58"/>
      <c r="M349" s="58"/>
      <c r="N349" s="58"/>
      <c r="O349" s="58"/>
      <c r="P349" s="56"/>
      <c r="Q349" s="58"/>
      <c r="R349" s="58"/>
      <c r="S349" s="58"/>
      <c r="T349" s="10">
        <f t="shared" si="1"/>
        <v>1</v>
      </c>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row>
    <row r="350">
      <c r="A350" s="56" t="s">
        <v>520</v>
      </c>
      <c r="B350" s="57"/>
      <c r="C350" s="58"/>
      <c r="D350" s="58"/>
      <c r="E350" s="58"/>
      <c r="F350" s="58"/>
      <c r="G350" s="58"/>
      <c r="H350" s="56" t="s">
        <v>521</v>
      </c>
      <c r="I350" s="58"/>
      <c r="J350" s="59" t="s">
        <v>256</v>
      </c>
      <c r="K350" s="58"/>
      <c r="L350" s="58"/>
      <c r="M350" s="58"/>
      <c r="N350" s="59" t="s">
        <v>164</v>
      </c>
      <c r="O350" s="58"/>
      <c r="P350" s="56"/>
      <c r="Q350" s="58"/>
      <c r="R350" s="58"/>
      <c r="S350" s="58"/>
      <c r="T350" s="10">
        <f t="shared" si="1"/>
        <v>2</v>
      </c>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row>
    <row r="351">
      <c r="A351" s="56" t="s">
        <v>599</v>
      </c>
      <c r="B351" s="57"/>
      <c r="C351" s="58"/>
      <c r="D351" s="58"/>
      <c r="E351" s="58"/>
      <c r="F351" s="58"/>
      <c r="G351" s="58"/>
      <c r="H351" s="56" t="s">
        <v>600</v>
      </c>
      <c r="I351" s="58"/>
      <c r="J351" s="59" t="s">
        <v>256</v>
      </c>
      <c r="K351" s="58"/>
      <c r="L351" s="58"/>
      <c r="M351" s="58"/>
      <c r="N351" s="59" t="s">
        <v>164</v>
      </c>
      <c r="O351" s="58"/>
      <c r="P351" s="56"/>
      <c r="Q351" s="58"/>
      <c r="R351" s="58"/>
      <c r="S351" s="58"/>
      <c r="T351" s="10">
        <f t="shared" si="1"/>
        <v>2</v>
      </c>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row>
    <row r="352">
      <c r="A352" s="56" t="s">
        <v>522</v>
      </c>
      <c r="B352" s="57"/>
      <c r="C352" s="58"/>
      <c r="D352" s="58"/>
      <c r="E352" s="58"/>
      <c r="F352" s="58"/>
      <c r="G352" s="58"/>
      <c r="H352" s="56"/>
      <c r="I352" s="58"/>
      <c r="J352" s="59" t="s">
        <v>256</v>
      </c>
      <c r="K352" s="58"/>
      <c r="L352" s="58"/>
      <c r="M352" s="58"/>
      <c r="N352" s="59" t="s">
        <v>164</v>
      </c>
      <c r="O352" s="58"/>
      <c r="P352" s="56"/>
      <c r="Q352" s="58"/>
      <c r="R352" s="58"/>
      <c r="S352" s="58"/>
      <c r="T352" s="10">
        <f t="shared" si="1"/>
        <v>2</v>
      </c>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row>
    <row r="353">
      <c r="A353" s="56" t="s">
        <v>533</v>
      </c>
      <c r="B353" s="57"/>
      <c r="C353" s="58"/>
      <c r="D353" s="58"/>
      <c r="E353" s="58"/>
      <c r="F353" s="58"/>
      <c r="G353" s="58"/>
      <c r="H353" s="56" t="s">
        <v>534</v>
      </c>
      <c r="I353" s="58"/>
      <c r="J353" s="59" t="s">
        <v>256</v>
      </c>
      <c r="K353" s="58"/>
      <c r="L353" s="58"/>
      <c r="M353" s="58"/>
      <c r="N353" s="58"/>
      <c r="O353" s="58"/>
      <c r="P353" s="56"/>
      <c r="Q353" s="58"/>
      <c r="R353" s="58"/>
      <c r="S353" s="58"/>
      <c r="T353" s="10">
        <f t="shared" si="1"/>
        <v>1</v>
      </c>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row>
    <row r="354">
      <c r="A354" s="56" t="s">
        <v>620</v>
      </c>
      <c r="B354" s="57"/>
      <c r="C354" s="58"/>
      <c r="D354" s="58"/>
      <c r="E354" s="58"/>
      <c r="F354" s="58"/>
      <c r="G354" s="58"/>
      <c r="H354" s="56"/>
      <c r="I354" s="58"/>
      <c r="J354" s="59" t="s">
        <v>256</v>
      </c>
      <c r="K354" s="58"/>
      <c r="L354" s="58"/>
      <c r="M354" s="58"/>
      <c r="N354" s="58"/>
      <c r="O354" s="58"/>
      <c r="P354" s="56"/>
      <c r="Q354" s="58"/>
      <c r="R354" s="58"/>
      <c r="S354" s="58"/>
      <c r="T354" s="10">
        <f t="shared" si="1"/>
        <v>1</v>
      </c>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row>
    <row r="355">
      <c r="A355" s="56" t="s">
        <v>621</v>
      </c>
      <c r="B355" s="57"/>
      <c r="C355" s="58"/>
      <c r="D355" s="58"/>
      <c r="E355" s="58"/>
      <c r="F355" s="58"/>
      <c r="G355" s="58"/>
      <c r="H355" s="56"/>
      <c r="I355" s="58"/>
      <c r="J355" s="59" t="s">
        <v>256</v>
      </c>
      <c r="K355" s="58"/>
      <c r="L355" s="58"/>
      <c r="M355" s="58"/>
      <c r="N355" s="58"/>
      <c r="O355" s="58"/>
      <c r="P355" s="56"/>
      <c r="Q355" s="58"/>
      <c r="R355" s="58"/>
      <c r="S355" s="58"/>
      <c r="T355" s="10">
        <f t="shared" si="1"/>
        <v>1</v>
      </c>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row>
    <row r="356">
      <c r="A356" s="56" t="s">
        <v>684</v>
      </c>
      <c r="B356" s="57"/>
      <c r="C356" s="58"/>
      <c r="D356" s="58"/>
      <c r="E356" s="58"/>
      <c r="F356" s="58"/>
      <c r="G356" s="58"/>
      <c r="H356" s="56" t="s">
        <v>685</v>
      </c>
      <c r="I356" s="58"/>
      <c r="J356" s="59" t="s">
        <v>77</v>
      </c>
      <c r="K356" s="58"/>
      <c r="L356" s="59" t="s">
        <v>193</v>
      </c>
      <c r="M356" s="56"/>
      <c r="N356" s="58"/>
      <c r="O356" s="58"/>
      <c r="P356" s="56"/>
      <c r="Q356" s="58"/>
      <c r="R356" s="58"/>
      <c r="S356" s="58"/>
      <c r="T356" s="10">
        <f t="shared" si="1"/>
        <v>2</v>
      </c>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row>
    <row r="357">
      <c r="A357" s="56" t="s">
        <v>686</v>
      </c>
      <c r="B357" s="57"/>
      <c r="C357" s="58"/>
      <c r="D357" s="58"/>
      <c r="E357" s="58"/>
      <c r="F357" s="58"/>
      <c r="G357" s="58"/>
      <c r="H357" s="56"/>
      <c r="I357" s="58"/>
      <c r="J357" s="56"/>
      <c r="K357" s="59" t="s">
        <v>122</v>
      </c>
      <c r="L357" s="59" t="s">
        <v>193</v>
      </c>
      <c r="M357" s="56"/>
      <c r="N357" s="58"/>
      <c r="O357" s="58"/>
      <c r="P357" s="56"/>
      <c r="Q357" s="58"/>
      <c r="R357" s="58"/>
      <c r="S357" s="58"/>
      <c r="T357" s="10">
        <f t="shared" si="1"/>
        <v>2</v>
      </c>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row>
    <row r="358">
      <c r="A358" s="56" t="s">
        <v>687</v>
      </c>
      <c r="B358" s="57"/>
      <c r="C358" s="58"/>
      <c r="D358" s="58"/>
      <c r="E358" s="58"/>
      <c r="F358" s="58"/>
      <c r="G358" s="58"/>
      <c r="H358" s="56"/>
      <c r="I358" s="58"/>
      <c r="J358" s="56"/>
      <c r="K358" s="59" t="s">
        <v>122</v>
      </c>
      <c r="L358" s="59" t="s">
        <v>193</v>
      </c>
      <c r="M358" s="56"/>
      <c r="N358" s="58"/>
      <c r="O358" s="58"/>
      <c r="P358" s="56"/>
      <c r="Q358" s="58"/>
      <c r="R358" s="58"/>
      <c r="S358" s="58"/>
      <c r="T358" s="10">
        <f t="shared" si="1"/>
        <v>2</v>
      </c>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row>
    <row r="359">
      <c r="A359" s="56" t="s">
        <v>688</v>
      </c>
      <c r="B359" s="57"/>
      <c r="C359" s="58"/>
      <c r="D359" s="58"/>
      <c r="E359" s="58"/>
      <c r="F359" s="58"/>
      <c r="G359" s="58"/>
      <c r="H359" s="56"/>
      <c r="I359" s="58"/>
      <c r="J359" s="56"/>
      <c r="K359" s="59" t="s">
        <v>122</v>
      </c>
      <c r="L359" s="59" t="s">
        <v>193</v>
      </c>
      <c r="M359" s="56"/>
      <c r="N359" s="58"/>
      <c r="O359" s="58"/>
      <c r="P359" s="56"/>
      <c r="Q359" s="58"/>
      <c r="R359" s="58"/>
      <c r="S359" s="58"/>
      <c r="T359" s="10">
        <f t="shared" si="1"/>
        <v>2</v>
      </c>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row>
    <row r="360">
      <c r="A360" s="55" t="s">
        <v>57</v>
      </c>
      <c r="B360" s="55"/>
      <c r="C360" s="55"/>
      <c r="D360" s="55"/>
      <c r="E360" s="55"/>
      <c r="F360" s="55"/>
      <c r="G360" s="55"/>
      <c r="H360" s="55"/>
      <c r="I360" s="55"/>
      <c r="J360" s="55"/>
      <c r="K360" s="55"/>
      <c r="L360" s="55"/>
      <c r="M360" s="55"/>
      <c r="N360" s="55"/>
      <c r="O360" s="55"/>
      <c r="P360" s="55"/>
      <c r="Q360" s="55"/>
      <c r="R360" s="55"/>
      <c r="S360" s="55"/>
      <c r="T360" s="10">
        <f t="shared" si="1"/>
        <v>0</v>
      </c>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row>
    <row r="361">
      <c r="A361" s="56" t="s">
        <v>689</v>
      </c>
      <c r="B361" s="57"/>
      <c r="C361" s="58"/>
      <c r="D361" s="58"/>
      <c r="E361" s="58"/>
      <c r="F361" s="58"/>
      <c r="G361" s="58"/>
      <c r="H361" s="56" t="s">
        <v>690</v>
      </c>
      <c r="I361" s="59" t="s">
        <v>209</v>
      </c>
      <c r="J361" s="58"/>
      <c r="K361" s="58"/>
      <c r="L361" s="58"/>
      <c r="M361" s="58"/>
      <c r="N361" s="58"/>
      <c r="O361" s="58"/>
      <c r="P361" s="58"/>
      <c r="Q361" s="58"/>
      <c r="R361" s="58"/>
      <c r="S361" s="58"/>
      <c r="T361" s="10">
        <f t="shared" si="1"/>
        <v>1</v>
      </c>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row>
    <row r="362" ht="3.75" customHeight="1">
      <c r="A362" s="55"/>
      <c r="B362" s="55"/>
      <c r="C362" s="55"/>
      <c r="D362" s="55"/>
      <c r="E362" s="55"/>
      <c r="F362" s="55"/>
      <c r="G362" s="55"/>
      <c r="H362" s="55"/>
      <c r="I362" s="55"/>
      <c r="J362" s="55"/>
      <c r="K362" s="55"/>
      <c r="L362" s="55"/>
      <c r="M362" s="55"/>
      <c r="N362" s="55"/>
      <c r="O362" s="55"/>
      <c r="P362" s="55"/>
      <c r="Q362" s="55"/>
      <c r="R362" s="55"/>
      <c r="S362" s="55"/>
      <c r="T362" s="10">
        <f t="shared" si="1"/>
        <v>0</v>
      </c>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row>
    <row r="363">
      <c r="A363" s="56" t="s">
        <v>691</v>
      </c>
      <c r="B363" s="57"/>
      <c r="C363" s="58"/>
      <c r="D363" s="58"/>
      <c r="E363" s="58"/>
      <c r="F363" s="58"/>
      <c r="G363" s="56" t="s">
        <v>692</v>
      </c>
      <c r="H363" s="58"/>
      <c r="I363" s="56"/>
      <c r="J363" s="58"/>
      <c r="K363" s="58"/>
      <c r="L363" s="58"/>
      <c r="M363" s="58"/>
      <c r="N363" s="58"/>
      <c r="O363" s="56"/>
      <c r="P363" s="56"/>
      <c r="Q363" s="58"/>
      <c r="R363" s="58"/>
      <c r="S363" s="56" t="s">
        <v>693</v>
      </c>
      <c r="T363" s="10">
        <f t="shared" si="1"/>
        <v>1</v>
      </c>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row>
    <row r="364">
      <c r="A364" s="55" t="s">
        <v>58</v>
      </c>
      <c r="B364" s="55"/>
      <c r="C364" s="55"/>
      <c r="D364" s="55"/>
      <c r="E364" s="55"/>
      <c r="F364" s="55"/>
      <c r="G364" s="55"/>
      <c r="H364" s="55"/>
      <c r="I364" s="55"/>
      <c r="J364" s="55"/>
      <c r="K364" s="55"/>
      <c r="L364" s="55"/>
      <c r="M364" s="55"/>
      <c r="N364" s="55"/>
      <c r="O364" s="55"/>
      <c r="P364" s="55"/>
      <c r="Q364" s="55"/>
      <c r="R364" s="55"/>
      <c r="S364" s="55"/>
      <c r="T364" s="10">
        <f t="shared" si="1"/>
        <v>0</v>
      </c>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row>
    <row r="365">
      <c r="A365" s="56" t="s">
        <v>694</v>
      </c>
      <c r="B365" s="57"/>
      <c r="C365" s="58"/>
      <c r="D365" s="58"/>
      <c r="E365" s="58"/>
      <c r="F365" s="58"/>
      <c r="G365" s="58"/>
      <c r="H365" s="58"/>
      <c r="I365" s="59" t="s">
        <v>209</v>
      </c>
      <c r="J365" s="58"/>
      <c r="K365" s="58"/>
      <c r="L365" s="58"/>
      <c r="M365" s="58"/>
      <c r="N365" s="58"/>
      <c r="O365" s="58"/>
      <c r="P365" s="58"/>
      <c r="Q365" s="58"/>
      <c r="R365" s="58"/>
      <c r="S365" s="56"/>
      <c r="T365" s="10">
        <f t="shared" si="1"/>
        <v>1</v>
      </c>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row>
    <row r="366" ht="3.75" customHeight="1">
      <c r="A366" s="55"/>
      <c r="B366" s="55"/>
      <c r="C366" s="55"/>
      <c r="D366" s="55"/>
      <c r="E366" s="55"/>
      <c r="F366" s="55"/>
      <c r="G366" s="55"/>
      <c r="H366" s="55"/>
      <c r="I366" s="55"/>
      <c r="J366" s="55"/>
      <c r="K366" s="55"/>
      <c r="L366" s="55"/>
      <c r="M366" s="55"/>
      <c r="N366" s="55"/>
      <c r="O366" s="55"/>
      <c r="P366" s="55"/>
      <c r="Q366" s="55"/>
      <c r="R366" s="55"/>
      <c r="S366" s="55"/>
      <c r="T366" s="10">
        <f t="shared" si="1"/>
        <v>0</v>
      </c>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row>
    <row r="367">
      <c r="A367" s="56" t="s">
        <v>695</v>
      </c>
      <c r="B367" s="57"/>
      <c r="C367" s="58"/>
      <c r="D367" s="58"/>
      <c r="E367" s="58"/>
      <c r="F367" s="58"/>
      <c r="G367" s="58"/>
      <c r="H367" s="58"/>
      <c r="I367" s="56"/>
      <c r="J367" s="58"/>
      <c r="K367" s="58"/>
      <c r="L367" s="59" t="s">
        <v>193</v>
      </c>
      <c r="M367" s="56"/>
      <c r="N367" s="58"/>
      <c r="O367" s="58"/>
      <c r="P367" s="58"/>
      <c r="Q367" s="58"/>
      <c r="R367" s="56"/>
      <c r="S367" s="56"/>
      <c r="T367" s="10">
        <f t="shared" si="1"/>
        <v>1</v>
      </c>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row>
    <row r="368">
      <c r="A368" s="56" t="s">
        <v>696</v>
      </c>
      <c r="B368" s="57"/>
      <c r="C368" s="58"/>
      <c r="D368" s="58"/>
      <c r="E368" s="58"/>
      <c r="F368" s="58"/>
      <c r="G368" s="58"/>
      <c r="H368" s="56" t="s">
        <v>697</v>
      </c>
      <c r="I368" s="56"/>
      <c r="J368" s="58"/>
      <c r="K368" s="58"/>
      <c r="L368" s="59" t="s">
        <v>193</v>
      </c>
      <c r="M368" s="56"/>
      <c r="N368" s="58"/>
      <c r="O368" s="58"/>
      <c r="P368" s="58"/>
      <c r="Q368" s="58"/>
      <c r="R368" s="56"/>
      <c r="S368" s="56"/>
      <c r="T368" s="10">
        <f t="shared" si="1"/>
        <v>1</v>
      </c>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row>
    <row r="369">
      <c r="A369" s="56" t="s">
        <v>698</v>
      </c>
      <c r="B369" s="57"/>
      <c r="C369" s="58"/>
      <c r="D369" s="58"/>
      <c r="E369" s="58"/>
      <c r="F369" s="58"/>
      <c r="G369" s="58"/>
      <c r="H369" s="58"/>
      <c r="I369" s="56"/>
      <c r="J369" s="58"/>
      <c r="K369" s="58"/>
      <c r="L369" s="58"/>
      <c r="M369" s="58"/>
      <c r="N369" s="58"/>
      <c r="O369" s="58"/>
      <c r="P369" s="58"/>
      <c r="Q369" s="58"/>
      <c r="R369" s="56" t="s">
        <v>102</v>
      </c>
      <c r="S369" s="56"/>
      <c r="T369" s="10">
        <f t="shared" si="1"/>
        <v>1</v>
      </c>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row>
    <row r="370">
      <c r="A370" s="56" t="s">
        <v>699</v>
      </c>
      <c r="B370" s="57"/>
      <c r="C370" s="58"/>
      <c r="D370" s="58"/>
      <c r="E370" s="58"/>
      <c r="F370" s="58"/>
      <c r="G370" s="58"/>
      <c r="H370" s="58"/>
      <c r="I370" s="56"/>
      <c r="J370" s="58"/>
      <c r="K370" s="58"/>
      <c r="L370" s="58"/>
      <c r="M370" s="58"/>
      <c r="N370" s="58"/>
      <c r="O370" s="58"/>
      <c r="P370" s="59" t="s">
        <v>538</v>
      </c>
      <c r="Q370" s="58"/>
      <c r="R370" s="56"/>
      <c r="S370" s="56"/>
      <c r="T370" s="10">
        <f t="shared" si="1"/>
        <v>1</v>
      </c>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row>
    <row r="371">
      <c r="A371" s="56" t="s">
        <v>700</v>
      </c>
      <c r="B371" s="57"/>
      <c r="C371" s="58"/>
      <c r="D371" s="58"/>
      <c r="E371" s="58"/>
      <c r="F371" s="58"/>
      <c r="G371" s="58"/>
      <c r="H371" s="58"/>
      <c r="I371" s="56"/>
      <c r="J371" s="58"/>
      <c r="K371" s="58"/>
      <c r="L371" s="58"/>
      <c r="M371" s="58"/>
      <c r="N371" s="58"/>
      <c r="O371" s="58"/>
      <c r="P371" s="59" t="s">
        <v>268</v>
      </c>
      <c r="Q371" s="58"/>
      <c r="R371" s="56"/>
      <c r="S371" s="56"/>
      <c r="T371" s="10">
        <f t="shared" si="1"/>
        <v>1</v>
      </c>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row>
    <row r="372">
      <c r="A372" s="56" t="s">
        <v>701</v>
      </c>
      <c r="B372" s="57"/>
      <c r="C372" s="58"/>
      <c r="D372" s="58"/>
      <c r="E372" s="58"/>
      <c r="F372" s="58"/>
      <c r="G372" s="58"/>
      <c r="H372" s="58"/>
      <c r="I372" s="56"/>
      <c r="J372" s="58"/>
      <c r="K372" s="58"/>
      <c r="L372" s="58"/>
      <c r="M372" s="58"/>
      <c r="N372" s="59" t="s">
        <v>164</v>
      </c>
      <c r="O372" s="58"/>
      <c r="P372" s="56"/>
      <c r="Q372" s="58"/>
      <c r="R372" s="56"/>
      <c r="S372" s="56"/>
      <c r="T372" s="10">
        <f t="shared" si="1"/>
        <v>1</v>
      </c>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row>
    <row r="373">
      <c r="A373" s="62"/>
      <c r="B373" s="63"/>
      <c r="C373" s="62"/>
      <c r="D373" s="62"/>
      <c r="E373" s="62"/>
      <c r="F373" s="62"/>
      <c r="G373" s="62"/>
      <c r="H373" s="62"/>
      <c r="I373" s="62"/>
      <c r="J373" s="62"/>
      <c r="K373" s="62"/>
      <c r="L373" s="62"/>
      <c r="M373" s="62"/>
      <c r="N373" s="62"/>
      <c r="O373" s="62"/>
      <c r="P373" s="62"/>
      <c r="Q373" s="62"/>
      <c r="R373" s="62"/>
      <c r="S373" s="62"/>
      <c r="T373" s="10">
        <f t="shared" si="1"/>
        <v>0</v>
      </c>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row>
    <row r="374">
      <c r="A374" s="62"/>
      <c r="B374" s="63"/>
      <c r="C374" s="62"/>
      <c r="D374" s="62"/>
      <c r="E374" s="62"/>
      <c r="F374" s="62"/>
      <c r="G374" s="62"/>
      <c r="H374" s="62"/>
      <c r="I374" s="62"/>
      <c r="J374" s="62"/>
      <c r="K374" s="62"/>
      <c r="L374" s="62"/>
      <c r="M374" s="62"/>
      <c r="N374" s="62"/>
      <c r="O374" s="62"/>
      <c r="P374" s="62"/>
      <c r="Q374" s="62"/>
      <c r="R374" s="62"/>
      <c r="S374" s="62"/>
      <c r="T374" s="10">
        <f t="shared" si="1"/>
        <v>0</v>
      </c>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row>
    <row r="375">
      <c r="A375" s="62"/>
      <c r="B375" s="63"/>
      <c r="C375" s="62"/>
      <c r="D375" s="62"/>
      <c r="E375" s="62"/>
      <c r="F375" s="62"/>
      <c r="G375" s="62"/>
      <c r="H375" s="62"/>
      <c r="I375" s="62"/>
      <c r="J375" s="62"/>
      <c r="K375" s="62"/>
      <c r="L375" s="62"/>
      <c r="M375" s="62"/>
      <c r="N375" s="62"/>
      <c r="O375" s="62"/>
      <c r="P375" s="62"/>
      <c r="Q375" s="62"/>
      <c r="R375" s="62"/>
      <c r="S375" s="62"/>
      <c r="T375" s="10">
        <f t="shared" si="1"/>
        <v>0</v>
      </c>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row>
    <row r="376">
      <c r="A376" s="62"/>
      <c r="B376" s="63"/>
      <c r="C376" s="62"/>
      <c r="D376" s="62"/>
      <c r="E376" s="62"/>
      <c r="F376" s="62"/>
      <c r="G376" s="62"/>
      <c r="H376" s="62"/>
      <c r="I376" s="62"/>
      <c r="J376" s="62"/>
      <c r="K376" s="62"/>
      <c r="L376" s="62"/>
      <c r="M376" s="62"/>
      <c r="N376" s="62"/>
      <c r="O376" s="62"/>
      <c r="P376" s="62"/>
      <c r="Q376" s="62"/>
      <c r="R376" s="62"/>
      <c r="S376" s="62"/>
      <c r="T376" s="10">
        <f t="shared" si="1"/>
        <v>0</v>
      </c>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row>
    <row r="377">
      <c r="A377" s="62"/>
      <c r="B377" s="63"/>
      <c r="C377" s="62"/>
      <c r="D377" s="62"/>
      <c r="E377" s="62"/>
      <c r="F377" s="62"/>
      <c r="G377" s="62"/>
      <c r="H377" s="62"/>
      <c r="I377" s="62"/>
      <c r="J377" s="62"/>
      <c r="K377" s="62"/>
      <c r="L377" s="62"/>
      <c r="M377" s="62"/>
      <c r="N377" s="62"/>
      <c r="O377" s="62"/>
      <c r="P377" s="62"/>
      <c r="Q377" s="62"/>
      <c r="R377" s="62"/>
      <c r="S377" s="62"/>
      <c r="T377" s="10">
        <f t="shared" si="1"/>
        <v>0</v>
      </c>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row>
    <row r="378">
      <c r="A378" s="62"/>
      <c r="B378" s="63"/>
      <c r="C378" s="62"/>
      <c r="D378" s="62"/>
      <c r="E378" s="62"/>
      <c r="F378" s="62"/>
      <c r="G378" s="62"/>
      <c r="H378" s="62"/>
      <c r="I378" s="62"/>
      <c r="J378" s="62"/>
      <c r="K378" s="62"/>
      <c r="L378" s="62"/>
      <c r="M378" s="62"/>
      <c r="N378" s="62"/>
      <c r="O378" s="62"/>
      <c r="P378" s="62"/>
      <c r="Q378" s="62"/>
      <c r="R378" s="62"/>
      <c r="S378" s="62"/>
      <c r="T378" s="10">
        <f t="shared" si="1"/>
        <v>0</v>
      </c>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row>
    <row r="379">
      <c r="A379" s="62"/>
      <c r="B379" s="63"/>
      <c r="C379" s="62"/>
      <c r="D379" s="62"/>
      <c r="E379" s="62"/>
      <c r="F379" s="62"/>
      <c r="G379" s="62"/>
      <c r="H379" s="62"/>
      <c r="I379" s="62"/>
      <c r="J379" s="62"/>
      <c r="K379" s="62"/>
      <c r="L379" s="62"/>
      <c r="M379" s="62"/>
      <c r="N379" s="62"/>
      <c r="O379" s="62"/>
      <c r="P379" s="62"/>
      <c r="Q379" s="62"/>
      <c r="R379" s="62"/>
      <c r="S379" s="62"/>
      <c r="T379" s="10">
        <f t="shared" si="1"/>
        <v>0</v>
      </c>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row>
    <row r="380">
      <c r="A380" s="62"/>
      <c r="B380" s="63"/>
      <c r="C380" s="62"/>
      <c r="D380" s="62"/>
      <c r="E380" s="62"/>
      <c r="F380" s="62"/>
      <c r="G380" s="62"/>
      <c r="H380" s="62"/>
      <c r="I380" s="62"/>
      <c r="J380" s="62"/>
      <c r="K380" s="62"/>
      <c r="L380" s="62"/>
      <c r="M380" s="62"/>
      <c r="N380" s="62"/>
      <c r="O380" s="62"/>
      <c r="P380" s="62"/>
      <c r="Q380" s="62"/>
      <c r="R380" s="62"/>
      <c r="S380" s="62"/>
      <c r="T380" s="10">
        <f t="shared" si="1"/>
        <v>0</v>
      </c>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row>
    <row r="381">
      <c r="A381" s="62"/>
      <c r="B381" s="63"/>
      <c r="C381" s="62"/>
      <c r="D381" s="62"/>
      <c r="E381" s="62"/>
      <c r="F381" s="62"/>
      <c r="G381" s="62"/>
      <c r="H381" s="62"/>
      <c r="I381" s="62"/>
      <c r="J381" s="62"/>
      <c r="K381" s="62"/>
      <c r="L381" s="62"/>
      <c r="M381" s="62"/>
      <c r="N381" s="62"/>
      <c r="O381" s="62"/>
      <c r="P381" s="62"/>
      <c r="Q381" s="62"/>
      <c r="R381" s="62"/>
      <c r="S381" s="62"/>
      <c r="T381" s="10">
        <f t="shared" si="1"/>
        <v>0</v>
      </c>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row>
    <row r="382">
      <c r="A382" s="62"/>
      <c r="B382" s="63"/>
      <c r="C382" s="62"/>
      <c r="D382" s="62"/>
      <c r="E382" s="62"/>
      <c r="F382" s="62"/>
      <c r="G382" s="62"/>
      <c r="H382" s="62"/>
      <c r="I382" s="62"/>
      <c r="J382" s="62"/>
      <c r="K382" s="62"/>
      <c r="L382" s="62"/>
      <c r="M382" s="62"/>
      <c r="N382" s="62"/>
      <c r="O382" s="62"/>
      <c r="P382" s="62"/>
      <c r="Q382" s="62"/>
      <c r="R382" s="62"/>
      <c r="S382" s="62"/>
      <c r="T382" s="10">
        <f t="shared" si="1"/>
        <v>0</v>
      </c>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row>
    <row r="383">
      <c r="A383" s="62"/>
      <c r="B383" s="63"/>
      <c r="C383" s="62"/>
      <c r="D383" s="62"/>
      <c r="E383" s="62"/>
      <c r="F383" s="62"/>
      <c r="G383" s="62"/>
      <c r="H383" s="62"/>
      <c r="I383" s="62"/>
      <c r="J383" s="62"/>
      <c r="K383" s="62"/>
      <c r="L383" s="62"/>
      <c r="M383" s="62"/>
      <c r="N383" s="62"/>
      <c r="O383" s="62"/>
      <c r="P383" s="62"/>
      <c r="Q383" s="62"/>
      <c r="R383" s="62"/>
      <c r="S383" s="62"/>
      <c r="T383" s="10">
        <f t="shared" si="1"/>
        <v>0</v>
      </c>
      <c r="U383" s="62"/>
      <c r="V383" s="62"/>
      <c r="W383" s="62"/>
      <c r="X383" s="62"/>
      <c r="Y383" s="62"/>
      <c r="Z383" s="62"/>
      <c r="AA383" s="62"/>
      <c r="AB383" s="62"/>
      <c r="AC383" s="62"/>
      <c r="AD383" s="62"/>
      <c r="AE383" s="62"/>
      <c r="AF383" s="62"/>
      <c r="AG383" s="62"/>
      <c r="AH383" s="62"/>
      <c r="AI383" s="62"/>
      <c r="AJ383" s="62"/>
      <c r="AK383" s="62"/>
      <c r="AL383" s="62"/>
      <c r="AM383" s="62"/>
      <c r="AN383" s="62"/>
      <c r="AO383" s="62"/>
      <c r="AP383" s="62"/>
      <c r="AQ383" s="62"/>
    </row>
    <row r="384">
      <c r="A384" s="62"/>
      <c r="B384" s="63"/>
      <c r="C384" s="62"/>
      <c r="D384" s="62"/>
      <c r="E384" s="62"/>
      <c r="F384" s="62"/>
      <c r="G384" s="62"/>
      <c r="H384" s="62"/>
      <c r="I384" s="62"/>
      <c r="J384" s="62"/>
      <c r="K384" s="62"/>
      <c r="L384" s="62"/>
      <c r="M384" s="62"/>
      <c r="N384" s="62"/>
      <c r="O384" s="62"/>
      <c r="P384" s="62"/>
      <c r="Q384" s="62"/>
      <c r="R384" s="62"/>
      <c r="S384" s="62"/>
      <c r="T384" s="10">
        <f t="shared" si="1"/>
        <v>0</v>
      </c>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row>
    <row r="385">
      <c r="A385" s="62"/>
      <c r="B385" s="63"/>
      <c r="C385" s="62"/>
      <c r="D385" s="62"/>
      <c r="E385" s="62"/>
      <c r="F385" s="62"/>
      <c r="G385" s="62"/>
      <c r="H385" s="62"/>
      <c r="I385" s="62"/>
      <c r="J385" s="62"/>
      <c r="K385" s="62"/>
      <c r="L385" s="62"/>
      <c r="M385" s="62"/>
      <c r="N385" s="62"/>
      <c r="O385" s="62"/>
      <c r="P385" s="62"/>
      <c r="Q385" s="62"/>
      <c r="R385" s="62"/>
      <c r="S385" s="62"/>
      <c r="T385" s="10">
        <f t="shared" si="1"/>
        <v>0</v>
      </c>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row>
    <row r="386">
      <c r="A386" s="62"/>
      <c r="B386" s="63"/>
      <c r="C386" s="62"/>
      <c r="D386" s="62"/>
      <c r="E386" s="62"/>
      <c r="F386" s="62"/>
      <c r="G386" s="62"/>
      <c r="H386" s="62"/>
      <c r="I386" s="62"/>
      <c r="J386" s="62"/>
      <c r="K386" s="62"/>
      <c r="L386" s="62"/>
      <c r="M386" s="62"/>
      <c r="N386" s="62"/>
      <c r="O386" s="62"/>
      <c r="P386" s="62"/>
      <c r="Q386" s="62"/>
      <c r="R386" s="62"/>
      <c r="S386" s="62"/>
      <c r="T386" s="10">
        <f t="shared" si="1"/>
        <v>0</v>
      </c>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row>
    <row r="387">
      <c r="A387" s="62"/>
      <c r="B387" s="63"/>
      <c r="C387" s="62"/>
      <c r="D387" s="62"/>
      <c r="E387" s="62"/>
      <c r="F387" s="62"/>
      <c r="G387" s="62"/>
      <c r="H387" s="62"/>
      <c r="I387" s="62"/>
      <c r="J387" s="62"/>
      <c r="K387" s="62"/>
      <c r="L387" s="62"/>
      <c r="M387" s="62"/>
      <c r="N387" s="62"/>
      <c r="O387" s="62"/>
      <c r="P387" s="62"/>
      <c r="Q387" s="62"/>
      <c r="R387" s="62"/>
      <c r="S387" s="62"/>
      <c r="T387" s="10">
        <f t="shared" si="1"/>
        <v>0</v>
      </c>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row>
    <row r="388">
      <c r="A388" s="62"/>
      <c r="B388" s="63"/>
      <c r="C388" s="62"/>
      <c r="D388" s="62"/>
      <c r="E388" s="62"/>
      <c r="F388" s="62"/>
      <c r="G388" s="62"/>
      <c r="H388" s="62"/>
      <c r="I388" s="62"/>
      <c r="J388" s="62"/>
      <c r="K388" s="62"/>
      <c r="L388" s="62"/>
      <c r="M388" s="62"/>
      <c r="N388" s="62"/>
      <c r="O388" s="62"/>
      <c r="P388" s="62"/>
      <c r="Q388" s="62"/>
      <c r="R388" s="62"/>
      <c r="S388" s="62"/>
      <c r="T388" s="10">
        <f t="shared" si="1"/>
        <v>0</v>
      </c>
      <c r="U388" s="62"/>
      <c r="V388" s="62"/>
      <c r="W388" s="62"/>
      <c r="X388" s="62"/>
      <c r="Y388" s="62"/>
      <c r="Z388" s="62"/>
      <c r="AA388" s="62"/>
      <c r="AB388" s="62"/>
      <c r="AC388" s="62"/>
      <c r="AD388" s="62"/>
      <c r="AE388" s="62"/>
      <c r="AF388" s="62"/>
      <c r="AG388" s="62"/>
      <c r="AH388" s="62"/>
      <c r="AI388" s="62"/>
      <c r="AJ388" s="62"/>
      <c r="AK388" s="62"/>
      <c r="AL388" s="62"/>
      <c r="AM388" s="62"/>
      <c r="AN388" s="62"/>
      <c r="AO388" s="62"/>
      <c r="AP388" s="62"/>
      <c r="AQ388" s="62"/>
    </row>
    <row r="389">
      <c r="A389" s="62"/>
      <c r="B389" s="63"/>
      <c r="C389" s="62"/>
      <c r="D389" s="62"/>
      <c r="E389" s="62"/>
      <c r="F389" s="62"/>
      <c r="G389" s="62"/>
      <c r="H389" s="62"/>
      <c r="I389" s="62"/>
      <c r="J389" s="62"/>
      <c r="K389" s="62"/>
      <c r="L389" s="62"/>
      <c r="M389" s="62"/>
      <c r="N389" s="62"/>
      <c r="O389" s="62"/>
      <c r="P389" s="62"/>
      <c r="Q389" s="62"/>
      <c r="R389" s="62"/>
      <c r="S389" s="62"/>
      <c r="T389" s="10">
        <f t="shared" si="1"/>
        <v>0</v>
      </c>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row>
    <row r="390">
      <c r="A390" s="62"/>
      <c r="B390" s="63"/>
      <c r="C390" s="62"/>
      <c r="D390" s="62"/>
      <c r="E390" s="62"/>
      <c r="F390" s="62"/>
      <c r="G390" s="62"/>
      <c r="H390" s="62"/>
      <c r="I390" s="62"/>
      <c r="J390" s="62"/>
      <c r="K390" s="62"/>
      <c r="L390" s="62"/>
      <c r="M390" s="62"/>
      <c r="N390" s="62"/>
      <c r="O390" s="62"/>
      <c r="P390" s="62"/>
      <c r="Q390" s="62"/>
      <c r="R390" s="62"/>
      <c r="S390" s="62"/>
      <c r="T390" s="10">
        <f t="shared" si="1"/>
        <v>0</v>
      </c>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row>
    <row r="391">
      <c r="A391" s="62"/>
      <c r="B391" s="63"/>
      <c r="C391" s="62"/>
      <c r="D391" s="62"/>
      <c r="E391" s="62"/>
      <c r="F391" s="62"/>
      <c r="G391" s="62"/>
      <c r="H391" s="62"/>
      <c r="I391" s="62"/>
      <c r="J391" s="62"/>
      <c r="K391" s="62"/>
      <c r="L391" s="62"/>
      <c r="M391" s="62"/>
      <c r="N391" s="62"/>
      <c r="O391" s="62"/>
      <c r="P391" s="62"/>
      <c r="Q391" s="62"/>
      <c r="R391" s="62"/>
      <c r="S391" s="62"/>
      <c r="T391" s="10">
        <f t="shared" si="1"/>
        <v>0</v>
      </c>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row>
    <row r="392">
      <c r="A392" s="62"/>
      <c r="B392" s="63"/>
      <c r="C392" s="62"/>
      <c r="D392" s="62"/>
      <c r="E392" s="62"/>
      <c r="F392" s="62"/>
      <c r="G392" s="62"/>
      <c r="H392" s="62"/>
      <c r="I392" s="62"/>
      <c r="J392" s="62"/>
      <c r="K392" s="62"/>
      <c r="L392" s="62"/>
      <c r="M392" s="62"/>
      <c r="N392" s="62"/>
      <c r="O392" s="62"/>
      <c r="P392" s="62"/>
      <c r="Q392" s="62"/>
      <c r="R392" s="62"/>
      <c r="S392" s="62"/>
      <c r="T392" s="10">
        <f t="shared" si="1"/>
        <v>0</v>
      </c>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row>
    <row r="393">
      <c r="A393" s="62"/>
      <c r="B393" s="63"/>
      <c r="C393" s="62"/>
      <c r="D393" s="62"/>
      <c r="E393" s="62"/>
      <c r="F393" s="62"/>
      <c r="G393" s="62"/>
      <c r="H393" s="62"/>
      <c r="I393" s="62"/>
      <c r="J393" s="62"/>
      <c r="K393" s="62"/>
      <c r="L393" s="62"/>
      <c r="M393" s="62"/>
      <c r="N393" s="62"/>
      <c r="O393" s="62"/>
      <c r="P393" s="62"/>
      <c r="Q393" s="62"/>
      <c r="R393" s="62"/>
      <c r="S393" s="62"/>
      <c r="T393" s="10">
        <f t="shared" si="1"/>
        <v>0</v>
      </c>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row>
    <row r="394">
      <c r="A394" s="62"/>
      <c r="B394" s="63"/>
      <c r="C394" s="62"/>
      <c r="D394" s="62"/>
      <c r="E394" s="62"/>
      <c r="F394" s="62"/>
      <c r="G394" s="62"/>
      <c r="H394" s="62"/>
      <c r="I394" s="62"/>
      <c r="J394" s="62"/>
      <c r="K394" s="62"/>
      <c r="L394" s="62"/>
      <c r="M394" s="62"/>
      <c r="N394" s="62"/>
      <c r="O394" s="62"/>
      <c r="P394" s="62"/>
      <c r="Q394" s="62"/>
      <c r="R394" s="62"/>
      <c r="S394" s="62"/>
      <c r="T394" s="10">
        <f t="shared" si="1"/>
        <v>0</v>
      </c>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row>
    <row r="395">
      <c r="A395" s="62"/>
      <c r="B395" s="63"/>
      <c r="C395" s="62"/>
      <c r="D395" s="62"/>
      <c r="E395" s="62"/>
      <c r="F395" s="62"/>
      <c r="G395" s="62"/>
      <c r="H395" s="62"/>
      <c r="I395" s="62"/>
      <c r="J395" s="62"/>
      <c r="K395" s="62"/>
      <c r="L395" s="62"/>
      <c r="M395" s="62"/>
      <c r="N395" s="62"/>
      <c r="O395" s="62"/>
      <c r="P395" s="62"/>
      <c r="Q395" s="62"/>
      <c r="R395" s="62"/>
      <c r="S395" s="62"/>
      <c r="T395" s="10">
        <f t="shared" si="1"/>
        <v>0</v>
      </c>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row>
    <row r="396">
      <c r="A396" s="62"/>
      <c r="B396" s="63"/>
      <c r="C396" s="62"/>
      <c r="D396" s="62"/>
      <c r="E396" s="62"/>
      <c r="F396" s="62"/>
      <c r="G396" s="62"/>
      <c r="H396" s="62"/>
      <c r="I396" s="62"/>
      <c r="J396" s="62"/>
      <c r="K396" s="62"/>
      <c r="L396" s="62"/>
      <c r="M396" s="62"/>
      <c r="N396" s="62"/>
      <c r="O396" s="62"/>
      <c r="P396" s="62"/>
      <c r="Q396" s="62"/>
      <c r="R396" s="62"/>
      <c r="S396" s="62"/>
      <c r="T396" s="10">
        <f t="shared" si="1"/>
        <v>0</v>
      </c>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row>
    <row r="397">
      <c r="A397" s="62"/>
      <c r="B397" s="63"/>
      <c r="C397" s="62"/>
      <c r="D397" s="62"/>
      <c r="E397" s="62"/>
      <c r="F397" s="62"/>
      <c r="G397" s="62"/>
      <c r="H397" s="62"/>
      <c r="I397" s="62"/>
      <c r="J397" s="62"/>
      <c r="K397" s="62"/>
      <c r="L397" s="62"/>
      <c r="M397" s="62"/>
      <c r="N397" s="62"/>
      <c r="O397" s="62"/>
      <c r="P397" s="62"/>
      <c r="Q397" s="62"/>
      <c r="R397" s="62"/>
      <c r="S397" s="62"/>
      <c r="T397" s="10">
        <f t="shared" si="1"/>
        <v>0</v>
      </c>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row>
    <row r="398">
      <c r="A398" s="62"/>
      <c r="B398" s="63"/>
      <c r="C398" s="62"/>
      <c r="D398" s="62"/>
      <c r="E398" s="62"/>
      <c r="F398" s="62"/>
      <c r="G398" s="62"/>
      <c r="H398" s="62"/>
      <c r="I398" s="62"/>
      <c r="J398" s="62"/>
      <c r="K398" s="62"/>
      <c r="L398" s="62"/>
      <c r="M398" s="62"/>
      <c r="N398" s="62"/>
      <c r="O398" s="62"/>
      <c r="P398" s="62"/>
      <c r="Q398" s="62"/>
      <c r="R398" s="62"/>
      <c r="S398" s="62"/>
      <c r="T398" s="10">
        <f t="shared" si="1"/>
        <v>0</v>
      </c>
      <c r="U398" s="62"/>
      <c r="V398" s="62"/>
      <c r="W398" s="62"/>
      <c r="X398" s="62"/>
      <c r="Y398" s="62"/>
      <c r="Z398" s="62"/>
      <c r="AA398" s="62"/>
      <c r="AB398" s="62"/>
      <c r="AC398" s="62"/>
      <c r="AD398" s="62"/>
      <c r="AE398" s="62"/>
      <c r="AF398" s="62"/>
      <c r="AG398" s="62"/>
      <c r="AH398" s="62"/>
      <c r="AI398" s="62"/>
      <c r="AJ398" s="62"/>
      <c r="AK398" s="62"/>
      <c r="AL398" s="62"/>
      <c r="AM398" s="62"/>
      <c r="AN398" s="62"/>
      <c r="AO398" s="62"/>
      <c r="AP398" s="62"/>
      <c r="AQ398" s="62"/>
    </row>
    <row r="399">
      <c r="A399" s="62"/>
      <c r="B399" s="63"/>
      <c r="C399" s="62"/>
      <c r="D399" s="62"/>
      <c r="E399" s="62"/>
      <c r="F399" s="62"/>
      <c r="G399" s="62"/>
      <c r="H399" s="62"/>
      <c r="I399" s="62"/>
      <c r="J399" s="62"/>
      <c r="K399" s="62"/>
      <c r="L399" s="62"/>
      <c r="M399" s="62"/>
      <c r="N399" s="62"/>
      <c r="O399" s="62"/>
      <c r="P399" s="62"/>
      <c r="Q399" s="62"/>
      <c r="R399" s="62"/>
      <c r="S399" s="62"/>
      <c r="T399" s="10">
        <f t="shared" si="1"/>
        <v>0</v>
      </c>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row>
    <row r="400">
      <c r="A400" s="62"/>
      <c r="B400" s="63"/>
      <c r="C400" s="62"/>
      <c r="D400" s="62"/>
      <c r="E400" s="62"/>
      <c r="F400" s="62"/>
      <c r="G400" s="62"/>
      <c r="H400" s="62"/>
      <c r="I400" s="62"/>
      <c r="J400" s="62"/>
      <c r="K400" s="62"/>
      <c r="L400" s="62"/>
      <c r="M400" s="62"/>
      <c r="N400" s="62"/>
      <c r="O400" s="62"/>
      <c r="P400" s="62"/>
      <c r="Q400" s="62"/>
      <c r="R400" s="62"/>
      <c r="S400" s="62"/>
      <c r="T400" s="10">
        <f t="shared" si="1"/>
        <v>0</v>
      </c>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row>
    <row r="401">
      <c r="A401" s="62"/>
      <c r="B401" s="63"/>
      <c r="C401" s="62"/>
      <c r="D401" s="62"/>
      <c r="E401" s="62"/>
      <c r="F401" s="62"/>
      <c r="G401" s="62"/>
      <c r="H401" s="62"/>
      <c r="I401" s="62"/>
      <c r="J401" s="62"/>
      <c r="K401" s="62"/>
      <c r="L401" s="62"/>
      <c r="M401" s="62"/>
      <c r="N401" s="62"/>
      <c r="O401" s="62"/>
      <c r="P401" s="62"/>
      <c r="Q401" s="62"/>
      <c r="R401" s="62"/>
      <c r="S401" s="62"/>
      <c r="T401" s="10">
        <f t="shared" si="1"/>
        <v>0</v>
      </c>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row>
    <row r="402">
      <c r="A402" s="62"/>
      <c r="B402" s="63"/>
      <c r="C402" s="62"/>
      <c r="D402" s="62"/>
      <c r="E402" s="62"/>
      <c r="F402" s="62"/>
      <c r="G402" s="62"/>
      <c r="H402" s="62"/>
      <c r="I402" s="62"/>
      <c r="J402" s="62"/>
      <c r="K402" s="62"/>
      <c r="L402" s="62"/>
      <c r="M402" s="62"/>
      <c r="N402" s="62"/>
      <c r="O402" s="62"/>
      <c r="P402" s="62"/>
      <c r="Q402" s="62"/>
      <c r="R402" s="62"/>
      <c r="S402" s="62"/>
      <c r="T402" s="10">
        <f t="shared" si="1"/>
        <v>0</v>
      </c>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row>
    <row r="403">
      <c r="A403" s="62"/>
      <c r="B403" s="63"/>
      <c r="C403" s="62"/>
      <c r="D403" s="62"/>
      <c r="E403" s="62"/>
      <c r="F403" s="62"/>
      <c r="G403" s="62"/>
      <c r="H403" s="62"/>
      <c r="I403" s="62"/>
      <c r="J403" s="62"/>
      <c r="K403" s="62"/>
      <c r="L403" s="62"/>
      <c r="M403" s="62"/>
      <c r="N403" s="62"/>
      <c r="O403" s="62"/>
      <c r="P403" s="62"/>
      <c r="Q403" s="62"/>
      <c r="R403" s="62"/>
      <c r="S403" s="62"/>
      <c r="T403" s="10">
        <f t="shared" si="1"/>
        <v>0</v>
      </c>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row>
    <row r="404">
      <c r="A404" s="62"/>
      <c r="B404" s="63"/>
      <c r="C404" s="62"/>
      <c r="D404" s="62"/>
      <c r="E404" s="62"/>
      <c r="F404" s="62"/>
      <c r="G404" s="62"/>
      <c r="H404" s="62"/>
      <c r="I404" s="62"/>
      <c r="J404" s="62"/>
      <c r="K404" s="62"/>
      <c r="L404" s="62"/>
      <c r="M404" s="62"/>
      <c r="N404" s="62"/>
      <c r="O404" s="62"/>
      <c r="P404" s="62"/>
      <c r="Q404" s="62"/>
      <c r="R404" s="62"/>
      <c r="S404" s="62"/>
      <c r="T404" s="10">
        <f t="shared" si="1"/>
        <v>0</v>
      </c>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row>
    <row r="405">
      <c r="A405" s="62"/>
      <c r="B405" s="63"/>
      <c r="C405" s="62"/>
      <c r="D405" s="62"/>
      <c r="E405" s="62"/>
      <c r="F405" s="62"/>
      <c r="G405" s="62"/>
      <c r="H405" s="62"/>
      <c r="I405" s="62"/>
      <c r="J405" s="62"/>
      <c r="K405" s="62"/>
      <c r="L405" s="62"/>
      <c r="M405" s="62"/>
      <c r="N405" s="62"/>
      <c r="O405" s="62"/>
      <c r="P405" s="62"/>
      <c r="Q405" s="62"/>
      <c r="R405" s="62"/>
      <c r="S405" s="62"/>
      <c r="T405" s="10">
        <f t="shared" si="1"/>
        <v>0</v>
      </c>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row>
    <row r="406">
      <c r="A406" s="62"/>
      <c r="B406" s="63"/>
      <c r="C406" s="62"/>
      <c r="D406" s="62"/>
      <c r="E406" s="62"/>
      <c r="F406" s="62"/>
      <c r="G406" s="62"/>
      <c r="H406" s="62"/>
      <c r="I406" s="62"/>
      <c r="J406" s="62"/>
      <c r="K406" s="62"/>
      <c r="L406" s="62"/>
      <c r="M406" s="62"/>
      <c r="N406" s="62"/>
      <c r="O406" s="62"/>
      <c r="P406" s="62"/>
      <c r="Q406" s="62"/>
      <c r="R406" s="62"/>
      <c r="S406" s="62"/>
      <c r="T406" s="10">
        <f t="shared" si="1"/>
        <v>0</v>
      </c>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row>
    <row r="407">
      <c r="A407" s="62"/>
      <c r="B407" s="63"/>
      <c r="C407" s="62"/>
      <c r="D407" s="62"/>
      <c r="E407" s="62"/>
      <c r="F407" s="62"/>
      <c r="G407" s="62"/>
      <c r="H407" s="62"/>
      <c r="I407" s="62"/>
      <c r="J407" s="62"/>
      <c r="K407" s="62"/>
      <c r="L407" s="62"/>
      <c r="M407" s="62"/>
      <c r="N407" s="62"/>
      <c r="O407" s="62"/>
      <c r="P407" s="62"/>
      <c r="Q407" s="62"/>
      <c r="R407" s="62"/>
      <c r="S407" s="62"/>
      <c r="T407" s="10">
        <f t="shared" si="1"/>
        <v>0</v>
      </c>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row>
    <row r="408">
      <c r="A408" s="62"/>
      <c r="B408" s="63"/>
      <c r="C408" s="62"/>
      <c r="D408" s="62"/>
      <c r="E408" s="62"/>
      <c r="F408" s="62"/>
      <c r="G408" s="62"/>
      <c r="H408" s="62"/>
      <c r="I408" s="62"/>
      <c r="J408" s="62"/>
      <c r="K408" s="62"/>
      <c r="L408" s="62"/>
      <c r="M408" s="62"/>
      <c r="N408" s="62"/>
      <c r="O408" s="62"/>
      <c r="P408" s="62"/>
      <c r="Q408" s="62"/>
      <c r="R408" s="62"/>
      <c r="S408" s="62"/>
      <c r="T408" s="10">
        <f t="shared" si="1"/>
        <v>0</v>
      </c>
      <c r="U408" s="62"/>
      <c r="V408" s="62"/>
      <c r="W408" s="62"/>
      <c r="X408" s="62"/>
      <c r="Y408" s="62"/>
      <c r="Z408" s="62"/>
      <c r="AA408" s="62"/>
      <c r="AB408" s="62"/>
      <c r="AC408" s="62"/>
      <c r="AD408" s="62"/>
      <c r="AE408" s="62"/>
      <c r="AF408" s="62"/>
      <c r="AG408" s="62"/>
      <c r="AH408" s="62"/>
      <c r="AI408" s="62"/>
      <c r="AJ408" s="62"/>
      <c r="AK408" s="62"/>
      <c r="AL408" s="62"/>
      <c r="AM408" s="62"/>
      <c r="AN408" s="62"/>
      <c r="AO408" s="62"/>
      <c r="AP408" s="62"/>
      <c r="AQ408" s="62"/>
    </row>
    <row r="409">
      <c r="A409" s="62"/>
      <c r="B409" s="63"/>
      <c r="C409" s="62"/>
      <c r="D409" s="62"/>
      <c r="E409" s="62"/>
      <c r="F409" s="62"/>
      <c r="G409" s="62"/>
      <c r="H409" s="62"/>
      <c r="I409" s="62"/>
      <c r="J409" s="62"/>
      <c r="K409" s="62"/>
      <c r="L409" s="62"/>
      <c r="M409" s="62"/>
      <c r="N409" s="62"/>
      <c r="O409" s="62"/>
      <c r="P409" s="62"/>
      <c r="Q409" s="62"/>
      <c r="R409" s="62"/>
      <c r="S409" s="62"/>
      <c r="T409" s="10">
        <f t="shared" si="1"/>
        <v>0</v>
      </c>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row>
    <row r="410">
      <c r="A410" s="62"/>
      <c r="B410" s="63"/>
      <c r="C410" s="62"/>
      <c r="D410" s="62"/>
      <c r="E410" s="62"/>
      <c r="F410" s="62"/>
      <c r="G410" s="62"/>
      <c r="H410" s="62"/>
      <c r="I410" s="62"/>
      <c r="J410" s="62"/>
      <c r="K410" s="62"/>
      <c r="L410" s="62"/>
      <c r="M410" s="62"/>
      <c r="N410" s="62"/>
      <c r="O410" s="62"/>
      <c r="P410" s="62"/>
      <c r="Q410" s="62"/>
      <c r="R410" s="62"/>
      <c r="S410" s="62"/>
      <c r="T410" s="10">
        <f t="shared" si="1"/>
        <v>0</v>
      </c>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row>
    <row r="411">
      <c r="A411" s="62"/>
      <c r="B411" s="63"/>
      <c r="C411" s="62"/>
      <c r="D411" s="62"/>
      <c r="E411" s="62"/>
      <c r="F411" s="62"/>
      <c r="G411" s="62"/>
      <c r="H411" s="62"/>
      <c r="I411" s="62"/>
      <c r="J411" s="62"/>
      <c r="K411" s="62"/>
      <c r="L411" s="62"/>
      <c r="M411" s="62"/>
      <c r="N411" s="62"/>
      <c r="O411" s="62"/>
      <c r="P411" s="62"/>
      <c r="Q411" s="62"/>
      <c r="R411" s="62"/>
      <c r="S411" s="62"/>
      <c r="T411" s="10">
        <f t="shared" si="1"/>
        <v>0</v>
      </c>
      <c r="U411" s="62"/>
      <c r="V411" s="62"/>
      <c r="W411" s="62"/>
      <c r="X411" s="62"/>
      <c r="Y411" s="62"/>
      <c r="Z411" s="62"/>
      <c r="AA411" s="62"/>
      <c r="AB411" s="62"/>
      <c r="AC411" s="62"/>
      <c r="AD411" s="62"/>
      <c r="AE411" s="62"/>
      <c r="AF411" s="62"/>
      <c r="AG411" s="62"/>
      <c r="AH411" s="62"/>
      <c r="AI411" s="62"/>
      <c r="AJ411" s="62"/>
      <c r="AK411" s="62"/>
      <c r="AL411" s="62"/>
      <c r="AM411" s="62"/>
      <c r="AN411" s="62"/>
      <c r="AO411" s="62"/>
      <c r="AP411" s="62"/>
      <c r="AQ411" s="62"/>
    </row>
    <row r="412">
      <c r="A412" s="62"/>
      <c r="B412" s="63"/>
      <c r="C412" s="62"/>
      <c r="D412" s="62"/>
      <c r="E412" s="62"/>
      <c r="F412" s="62"/>
      <c r="G412" s="62"/>
      <c r="H412" s="62"/>
      <c r="I412" s="62"/>
      <c r="J412" s="62"/>
      <c r="K412" s="62"/>
      <c r="L412" s="62"/>
      <c r="M412" s="62"/>
      <c r="N412" s="62"/>
      <c r="O412" s="62"/>
      <c r="P412" s="62"/>
      <c r="Q412" s="62"/>
      <c r="R412" s="62"/>
      <c r="S412" s="62"/>
      <c r="T412" s="10">
        <f t="shared" si="1"/>
        <v>0</v>
      </c>
      <c r="U412" s="62"/>
      <c r="V412" s="62"/>
      <c r="W412" s="62"/>
      <c r="X412" s="62"/>
      <c r="Y412" s="62"/>
      <c r="Z412" s="62"/>
      <c r="AA412" s="62"/>
      <c r="AB412" s="62"/>
      <c r="AC412" s="62"/>
      <c r="AD412" s="62"/>
      <c r="AE412" s="62"/>
      <c r="AF412" s="62"/>
      <c r="AG412" s="62"/>
      <c r="AH412" s="62"/>
      <c r="AI412" s="62"/>
      <c r="AJ412" s="62"/>
      <c r="AK412" s="62"/>
      <c r="AL412" s="62"/>
      <c r="AM412" s="62"/>
      <c r="AN412" s="62"/>
      <c r="AO412" s="62"/>
      <c r="AP412" s="62"/>
      <c r="AQ412" s="62"/>
    </row>
    <row r="413">
      <c r="A413" s="62"/>
      <c r="B413" s="63"/>
      <c r="C413" s="62"/>
      <c r="D413" s="62"/>
      <c r="E413" s="62"/>
      <c r="F413" s="62"/>
      <c r="G413" s="62"/>
      <c r="H413" s="62"/>
      <c r="I413" s="62"/>
      <c r="J413" s="62"/>
      <c r="K413" s="62"/>
      <c r="L413" s="62"/>
      <c r="M413" s="62"/>
      <c r="N413" s="62"/>
      <c r="O413" s="62"/>
      <c r="P413" s="62"/>
      <c r="Q413" s="62"/>
      <c r="R413" s="62"/>
      <c r="S413" s="62"/>
      <c r="T413" s="10">
        <f t="shared" si="1"/>
        <v>0</v>
      </c>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row>
    <row r="414">
      <c r="A414" s="62"/>
      <c r="B414" s="63"/>
      <c r="C414" s="62"/>
      <c r="D414" s="62"/>
      <c r="E414" s="62"/>
      <c r="F414" s="62"/>
      <c r="G414" s="62"/>
      <c r="H414" s="62"/>
      <c r="I414" s="62"/>
      <c r="J414" s="62"/>
      <c r="K414" s="62"/>
      <c r="L414" s="62"/>
      <c r="M414" s="62"/>
      <c r="N414" s="62"/>
      <c r="O414" s="62"/>
      <c r="P414" s="62"/>
      <c r="Q414" s="62"/>
      <c r="R414" s="62"/>
      <c r="S414" s="62"/>
      <c r="T414" s="10">
        <f t="shared" si="1"/>
        <v>0</v>
      </c>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row>
    <row r="415">
      <c r="A415" s="62"/>
      <c r="B415" s="63"/>
      <c r="C415" s="62"/>
      <c r="D415" s="62"/>
      <c r="E415" s="62"/>
      <c r="F415" s="62"/>
      <c r="G415" s="62"/>
      <c r="H415" s="62"/>
      <c r="I415" s="62"/>
      <c r="J415" s="62"/>
      <c r="K415" s="62"/>
      <c r="L415" s="62"/>
      <c r="M415" s="62"/>
      <c r="N415" s="62"/>
      <c r="O415" s="62"/>
      <c r="P415" s="62"/>
      <c r="Q415" s="62"/>
      <c r="R415" s="62"/>
      <c r="S415" s="62"/>
      <c r="T415" s="10">
        <f t="shared" si="1"/>
        <v>0</v>
      </c>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row>
    <row r="416">
      <c r="A416" s="62"/>
      <c r="B416" s="63"/>
      <c r="C416" s="62"/>
      <c r="D416" s="62"/>
      <c r="E416" s="62"/>
      <c r="F416" s="62"/>
      <c r="G416" s="62"/>
      <c r="H416" s="62"/>
      <c r="I416" s="62"/>
      <c r="J416" s="62"/>
      <c r="K416" s="62"/>
      <c r="L416" s="62"/>
      <c r="M416" s="62"/>
      <c r="N416" s="62"/>
      <c r="O416" s="62"/>
      <c r="P416" s="62"/>
      <c r="Q416" s="62"/>
      <c r="R416" s="62"/>
      <c r="S416" s="62"/>
      <c r="T416" s="10">
        <f t="shared" si="1"/>
        <v>0</v>
      </c>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row>
    <row r="417">
      <c r="A417" s="62"/>
      <c r="B417" s="63"/>
      <c r="C417" s="62"/>
      <c r="D417" s="62"/>
      <c r="E417" s="62"/>
      <c r="F417" s="62"/>
      <c r="G417" s="62"/>
      <c r="H417" s="62"/>
      <c r="I417" s="62"/>
      <c r="J417" s="62"/>
      <c r="K417" s="62"/>
      <c r="L417" s="62"/>
      <c r="M417" s="62"/>
      <c r="N417" s="62"/>
      <c r="O417" s="62"/>
      <c r="P417" s="62"/>
      <c r="Q417" s="62"/>
      <c r="R417" s="62"/>
      <c r="S417" s="62"/>
      <c r="T417" s="10">
        <f t="shared" si="1"/>
        <v>0</v>
      </c>
      <c r="U417" s="62"/>
      <c r="V417" s="62"/>
      <c r="W417" s="62"/>
      <c r="X417" s="62"/>
      <c r="Y417" s="62"/>
      <c r="Z417" s="62"/>
      <c r="AA417" s="62"/>
      <c r="AB417" s="62"/>
      <c r="AC417" s="62"/>
      <c r="AD417" s="62"/>
      <c r="AE417" s="62"/>
      <c r="AF417" s="62"/>
      <c r="AG417" s="62"/>
      <c r="AH417" s="62"/>
      <c r="AI417" s="62"/>
      <c r="AJ417" s="62"/>
      <c r="AK417" s="62"/>
      <c r="AL417" s="62"/>
      <c r="AM417" s="62"/>
      <c r="AN417" s="62"/>
      <c r="AO417" s="62"/>
      <c r="AP417" s="62"/>
      <c r="AQ417" s="62"/>
    </row>
    <row r="418">
      <c r="A418" s="62"/>
      <c r="B418" s="63"/>
      <c r="C418" s="62"/>
      <c r="D418" s="62"/>
      <c r="E418" s="62"/>
      <c r="F418" s="62"/>
      <c r="G418" s="62"/>
      <c r="H418" s="62"/>
      <c r="I418" s="62"/>
      <c r="J418" s="62"/>
      <c r="K418" s="62"/>
      <c r="L418" s="62"/>
      <c r="M418" s="62"/>
      <c r="N418" s="62"/>
      <c r="O418" s="62"/>
      <c r="P418" s="62"/>
      <c r="Q418" s="62"/>
      <c r="R418" s="62"/>
      <c r="S418" s="62"/>
      <c r="T418" s="10">
        <f t="shared" si="1"/>
        <v>0</v>
      </c>
      <c r="U418" s="62"/>
      <c r="V418" s="62"/>
      <c r="W418" s="62"/>
      <c r="X418" s="62"/>
      <c r="Y418" s="62"/>
      <c r="Z418" s="62"/>
      <c r="AA418" s="62"/>
      <c r="AB418" s="62"/>
      <c r="AC418" s="62"/>
      <c r="AD418" s="62"/>
      <c r="AE418" s="62"/>
      <c r="AF418" s="62"/>
      <c r="AG418" s="62"/>
      <c r="AH418" s="62"/>
      <c r="AI418" s="62"/>
      <c r="AJ418" s="62"/>
      <c r="AK418" s="62"/>
      <c r="AL418" s="62"/>
      <c r="AM418" s="62"/>
      <c r="AN418" s="62"/>
      <c r="AO418" s="62"/>
      <c r="AP418" s="62"/>
      <c r="AQ418" s="62"/>
    </row>
    <row r="419">
      <c r="A419" s="62"/>
      <c r="B419" s="63"/>
      <c r="C419" s="62"/>
      <c r="D419" s="62"/>
      <c r="E419" s="62"/>
      <c r="F419" s="62"/>
      <c r="G419" s="62"/>
      <c r="H419" s="62"/>
      <c r="I419" s="62"/>
      <c r="J419" s="62"/>
      <c r="K419" s="62"/>
      <c r="L419" s="62"/>
      <c r="M419" s="62"/>
      <c r="N419" s="62"/>
      <c r="O419" s="62"/>
      <c r="P419" s="62"/>
      <c r="Q419" s="62"/>
      <c r="R419" s="62"/>
      <c r="S419" s="62"/>
      <c r="T419" s="10">
        <f t="shared" si="1"/>
        <v>0</v>
      </c>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row>
    <row r="420">
      <c r="A420" s="62"/>
      <c r="B420" s="63"/>
      <c r="C420" s="62"/>
      <c r="D420" s="62"/>
      <c r="E420" s="62"/>
      <c r="F420" s="62"/>
      <c r="G420" s="62"/>
      <c r="H420" s="62"/>
      <c r="I420" s="62"/>
      <c r="J420" s="62"/>
      <c r="K420" s="62"/>
      <c r="L420" s="62"/>
      <c r="M420" s="62"/>
      <c r="N420" s="62"/>
      <c r="O420" s="62"/>
      <c r="P420" s="62"/>
      <c r="Q420" s="62"/>
      <c r="R420" s="62"/>
      <c r="S420" s="62"/>
      <c r="T420" s="10">
        <f t="shared" si="1"/>
        <v>0</v>
      </c>
      <c r="U420" s="62"/>
      <c r="V420" s="62"/>
      <c r="W420" s="62"/>
      <c r="X420" s="62"/>
      <c r="Y420" s="62"/>
      <c r="Z420" s="62"/>
      <c r="AA420" s="62"/>
      <c r="AB420" s="62"/>
      <c r="AC420" s="62"/>
      <c r="AD420" s="62"/>
      <c r="AE420" s="62"/>
      <c r="AF420" s="62"/>
      <c r="AG420" s="62"/>
      <c r="AH420" s="62"/>
      <c r="AI420" s="62"/>
      <c r="AJ420" s="62"/>
      <c r="AK420" s="62"/>
      <c r="AL420" s="62"/>
      <c r="AM420" s="62"/>
      <c r="AN420" s="62"/>
      <c r="AO420" s="62"/>
      <c r="AP420" s="62"/>
      <c r="AQ420" s="62"/>
    </row>
    <row r="421">
      <c r="A421" s="62"/>
      <c r="B421" s="63"/>
      <c r="C421" s="62"/>
      <c r="D421" s="62"/>
      <c r="E421" s="62"/>
      <c r="F421" s="62"/>
      <c r="G421" s="62"/>
      <c r="H421" s="62"/>
      <c r="I421" s="62"/>
      <c r="J421" s="62"/>
      <c r="K421" s="62"/>
      <c r="L421" s="62"/>
      <c r="M421" s="62"/>
      <c r="N421" s="62"/>
      <c r="O421" s="62"/>
      <c r="P421" s="62"/>
      <c r="Q421" s="62"/>
      <c r="R421" s="62"/>
      <c r="S421" s="62"/>
      <c r="T421" s="10">
        <f t="shared" si="1"/>
        <v>0</v>
      </c>
      <c r="U421" s="62"/>
      <c r="V421" s="62"/>
      <c r="W421" s="62"/>
      <c r="X421" s="62"/>
      <c r="Y421" s="62"/>
      <c r="Z421" s="62"/>
      <c r="AA421" s="62"/>
      <c r="AB421" s="62"/>
      <c r="AC421" s="62"/>
      <c r="AD421" s="62"/>
      <c r="AE421" s="62"/>
      <c r="AF421" s="62"/>
      <c r="AG421" s="62"/>
      <c r="AH421" s="62"/>
      <c r="AI421" s="62"/>
      <c r="AJ421" s="62"/>
      <c r="AK421" s="62"/>
      <c r="AL421" s="62"/>
      <c r="AM421" s="62"/>
      <c r="AN421" s="62"/>
      <c r="AO421" s="62"/>
      <c r="AP421" s="62"/>
      <c r="AQ421" s="62"/>
    </row>
    <row r="422">
      <c r="A422" s="62"/>
      <c r="B422" s="63"/>
      <c r="C422" s="62"/>
      <c r="D422" s="62"/>
      <c r="E422" s="62"/>
      <c r="F422" s="62"/>
      <c r="G422" s="62"/>
      <c r="H422" s="62"/>
      <c r="I422" s="62"/>
      <c r="J422" s="62"/>
      <c r="K422" s="62"/>
      <c r="L422" s="62"/>
      <c r="M422" s="62"/>
      <c r="N422" s="62"/>
      <c r="O422" s="62"/>
      <c r="P422" s="62"/>
      <c r="Q422" s="62"/>
      <c r="R422" s="62"/>
      <c r="S422" s="62"/>
      <c r="T422" s="10">
        <f t="shared" si="1"/>
        <v>0</v>
      </c>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row>
    <row r="423">
      <c r="A423" s="62"/>
      <c r="B423" s="63"/>
      <c r="C423" s="62"/>
      <c r="D423" s="62"/>
      <c r="E423" s="62"/>
      <c r="F423" s="62"/>
      <c r="G423" s="62"/>
      <c r="H423" s="62"/>
      <c r="I423" s="62"/>
      <c r="J423" s="62"/>
      <c r="K423" s="62"/>
      <c r="L423" s="62"/>
      <c r="M423" s="62"/>
      <c r="N423" s="62"/>
      <c r="O423" s="62"/>
      <c r="P423" s="62"/>
      <c r="Q423" s="62"/>
      <c r="R423" s="62"/>
      <c r="S423" s="62"/>
      <c r="T423" s="10">
        <f t="shared" si="1"/>
        <v>0</v>
      </c>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row>
    <row r="424">
      <c r="A424" s="62"/>
      <c r="B424" s="63"/>
      <c r="C424" s="62"/>
      <c r="D424" s="62"/>
      <c r="E424" s="62"/>
      <c r="F424" s="62"/>
      <c r="G424" s="62"/>
      <c r="H424" s="62"/>
      <c r="I424" s="62"/>
      <c r="J424" s="62"/>
      <c r="K424" s="62"/>
      <c r="L424" s="62"/>
      <c r="M424" s="62"/>
      <c r="N424" s="62"/>
      <c r="O424" s="62"/>
      <c r="P424" s="62"/>
      <c r="Q424" s="62"/>
      <c r="R424" s="62"/>
      <c r="S424" s="62"/>
      <c r="T424" s="10">
        <f t="shared" si="1"/>
        <v>0</v>
      </c>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row>
    <row r="425">
      <c r="A425" s="62"/>
      <c r="B425" s="63"/>
      <c r="C425" s="62"/>
      <c r="D425" s="62"/>
      <c r="E425" s="62"/>
      <c r="F425" s="62"/>
      <c r="G425" s="62"/>
      <c r="H425" s="62"/>
      <c r="I425" s="62"/>
      <c r="J425" s="62"/>
      <c r="K425" s="62"/>
      <c r="L425" s="62"/>
      <c r="M425" s="62"/>
      <c r="N425" s="62"/>
      <c r="O425" s="62"/>
      <c r="P425" s="62"/>
      <c r="Q425" s="62"/>
      <c r="R425" s="62"/>
      <c r="S425" s="62"/>
      <c r="T425" s="10">
        <f t="shared" si="1"/>
        <v>0</v>
      </c>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row>
    <row r="426">
      <c r="A426" s="62"/>
      <c r="B426" s="63"/>
      <c r="C426" s="62"/>
      <c r="D426" s="62"/>
      <c r="E426" s="62"/>
      <c r="F426" s="62"/>
      <c r="G426" s="62"/>
      <c r="H426" s="62"/>
      <c r="I426" s="62"/>
      <c r="J426" s="62"/>
      <c r="K426" s="62"/>
      <c r="L426" s="62"/>
      <c r="M426" s="62"/>
      <c r="N426" s="62"/>
      <c r="O426" s="62"/>
      <c r="P426" s="62"/>
      <c r="Q426" s="62"/>
      <c r="R426" s="62"/>
      <c r="S426" s="62"/>
      <c r="T426" s="10">
        <f t="shared" si="1"/>
        <v>0</v>
      </c>
      <c r="U426" s="62"/>
      <c r="V426" s="62"/>
      <c r="W426" s="62"/>
      <c r="X426" s="62"/>
      <c r="Y426" s="62"/>
      <c r="Z426" s="62"/>
      <c r="AA426" s="62"/>
      <c r="AB426" s="62"/>
      <c r="AC426" s="62"/>
      <c r="AD426" s="62"/>
      <c r="AE426" s="62"/>
      <c r="AF426" s="62"/>
      <c r="AG426" s="62"/>
      <c r="AH426" s="62"/>
      <c r="AI426" s="62"/>
      <c r="AJ426" s="62"/>
      <c r="AK426" s="62"/>
      <c r="AL426" s="62"/>
      <c r="AM426" s="62"/>
      <c r="AN426" s="62"/>
      <c r="AO426" s="62"/>
      <c r="AP426" s="62"/>
      <c r="AQ426" s="62"/>
    </row>
    <row r="427">
      <c r="A427" s="62"/>
      <c r="B427" s="63"/>
      <c r="C427" s="62"/>
      <c r="D427" s="62"/>
      <c r="E427" s="62"/>
      <c r="F427" s="62"/>
      <c r="G427" s="62"/>
      <c r="H427" s="62"/>
      <c r="I427" s="62"/>
      <c r="J427" s="62"/>
      <c r="K427" s="62"/>
      <c r="L427" s="62"/>
      <c r="M427" s="62"/>
      <c r="N427" s="62"/>
      <c r="O427" s="62"/>
      <c r="P427" s="62"/>
      <c r="Q427" s="62"/>
      <c r="R427" s="62"/>
      <c r="S427" s="62"/>
      <c r="T427" s="10">
        <f t="shared" si="1"/>
        <v>0</v>
      </c>
      <c r="U427" s="62"/>
      <c r="V427" s="62"/>
      <c r="W427" s="62"/>
      <c r="X427" s="62"/>
      <c r="Y427" s="62"/>
      <c r="Z427" s="62"/>
      <c r="AA427" s="62"/>
      <c r="AB427" s="62"/>
      <c r="AC427" s="62"/>
      <c r="AD427" s="62"/>
      <c r="AE427" s="62"/>
      <c r="AF427" s="62"/>
      <c r="AG427" s="62"/>
      <c r="AH427" s="62"/>
      <c r="AI427" s="62"/>
      <c r="AJ427" s="62"/>
      <c r="AK427" s="62"/>
      <c r="AL427" s="62"/>
      <c r="AM427" s="62"/>
      <c r="AN427" s="62"/>
      <c r="AO427" s="62"/>
      <c r="AP427" s="62"/>
      <c r="AQ427" s="62"/>
    </row>
    <row r="428">
      <c r="A428" s="62"/>
      <c r="B428" s="63"/>
      <c r="C428" s="62"/>
      <c r="D428" s="62"/>
      <c r="E428" s="62"/>
      <c r="F428" s="62"/>
      <c r="G428" s="62"/>
      <c r="H428" s="62"/>
      <c r="I428" s="62"/>
      <c r="J428" s="62"/>
      <c r="K428" s="62"/>
      <c r="L428" s="62"/>
      <c r="M428" s="62"/>
      <c r="N428" s="62"/>
      <c r="O428" s="62"/>
      <c r="P428" s="62"/>
      <c r="Q428" s="62"/>
      <c r="R428" s="62"/>
      <c r="S428" s="62"/>
      <c r="T428" s="10">
        <f t="shared" si="1"/>
        <v>0</v>
      </c>
      <c r="U428" s="62"/>
      <c r="V428" s="62"/>
      <c r="W428" s="62"/>
      <c r="X428" s="62"/>
      <c r="Y428" s="62"/>
      <c r="Z428" s="62"/>
      <c r="AA428" s="62"/>
      <c r="AB428" s="62"/>
      <c r="AC428" s="62"/>
      <c r="AD428" s="62"/>
      <c r="AE428" s="62"/>
      <c r="AF428" s="62"/>
      <c r="AG428" s="62"/>
      <c r="AH428" s="62"/>
      <c r="AI428" s="62"/>
      <c r="AJ428" s="62"/>
      <c r="AK428" s="62"/>
      <c r="AL428" s="62"/>
      <c r="AM428" s="62"/>
      <c r="AN428" s="62"/>
      <c r="AO428" s="62"/>
      <c r="AP428" s="62"/>
      <c r="AQ428" s="62"/>
    </row>
    <row r="429">
      <c r="A429" s="62"/>
      <c r="B429" s="63"/>
      <c r="C429" s="62"/>
      <c r="D429" s="62"/>
      <c r="E429" s="62"/>
      <c r="F429" s="62"/>
      <c r="G429" s="62"/>
      <c r="H429" s="62"/>
      <c r="I429" s="62"/>
      <c r="J429" s="62"/>
      <c r="K429" s="62"/>
      <c r="L429" s="62"/>
      <c r="M429" s="62"/>
      <c r="N429" s="62"/>
      <c r="O429" s="62"/>
      <c r="P429" s="62"/>
      <c r="Q429" s="62"/>
      <c r="R429" s="62"/>
      <c r="S429" s="62"/>
      <c r="T429" s="10">
        <f t="shared" si="1"/>
        <v>0</v>
      </c>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row>
    <row r="430">
      <c r="A430" s="62"/>
      <c r="B430" s="63"/>
      <c r="C430" s="62"/>
      <c r="D430" s="62"/>
      <c r="E430" s="62"/>
      <c r="F430" s="62"/>
      <c r="G430" s="62"/>
      <c r="H430" s="62"/>
      <c r="I430" s="62"/>
      <c r="J430" s="62"/>
      <c r="K430" s="62"/>
      <c r="L430" s="62"/>
      <c r="M430" s="62"/>
      <c r="N430" s="62"/>
      <c r="O430" s="62"/>
      <c r="P430" s="62"/>
      <c r="Q430" s="62"/>
      <c r="R430" s="62"/>
      <c r="S430" s="62"/>
      <c r="T430" s="10">
        <f t="shared" si="1"/>
        <v>0</v>
      </c>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row>
    <row r="431">
      <c r="A431" s="62"/>
      <c r="B431" s="63"/>
      <c r="C431" s="62"/>
      <c r="D431" s="62"/>
      <c r="E431" s="62"/>
      <c r="F431" s="62"/>
      <c r="G431" s="62"/>
      <c r="H431" s="62"/>
      <c r="I431" s="62"/>
      <c r="J431" s="62"/>
      <c r="K431" s="62"/>
      <c r="L431" s="62"/>
      <c r="M431" s="62"/>
      <c r="N431" s="62"/>
      <c r="O431" s="62"/>
      <c r="P431" s="62"/>
      <c r="Q431" s="62"/>
      <c r="R431" s="62"/>
      <c r="S431" s="62"/>
      <c r="T431" s="10">
        <f t="shared" si="1"/>
        <v>0</v>
      </c>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row>
    <row r="432">
      <c r="A432" s="62"/>
      <c r="B432" s="63"/>
      <c r="C432" s="62"/>
      <c r="D432" s="62"/>
      <c r="E432" s="62"/>
      <c r="F432" s="62"/>
      <c r="G432" s="62"/>
      <c r="H432" s="62"/>
      <c r="I432" s="62"/>
      <c r="J432" s="62"/>
      <c r="K432" s="62"/>
      <c r="L432" s="62"/>
      <c r="M432" s="62"/>
      <c r="N432" s="62"/>
      <c r="O432" s="62"/>
      <c r="P432" s="62"/>
      <c r="Q432" s="62"/>
      <c r="R432" s="62"/>
      <c r="S432" s="62"/>
      <c r="T432" s="10">
        <f t="shared" si="1"/>
        <v>0</v>
      </c>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row>
    <row r="433">
      <c r="A433" s="62"/>
      <c r="B433" s="63"/>
      <c r="C433" s="62"/>
      <c r="D433" s="62"/>
      <c r="E433" s="62"/>
      <c r="F433" s="62"/>
      <c r="G433" s="62"/>
      <c r="H433" s="62"/>
      <c r="I433" s="62"/>
      <c r="J433" s="62"/>
      <c r="K433" s="62"/>
      <c r="L433" s="62"/>
      <c r="M433" s="62"/>
      <c r="N433" s="62"/>
      <c r="O433" s="62"/>
      <c r="P433" s="62"/>
      <c r="Q433" s="62"/>
      <c r="R433" s="62"/>
      <c r="S433" s="62"/>
      <c r="T433" s="10">
        <f t="shared" si="1"/>
        <v>0</v>
      </c>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row>
    <row r="434">
      <c r="A434" s="62"/>
      <c r="B434" s="63"/>
      <c r="C434" s="62"/>
      <c r="D434" s="62"/>
      <c r="E434" s="62"/>
      <c r="F434" s="62"/>
      <c r="G434" s="62"/>
      <c r="H434" s="62"/>
      <c r="I434" s="62"/>
      <c r="J434" s="62"/>
      <c r="K434" s="62"/>
      <c r="L434" s="62"/>
      <c r="M434" s="62"/>
      <c r="N434" s="62"/>
      <c r="O434" s="62"/>
      <c r="P434" s="62"/>
      <c r="Q434" s="62"/>
      <c r="R434" s="62"/>
      <c r="S434" s="62"/>
      <c r="T434" s="10">
        <f t="shared" si="1"/>
        <v>0</v>
      </c>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row>
    <row r="435">
      <c r="A435" s="62"/>
      <c r="B435" s="63"/>
      <c r="C435" s="62"/>
      <c r="D435" s="62"/>
      <c r="E435" s="62"/>
      <c r="F435" s="62"/>
      <c r="G435" s="62"/>
      <c r="H435" s="62"/>
      <c r="I435" s="62"/>
      <c r="J435" s="62"/>
      <c r="K435" s="62"/>
      <c r="L435" s="62"/>
      <c r="M435" s="62"/>
      <c r="N435" s="62"/>
      <c r="O435" s="62"/>
      <c r="P435" s="62"/>
      <c r="Q435" s="62"/>
      <c r="R435" s="62"/>
      <c r="S435" s="62"/>
      <c r="T435" s="10">
        <f t="shared" si="1"/>
        <v>0</v>
      </c>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row>
    <row r="436">
      <c r="A436" s="62"/>
      <c r="B436" s="63"/>
      <c r="C436" s="62"/>
      <c r="D436" s="62"/>
      <c r="E436" s="62"/>
      <c r="F436" s="62"/>
      <c r="G436" s="62"/>
      <c r="H436" s="62"/>
      <c r="I436" s="62"/>
      <c r="J436" s="62"/>
      <c r="K436" s="62"/>
      <c r="L436" s="62"/>
      <c r="M436" s="62"/>
      <c r="N436" s="62"/>
      <c r="O436" s="62"/>
      <c r="P436" s="62"/>
      <c r="Q436" s="62"/>
      <c r="R436" s="62"/>
      <c r="S436" s="62"/>
      <c r="T436" s="10">
        <f t="shared" si="1"/>
        <v>0</v>
      </c>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row>
    <row r="437">
      <c r="A437" s="62"/>
      <c r="B437" s="63"/>
      <c r="C437" s="62"/>
      <c r="D437" s="62"/>
      <c r="E437" s="62"/>
      <c r="F437" s="62"/>
      <c r="G437" s="62"/>
      <c r="H437" s="62"/>
      <c r="I437" s="62"/>
      <c r="J437" s="62"/>
      <c r="K437" s="62"/>
      <c r="L437" s="62"/>
      <c r="M437" s="62"/>
      <c r="N437" s="62"/>
      <c r="O437" s="62"/>
      <c r="P437" s="62"/>
      <c r="Q437" s="62"/>
      <c r="R437" s="62"/>
      <c r="S437" s="62"/>
      <c r="T437" s="10">
        <f t="shared" si="1"/>
        <v>0</v>
      </c>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row>
    <row r="438">
      <c r="A438" s="62"/>
      <c r="B438" s="63"/>
      <c r="C438" s="62"/>
      <c r="D438" s="62"/>
      <c r="E438" s="62"/>
      <c r="F438" s="62"/>
      <c r="G438" s="62"/>
      <c r="H438" s="62"/>
      <c r="I438" s="62"/>
      <c r="J438" s="62"/>
      <c r="K438" s="62"/>
      <c r="L438" s="62"/>
      <c r="M438" s="62"/>
      <c r="N438" s="62"/>
      <c r="O438" s="62"/>
      <c r="P438" s="62"/>
      <c r="Q438" s="62"/>
      <c r="R438" s="62"/>
      <c r="S438" s="62"/>
      <c r="T438" s="10">
        <f t="shared" si="1"/>
        <v>0</v>
      </c>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row>
    <row r="439">
      <c r="A439" s="62"/>
      <c r="B439" s="63"/>
      <c r="C439" s="62"/>
      <c r="D439" s="62"/>
      <c r="E439" s="62"/>
      <c r="F439" s="62"/>
      <c r="G439" s="62"/>
      <c r="H439" s="62"/>
      <c r="I439" s="62"/>
      <c r="J439" s="62"/>
      <c r="K439" s="62"/>
      <c r="L439" s="62"/>
      <c r="M439" s="62"/>
      <c r="N439" s="62"/>
      <c r="O439" s="62"/>
      <c r="P439" s="62"/>
      <c r="Q439" s="62"/>
      <c r="R439" s="62"/>
      <c r="S439" s="62"/>
      <c r="T439" s="10">
        <f t="shared" si="1"/>
        <v>0</v>
      </c>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row>
    <row r="440">
      <c r="A440" s="62"/>
      <c r="B440" s="63"/>
      <c r="C440" s="62"/>
      <c r="D440" s="62"/>
      <c r="E440" s="62"/>
      <c r="F440" s="62"/>
      <c r="G440" s="62"/>
      <c r="H440" s="62"/>
      <c r="I440" s="62"/>
      <c r="J440" s="62"/>
      <c r="K440" s="62"/>
      <c r="L440" s="62"/>
      <c r="M440" s="62"/>
      <c r="N440" s="62"/>
      <c r="O440" s="62"/>
      <c r="P440" s="62"/>
      <c r="Q440" s="62"/>
      <c r="R440" s="62"/>
      <c r="S440" s="62"/>
      <c r="T440" s="10">
        <f t="shared" si="1"/>
        <v>0</v>
      </c>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row>
    <row r="441">
      <c r="A441" s="62"/>
      <c r="B441" s="63"/>
      <c r="C441" s="62"/>
      <c r="D441" s="62"/>
      <c r="E441" s="62"/>
      <c r="F441" s="62"/>
      <c r="G441" s="62"/>
      <c r="H441" s="62"/>
      <c r="I441" s="62"/>
      <c r="J441" s="62"/>
      <c r="K441" s="62"/>
      <c r="L441" s="62"/>
      <c r="M441" s="62"/>
      <c r="N441" s="62"/>
      <c r="O441" s="62"/>
      <c r="P441" s="62"/>
      <c r="Q441" s="62"/>
      <c r="R441" s="62"/>
      <c r="S441" s="62"/>
      <c r="T441" s="10">
        <f t="shared" si="1"/>
        <v>0</v>
      </c>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row>
    <row r="442">
      <c r="A442" s="62"/>
      <c r="B442" s="63"/>
      <c r="C442" s="62"/>
      <c r="D442" s="62"/>
      <c r="E442" s="62"/>
      <c r="F442" s="62"/>
      <c r="G442" s="62"/>
      <c r="H442" s="62"/>
      <c r="I442" s="62"/>
      <c r="J442" s="62"/>
      <c r="K442" s="62"/>
      <c r="L442" s="62"/>
      <c r="M442" s="62"/>
      <c r="N442" s="62"/>
      <c r="O442" s="62"/>
      <c r="P442" s="62"/>
      <c r="Q442" s="62"/>
      <c r="R442" s="62"/>
      <c r="S442" s="62"/>
      <c r="T442" s="10">
        <f t="shared" si="1"/>
        <v>0</v>
      </c>
      <c r="U442" s="62"/>
      <c r="V442" s="62"/>
      <c r="W442" s="62"/>
      <c r="X442" s="62"/>
      <c r="Y442" s="62"/>
      <c r="Z442" s="62"/>
      <c r="AA442" s="62"/>
      <c r="AB442" s="62"/>
      <c r="AC442" s="62"/>
      <c r="AD442" s="62"/>
      <c r="AE442" s="62"/>
      <c r="AF442" s="62"/>
      <c r="AG442" s="62"/>
      <c r="AH442" s="62"/>
      <c r="AI442" s="62"/>
      <c r="AJ442" s="62"/>
      <c r="AK442" s="62"/>
      <c r="AL442" s="62"/>
      <c r="AM442" s="62"/>
      <c r="AN442" s="62"/>
      <c r="AO442" s="62"/>
      <c r="AP442" s="62"/>
      <c r="AQ442" s="62"/>
    </row>
    <row r="443">
      <c r="A443" s="62"/>
      <c r="B443" s="63"/>
      <c r="C443" s="62"/>
      <c r="D443" s="62"/>
      <c r="E443" s="62"/>
      <c r="F443" s="62"/>
      <c r="G443" s="62"/>
      <c r="H443" s="62"/>
      <c r="I443" s="62"/>
      <c r="J443" s="62"/>
      <c r="K443" s="62"/>
      <c r="L443" s="62"/>
      <c r="M443" s="62"/>
      <c r="N443" s="62"/>
      <c r="O443" s="62"/>
      <c r="P443" s="62"/>
      <c r="Q443" s="62"/>
      <c r="R443" s="62"/>
      <c r="S443" s="62"/>
      <c r="T443" s="10">
        <f t="shared" si="1"/>
        <v>0</v>
      </c>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row>
    <row r="444">
      <c r="A444" s="62"/>
      <c r="B444" s="63"/>
      <c r="C444" s="62"/>
      <c r="D444" s="62"/>
      <c r="E444" s="62"/>
      <c r="F444" s="62"/>
      <c r="G444" s="62"/>
      <c r="H444" s="62"/>
      <c r="I444" s="62"/>
      <c r="J444" s="62"/>
      <c r="K444" s="62"/>
      <c r="L444" s="62"/>
      <c r="M444" s="62"/>
      <c r="N444" s="62"/>
      <c r="O444" s="62"/>
      <c r="P444" s="62"/>
      <c r="Q444" s="62"/>
      <c r="R444" s="62"/>
      <c r="S444" s="62"/>
      <c r="T444" s="10">
        <f t="shared" si="1"/>
        <v>0</v>
      </c>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row>
    <row r="445">
      <c r="A445" s="62"/>
      <c r="B445" s="63"/>
      <c r="C445" s="62"/>
      <c r="D445" s="62"/>
      <c r="E445" s="62"/>
      <c r="F445" s="62"/>
      <c r="G445" s="62"/>
      <c r="H445" s="62"/>
      <c r="I445" s="62"/>
      <c r="J445" s="62"/>
      <c r="K445" s="62"/>
      <c r="L445" s="62"/>
      <c r="M445" s="62"/>
      <c r="N445" s="62"/>
      <c r="O445" s="62"/>
      <c r="P445" s="62"/>
      <c r="Q445" s="62"/>
      <c r="R445" s="62"/>
      <c r="S445" s="62"/>
      <c r="T445" s="10">
        <f t="shared" si="1"/>
        <v>0</v>
      </c>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row>
    <row r="446">
      <c r="A446" s="62"/>
      <c r="B446" s="63"/>
      <c r="C446" s="62"/>
      <c r="D446" s="62"/>
      <c r="E446" s="62"/>
      <c r="F446" s="62"/>
      <c r="G446" s="62"/>
      <c r="H446" s="62"/>
      <c r="I446" s="62"/>
      <c r="J446" s="62"/>
      <c r="K446" s="62"/>
      <c r="L446" s="62"/>
      <c r="M446" s="62"/>
      <c r="N446" s="62"/>
      <c r="O446" s="62"/>
      <c r="P446" s="62"/>
      <c r="Q446" s="62"/>
      <c r="R446" s="62"/>
      <c r="S446" s="62"/>
      <c r="T446" s="10">
        <f t="shared" si="1"/>
        <v>0</v>
      </c>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row>
    <row r="447">
      <c r="A447" s="62"/>
      <c r="B447" s="63"/>
      <c r="C447" s="62"/>
      <c r="D447" s="62"/>
      <c r="E447" s="62"/>
      <c r="F447" s="62"/>
      <c r="G447" s="62"/>
      <c r="H447" s="62"/>
      <c r="I447" s="62"/>
      <c r="J447" s="62"/>
      <c r="K447" s="62"/>
      <c r="L447" s="62"/>
      <c r="M447" s="62"/>
      <c r="N447" s="62"/>
      <c r="O447" s="62"/>
      <c r="P447" s="62"/>
      <c r="Q447" s="62"/>
      <c r="R447" s="62"/>
      <c r="S447" s="62"/>
      <c r="T447" s="10">
        <f t="shared" si="1"/>
        <v>0</v>
      </c>
      <c r="U447" s="62"/>
      <c r="V447" s="62"/>
      <c r="W447" s="62"/>
      <c r="X447" s="62"/>
      <c r="Y447" s="62"/>
      <c r="Z447" s="62"/>
      <c r="AA447" s="62"/>
      <c r="AB447" s="62"/>
      <c r="AC447" s="62"/>
      <c r="AD447" s="62"/>
      <c r="AE447" s="62"/>
      <c r="AF447" s="62"/>
      <c r="AG447" s="62"/>
      <c r="AH447" s="62"/>
      <c r="AI447" s="62"/>
      <c r="AJ447" s="62"/>
      <c r="AK447" s="62"/>
      <c r="AL447" s="62"/>
      <c r="AM447" s="62"/>
      <c r="AN447" s="62"/>
      <c r="AO447" s="62"/>
      <c r="AP447" s="62"/>
      <c r="AQ447" s="62"/>
    </row>
    <row r="448">
      <c r="A448" s="62"/>
      <c r="B448" s="63"/>
      <c r="C448" s="62"/>
      <c r="D448" s="62"/>
      <c r="E448" s="62"/>
      <c r="F448" s="62"/>
      <c r="G448" s="62"/>
      <c r="H448" s="62"/>
      <c r="I448" s="62"/>
      <c r="J448" s="62"/>
      <c r="K448" s="62"/>
      <c r="L448" s="62"/>
      <c r="M448" s="62"/>
      <c r="N448" s="62"/>
      <c r="O448" s="62"/>
      <c r="P448" s="62"/>
      <c r="Q448" s="62"/>
      <c r="R448" s="62"/>
      <c r="S448" s="62"/>
      <c r="T448" s="10">
        <f t="shared" si="1"/>
        <v>0</v>
      </c>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row>
    <row r="449">
      <c r="A449" s="62"/>
      <c r="B449" s="63"/>
      <c r="C449" s="62"/>
      <c r="D449" s="62"/>
      <c r="E449" s="62"/>
      <c r="F449" s="62"/>
      <c r="G449" s="62"/>
      <c r="H449" s="62"/>
      <c r="I449" s="62"/>
      <c r="J449" s="62"/>
      <c r="K449" s="62"/>
      <c r="L449" s="62"/>
      <c r="M449" s="62"/>
      <c r="N449" s="62"/>
      <c r="O449" s="62"/>
      <c r="P449" s="62"/>
      <c r="Q449" s="62"/>
      <c r="R449" s="62"/>
      <c r="S449" s="62"/>
      <c r="T449" s="10">
        <f t="shared" si="1"/>
        <v>0</v>
      </c>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row>
    <row r="450">
      <c r="A450" s="62"/>
      <c r="B450" s="63"/>
      <c r="C450" s="62"/>
      <c r="D450" s="62"/>
      <c r="E450" s="62"/>
      <c r="F450" s="62"/>
      <c r="G450" s="62"/>
      <c r="H450" s="62"/>
      <c r="I450" s="62"/>
      <c r="J450" s="62"/>
      <c r="K450" s="62"/>
      <c r="L450" s="62"/>
      <c r="M450" s="62"/>
      <c r="N450" s="62"/>
      <c r="O450" s="62"/>
      <c r="P450" s="62"/>
      <c r="Q450" s="62"/>
      <c r="R450" s="62"/>
      <c r="S450" s="62"/>
      <c r="T450" s="10">
        <f t="shared" si="1"/>
        <v>0</v>
      </c>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row>
    <row r="451">
      <c r="A451" s="62"/>
      <c r="B451" s="63"/>
      <c r="C451" s="62"/>
      <c r="D451" s="62"/>
      <c r="E451" s="62"/>
      <c r="F451" s="62"/>
      <c r="G451" s="62"/>
      <c r="H451" s="62"/>
      <c r="I451" s="62"/>
      <c r="J451" s="62"/>
      <c r="K451" s="62"/>
      <c r="L451" s="62"/>
      <c r="M451" s="62"/>
      <c r="N451" s="62"/>
      <c r="O451" s="62"/>
      <c r="P451" s="62"/>
      <c r="Q451" s="62"/>
      <c r="R451" s="62"/>
      <c r="S451" s="62"/>
      <c r="T451" s="10">
        <f t="shared" si="1"/>
        <v>0</v>
      </c>
      <c r="U451" s="62"/>
      <c r="V451" s="62"/>
      <c r="W451" s="62"/>
      <c r="X451" s="62"/>
      <c r="Y451" s="62"/>
      <c r="Z451" s="62"/>
      <c r="AA451" s="62"/>
      <c r="AB451" s="62"/>
      <c r="AC451" s="62"/>
      <c r="AD451" s="62"/>
      <c r="AE451" s="62"/>
      <c r="AF451" s="62"/>
      <c r="AG451" s="62"/>
      <c r="AH451" s="62"/>
      <c r="AI451" s="62"/>
      <c r="AJ451" s="62"/>
      <c r="AK451" s="62"/>
      <c r="AL451" s="62"/>
      <c r="AM451" s="62"/>
      <c r="AN451" s="62"/>
      <c r="AO451" s="62"/>
      <c r="AP451" s="62"/>
      <c r="AQ451" s="62"/>
    </row>
    <row r="452">
      <c r="A452" s="62"/>
      <c r="B452" s="63"/>
      <c r="C452" s="62"/>
      <c r="D452" s="62"/>
      <c r="E452" s="62"/>
      <c r="F452" s="62"/>
      <c r="G452" s="62"/>
      <c r="H452" s="62"/>
      <c r="I452" s="62"/>
      <c r="J452" s="62"/>
      <c r="K452" s="62"/>
      <c r="L452" s="62"/>
      <c r="M452" s="62"/>
      <c r="N452" s="62"/>
      <c r="O452" s="62"/>
      <c r="P452" s="62"/>
      <c r="Q452" s="62"/>
      <c r="R452" s="62"/>
      <c r="S452" s="62"/>
      <c r="T452" s="10">
        <f t="shared" si="1"/>
        <v>0</v>
      </c>
      <c r="U452" s="62"/>
      <c r="V452" s="62"/>
      <c r="W452" s="62"/>
      <c r="X452" s="62"/>
      <c r="Y452" s="62"/>
      <c r="Z452" s="62"/>
      <c r="AA452" s="62"/>
      <c r="AB452" s="62"/>
      <c r="AC452" s="62"/>
      <c r="AD452" s="62"/>
      <c r="AE452" s="62"/>
      <c r="AF452" s="62"/>
      <c r="AG452" s="62"/>
      <c r="AH452" s="62"/>
      <c r="AI452" s="62"/>
      <c r="AJ452" s="62"/>
      <c r="AK452" s="62"/>
      <c r="AL452" s="62"/>
      <c r="AM452" s="62"/>
      <c r="AN452" s="62"/>
      <c r="AO452" s="62"/>
      <c r="AP452" s="62"/>
      <c r="AQ452" s="62"/>
    </row>
    <row r="453">
      <c r="A453" s="62"/>
      <c r="B453" s="63"/>
      <c r="C453" s="62"/>
      <c r="D453" s="62"/>
      <c r="E453" s="62"/>
      <c r="F453" s="62"/>
      <c r="G453" s="62"/>
      <c r="H453" s="62"/>
      <c r="I453" s="62"/>
      <c r="J453" s="62"/>
      <c r="K453" s="62"/>
      <c r="L453" s="62"/>
      <c r="M453" s="62"/>
      <c r="N453" s="62"/>
      <c r="O453" s="62"/>
      <c r="P453" s="62"/>
      <c r="Q453" s="62"/>
      <c r="R453" s="62"/>
      <c r="S453" s="62"/>
      <c r="T453" s="10">
        <f t="shared" si="1"/>
        <v>0</v>
      </c>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row>
    <row r="454">
      <c r="A454" s="62"/>
      <c r="B454" s="63"/>
      <c r="C454" s="62"/>
      <c r="D454" s="62"/>
      <c r="E454" s="62"/>
      <c r="F454" s="62"/>
      <c r="G454" s="62"/>
      <c r="H454" s="62"/>
      <c r="I454" s="62"/>
      <c r="J454" s="62"/>
      <c r="K454" s="62"/>
      <c r="L454" s="62"/>
      <c r="M454" s="62"/>
      <c r="N454" s="62"/>
      <c r="O454" s="62"/>
      <c r="P454" s="62"/>
      <c r="Q454" s="62"/>
      <c r="R454" s="62"/>
      <c r="S454" s="62"/>
      <c r="T454" s="10">
        <f t="shared" si="1"/>
        <v>0</v>
      </c>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row>
    <row r="455">
      <c r="A455" s="62"/>
      <c r="B455" s="63"/>
      <c r="C455" s="62"/>
      <c r="D455" s="62"/>
      <c r="E455" s="62"/>
      <c r="F455" s="62"/>
      <c r="G455" s="62"/>
      <c r="H455" s="62"/>
      <c r="I455" s="62"/>
      <c r="J455" s="62"/>
      <c r="K455" s="62"/>
      <c r="L455" s="62"/>
      <c r="M455" s="62"/>
      <c r="N455" s="62"/>
      <c r="O455" s="62"/>
      <c r="P455" s="62"/>
      <c r="Q455" s="62"/>
      <c r="R455" s="62"/>
      <c r="S455" s="62"/>
      <c r="T455" s="10">
        <f t="shared" si="1"/>
        <v>0</v>
      </c>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row>
    <row r="456">
      <c r="A456" s="62"/>
      <c r="B456" s="63"/>
      <c r="C456" s="62"/>
      <c r="D456" s="62"/>
      <c r="E456" s="62"/>
      <c r="F456" s="62"/>
      <c r="G456" s="62"/>
      <c r="H456" s="62"/>
      <c r="I456" s="62"/>
      <c r="J456" s="62"/>
      <c r="K456" s="62"/>
      <c r="L456" s="62"/>
      <c r="M456" s="62"/>
      <c r="N456" s="62"/>
      <c r="O456" s="62"/>
      <c r="P456" s="62"/>
      <c r="Q456" s="62"/>
      <c r="R456" s="62"/>
      <c r="S456" s="62"/>
      <c r="T456" s="10">
        <f t="shared" si="1"/>
        <v>0</v>
      </c>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row>
    <row r="457">
      <c r="A457" s="62"/>
      <c r="B457" s="63"/>
      <c r="C457" s="62"/>
      <c r="D457" s="62"/>
      <c r="E457" s="62"/>
      <c r="F457" s="62"/>
      <c r="G457" s="62"/>
      <c r="H457" s="62"/>
      <c r="I457" s="62"/>
      <c r="J457" s="62"/>
      <c r="K457" s="62"/>
      <c r="L457" s="62"/>
      <c r="M457" s="62"/>
      <c r="N457" s="62"/>
      <c r="O457" s="62"/>
      <c r="P457" s="62"/>
      <c r="Q457" s="62"/>
      <c r="R457" s="62"/>
      <c r="S457" s="62"/>
      <c r="T457" s="10">
        <f t="shared" si="1"/>
        <v>0</v>
      </c>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row>
    <row r="458">
      <c r="A458" s="62"/>
      <c r="B458" s="63"/>
      <c r="C458" s="62"/>
      <c r="D458" s="62"/>
      <c r="E458" s="62"/>
      <c r="F458" s="62"/>
      <c r="G458" s="62"/>
      <c r="H458" s="62"/>
      <c r="I458" s="62"/>
      <c r="J458" s="62"/>
      <c r="K458" s="62"/>
      <c r="L458" s="62"/>
      <c r="M458" s="62"/>
      <c r="N458" s="62"/>
      <c r="O458" s="62"/>
      <c r="P458" s="62"/>
      <c r="Q458" s="62"/>
      <c r="R458" s="62"/>
      <c r="S458" s="62"/>
      <c r="T458" s="10">
        <f t="shared" si="1"/>
        <v>0</v>
      </c>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row>
    <row r="459">
      <c r="A459" s="62"/>
      <c r="B459" s="63"/>
      <c r="C459" s="62"/>
      <c r="D459" s="62"/>
      <c r="E459" s="62"/>
      <c r="F459" s="62"/>
      <c r="G459" s="62"/>
      <c r="H459" s="62"/>
      <c r="I459" s="62"/>
      <c r="J459" s="62"/>
      <c r="K459" s="62"/>
      <c r="L459" s="62"/>
      <c r="M459" s="62"/>
      <c r="N459" s="62"/>
      <c r="O459" s="62"/>
      <c r="P459" s="62"/>
      <c r="Q459" s="62"/>
      <c r="R459" s="62"/>
      <c r="S459" s="62"/>
      <c r="T459" s="10">
        <f t="shared" si="1"/>
        <v>0</v>
      </c>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row>
    <row r="460">
      <c r="A460" s="62"/>
      <c r="B460" s="63"/>
      <c r="C460" s="62"/>
      <c r="D460" s="62"/>
      <c r="E460" s="62"/>
      <c r="F460" s="62"/>
      <c r="G460" s="62"/>
      <c r="H460" s="62"/>
      <c r="I460" s="62"/>
      <c r="J460" s="62"/>
      <c r="K460" s="62"/>
      <c r="L460" s="62"/>
      <c r="M460" s="62"/>
      <c r="N460" s="62"/>
      <c r="O460" s="62"/>
      <c r="P460" s="62"/>
      <c r="Q460" s="62"/>
      <c r="R460" s="62"/>
      <c r="S460" s="62"/>
      <c r="T460" s="10">
        <f t="shared" si="1"/>
        <v>0</v>
      </c>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row>
    <row r="461">
      <c r="A461" s="62"/>
      <c r="B461" s="63"/>
      <c r="C461" s="62"/>
      <c r="D461" s="62"/>
      <c r="E461" s="62"/>
      <c r="F461" s="62"/>
      <c r="G461" s="62"/>
      <c r="H461" s="62"/>
      <c r="I461" s="62"/>
      <c r="J461" s="62"/>
      <c r="K461" s="62"/>
      <c r="L461" s="62"/>
      <c r="M461" s="62"/>
      <c r="N461" s="62"/>
      <c r="O461" s="62"/>
      <c r="P461" s="62"/>
      <c r="Q461" s="62"/>
      <c r="R461" s="62"/>
      <c r="S461" s="62"/>
      <c r="T461" s="10">
        <f t="shared" si="1"/>
        <v>0</v>
      </c>
      <c r="U461" s="62"/>
      <c r="V461" s="62"/>
      <c r="W461" s="62"/>
      <c r="X461" s="62"/>
      <c r="Y461" s="62"/>
      <c r="Z461" s="62"/>
      <c r="AA461" s="62"/>
      <c r="AB461" s="62"/>
      <c r="AC461" s="62"/>
      <c r="AD461" s="62"/>
      <c r="AE461" s="62"/>
      <c r="AF461" s="62"/>
      <c r="AG461" s="62"/>
      <c r="AH461" s="62"/>
      <c r="AI461" s="62"/>
      <c r="AJ461" s="62"/>
      <c r="AK461" s="62"/>
      <c r="AL461" s="62"/>
      <c r="AM461" s="62"/>
      <c r="AN461" s="62"/>
      <c r="AO461" s="62"/>
      <c r="AP461" s="62"/>
      <c r="AQ461" s="62"/>
    </row>
    <row r="462">
      <c r="A462" s="62"/>
      <c r="B462" s="63"/>
      <c r="C462" s="62"/>
      <c r="D462" s="62"/>
      <c r="E462" s="62"/>
      <c r="F462" s="62"/>
      <c r="G462" s="62"/>
      <c r="H462" s="62"/>
      <c r="I462" s="62"/>
      <c r="J462" s="62"/>
      <c r="K462" s="62"/>
      <c r="L462" s="62"/>
      <c r="M462" s="62"/>
      <c r="N462" s="62"/>
      <c r="O462" s="62"/>
      <c r="P462" s="62"/>
      <c r="Q462" s="62"/>
      <c r="R462" s="62"/>
      <c r="S462" s="62"/>
      <c r="T462" s="10">
        <f t="shared" si="1"/>
        <v>0</v>
      </c>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row>
    <row r="463">
      <c r="A463" s="62"/>
      <c r="B463" s="63"/>
      <c r="C463" s="62"/>
      <c r="D463" s="62"/>
      <c r="E463" s="62"/>
      <c r="F463" s="62"/>
      <c r="G463" s="62"/>
      <c r="H463" s="62"/>
      <c r="I463" s="62"/>
      <c r="J463" s="62"/>
      <c r="K463" s="62"/>
      <c r="L463" s="62"/>
      <c r="M463" s="62"/>
      <c r="N463" s="62"/>
      <c r="O463" s="62"/>
      <c r="P463" s="62"/>
      <c r="Q463" s="62"/>
      <c r="R463" s="62"/>
      <c r="S463" s="62"/>
      <c r="T463" s="10">
        <f t="shared" si="1"/>
        <v>0</v>
      </c>
      <c r="U463" s="62"/>
      <c r="V463" s="62"/>
      <c r="W463" s="62"/>
      <c r="X463" s="62"/>
      <c r="Y463" s="62"/>
      <c r="Z463" s="62"/>
      <c r="AA463" s="62"/>
      <c r="AB463" s="62"/>
      <c r="AC463" s="62"/>
      <c r="AD463" s="62"/>
      <c r="AE463" s="62"/>
      <c r="AF463" s="62"/>
      <c r="AG463" s="62"/>
      <c r="AH463" s="62"/>
      <c r="AI463" s="62"/>
      <c r="AJ463" s="62"/>
      <c r="AK463" s="62"/>
      <c r="AL463" s="62"/>
      <c r="AM463" s="62"/>
      <c r="AN463" s="62"/>
      <c r="AO463" s="62"/>
      <c r="AP463" s="62"/>
      <c r="AQ463" s="62"/>
    </row>
    <row r="464">
      <c r="A464" s="62"/>
      <c r="B464" s="63"/>
      <c r="C464" s="62"/>
      <c r="D464" s="62"/>
      <c r="E464" s="62"/>
      <c r="F464" s="62"/>
      <c r="G464" s="62"/>
      <c r="H464" s="62"/>
      <c r="I464" s="62"/>
      <c r="J464" s="62"/>
      <c r="K464" s="62"/>
      <c r="L464" s="62"/>
      <c r="M464" s="62"/>
      <c r="N464" s="62"/>
      <c r="O464" s="62"/>
      <c r="P464" s="62"/>
      <c r="Q464" s="62"/>
      <c r="R464" s="62"/>
      <c r="S464" s="62"/>
      <c r="T464" s="10">
        <f t="shared" si="1"/>
        <v>0</v>
      </c>
      <c r="U464" s="62"/>
      <c r="V464" s="62"/>
      <c r="W464" s="62"/>
      <c r="X464" s="62"/>
      <c r="Y464" s="62"/>
      <c r="Z464" s="62"/>
      <c r="AA464" s="62"/>
      <c r="AB464" s="62"/>
      <c r="AC464" s="62"/>
      <c r="AD464" s="62"/>
      <c r="AE464" s="62"/>
      <c r="AF464" s="62"/>
      <c r="AG464" s="62"/>
      <c r="AH464" s="62"/>
      <c r="AI464" s="62"/>
      <c r="AJ464" s="62"/>
      <c r="AK464" s="62"/>
      <c r="AL464" s="62"/>
      <c r="AM464" s="62"/>
      <c r="AN464" s="62"/>
      <c r="AO464" s="62"/>
      <c r="AP464" s="62"/>
      <c r="AQ464" s="62"/>
    </row>
    <row r="465">
      <c r="A465" s="62"/>
      <c r="B465" s="63"/>
      <c r="C465" s="62"/>
      <c r="D465" s="62"/>
      <c r="E465" s="62"/>
      <c r="F465" s="62"/>
      <c r="G465" s="62"/>
      <c r="H465" s="62"/>
      <c r="I465" s="62"/>
      <c r="J465" s="62"/>
      <c r="K465" s="62"/>
      <c r="L465" s="62"/>
      <c r="M465" s="62"/>
      <c r="N465" s="62"/>
      <c r="O465" s="62"/>
      <c r="P465" s="62"/>
      <c r="Q465" s="62"/>
      <c r="R465" s="62"/>
      <c r="S465" s="62"/>
      <c r="T465" s="10">
        <f t="shared" si="1"/>
        <v>0</v>
      </c>
      <c r="U465" s="62"/>
      <c r="V465" s="62"/>
      <c r="W465" s="62"/>
      <c r="X465" s="62"/>
      <c r="Y465" s="62"/>
      <c r="Z465" s="62"/>
      <c r="AA465" s="62"/>
      <c r="AB465" s="62"/>
      <c r="AC465" s="62"/>
      <c r="AD465" s="62"/>
      <c r="AE465" s="62"/>
      <c r="AF465" s="62"/>
      <c r="AG465" s="62"/>
      <c r="AH465" s="62"/>
      <c r="AI465" s="62"/>
      <c r="AJ465" s="62"/>
      <c r="AK465" s="62"/>
      <c r="AL465" s="62"/>
      <c r="AM465" s="62"/>
      <c r="AN465" s="62"/>
      <c r="AO465" s="62"/>
      <c r="AP465" s="62"/>
      <c r="AQ465" s="62"/>
    </row>
    <row r="466">
      <c r="A466" s="62"/>
      <c r="B466" s="63"/>
      <c r="C466" s="62"/>
      <c r="D466" s="62"/>
      <c r="E466" s="62"/>
      <c r="F466" s="62"/>
      <c r="G466" s="62"/>
      <c r="H466" s="62"/>
      <c r="I466" s="62"/>
      <c r="J466" s="62"/>
      <c r="K466" s="62"/>
      <c r="L466" s="62"/>
      <c r="M466" s="62"/>
      <c r="N466" s="62"/>
      <c r="O466" s="62"/>
      <c r="P466" s="62"/>
      <c r="Q466" s="62"/>
      <c r="R466" s="62"/>
      <c r="S466" s="62"/>
      <c r="T466" s="10">
        <f t="shared" si="1"/>
        <v>0</v>
      </c>
      <c r="U466" s="62"/>
      <c r="V466" s="62"/>
      <c r="W466" s="62"/>
      <c r="X466" s="62"/>
      <c r="Y466" s="62"/>
      <c r="Z466" s="62"/>
      <c r="AA466" s="62"/>
      <c r="AB466" s="62"/>
      <c r="AC466" s="62"/>
      <c r="AD466" s="62"/>
      <c r="AE466" s="62"/>
      <c r="AF466" s="62"/>
      <c r="AG466" s="62"/>
      <c r="AH466" s="62"/>
      <c r="AI466" s="62"/>
      <c r="AJ466" s="62"/>
      <c r="AK466" s="62"/>
      <c r="AL466" s="62"/>
      <c r="AM466" s="62"/>
      <c r="AN466" s="62"/>
      <c r="AO466" s="62"/>
      <c r="AP466" s="62"/>
      <c r="AQ466" s="62"/>
    </row>
    <row r="467">
      <c r="A467" s="62"/>
      <c r="B467" s="63"/>
      <c r="C467" s="62"/>
      <c r="D467" s="62"/>
      <c r="E467" s="62"/>
      <c r="F467" s="62"/>
      <c r="G467" s="62"/>
      <c r="H467" s="62"/>
      <c r="I467" s="62"/>
      <c r="J467" s="62"/>
      <c r="K467" s="62"/>
      <c r="L467" s="62"/>
      <c r="M467" s="62"/>
      <c r="N467" s="62"/>
      <c r="O467" s="62"/>
      <c r="P467" s="62"/>
      <c r="Q467" s="62"/>
      <c r="R467" s="62"/>
      <c r="S467" s="62"/>
      <c r="T467" s="10">
        <f t="shared" si="1"/>
        <v>0</v>
      </c>
      <c r="U467" s="62"/>
      <c r="V467" s="62"/>
      <c r="W467" s="62"/>
      <c r="X467" s="62"/>
      <c r="Y467" s="62"/>
      <c r="Z467" s="62"/>
      <c r="AA467" s="62"/>
      <c r="AB467" s="62"/>
      <c r="AC467" s="62"/>
      <c r="AD467" s="62"/>
      <c r="AE467" s="62"/>
      <c r="AF467" s="62"/>
      <c r="AG467" s="62"/>
      <c r="AH467" s="62"/>
      <c r="AI467" s="62"/>
      <c r="AJ467" s="62"/>
      <c r="AK467" s="62"/>
      <c r="AL467" s="62"/>
      <c r="AM467" s="62"/>
      <c r="AN467" s="62"/>
      <c r="AO467" s="62"/>
      <c r="AP467" s="62"/>
      <c r="AQ467" s="62"/>
    </row>
    <row r="468">
      <c r="A468" s="62"/>
      <c r="B468" s="63"/>
      <c r="C468" s="62"/>
      <c r="D468" s="62"/>
      <c r="E468" s="62"/>
      <c r="F468" s="62"/>
      <c r="G468" s="62"/>
      <c r="H468" s="62"/>
      <c r="I468" s="62"/>
      <c r="J468" s="62"/>
      <c r="K468" s="62"/>
      <c r="L468" s="62"/>
      <c r="M468" s="62"/>
      <c r="N468" s="62"/>
      <c r="O468" s="62"/>
      <c r="P468" s="62"/>
      <c r="Q468" s="62"/>
      <c r="R468" s="62"/>
      <c r="S468" s="62"/>
      <c r="T468" s="10">
        <f t="shared" si="1"/>
        <v>0</v>
      </c>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row>
    <row r="469">
      <c r="A469" s="62"/>
      <c r="B469" s="63"/>
      <c r="C469" s="62"/>
      <c r="D469" s="62"/>
      <c r="E469" s="62"/>
      <c r="F469" s="62"/>
      <c r="G469" s="62"/>
      <c r="H469" s="62"/>
      <c r="I469" s="62"/>
      <c r="J469" s="62"/>
      <c r="K469" s="62"/>
      <c r="L469" s="62"/>
      <c r="M469" s="62"/>
      <c r="N469" s="62"/>
      <c r="O469" s="62"/>
      <c r="P469" s="62"/>
      <c r="Q469" s="62"/>
      <c r="R469" s="62"/>
      <c r="S469" s="62"/>
      <c r="T469" s="10">
        <f t="shared" si="1"/>
        <v>0</v>
      </c>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row>
    <row r="470">
      <c r="A470" s="62"/>
      <c r="B470" s="63"/>
      <c r="C470" s="62"/>
      <c r="D470" s="62"/>
      <c r="E470" s="62"/>
      <c r="F470" s="62"/>
      <c r="G470" s="62"/>
      <c r="H470" s="62"/>
      <c r="I470" s="62"/>
      <c r="J470" s="62"/>
      <c r="K470" s="62"/>
      <c r="L470" s="62"/>
      <c r="M470" s="62"/>
      <c r="N470" s="62"/>
      <c r="O470" s="62"/>
      <c r="P470" s="62"/>
      <c r="Q470" s="62"/>
      <c r="R470" s="62"/>
      <c r="S470" s="62"/>
      <c r="T470" s="10">
        <f t="shared" si="1"/>
        <v>0</v>
      </c>
      <c r="U470" s="62"/>
      <c r="V470" s="62"/>
      <c r="W470" s="62"/>
      <c r="X470" s="62"/>
      <c r="Y470" s="62"/>
      <c r="Z470" s="62"/>
      <c r="AA470" s="62"/>
      <c r="AB470" s="62"/>
      <c r="AC470" s="62"/>
      <c r="AD470" s="62"/>
      <c r="AE470" s="62"/>
      <c r="AF470" s="62"/>
      <c r="AG470" s="62"/>
      <c r="AH470" s="62"/>
      <c r="AI470" s="62"/>
      <c r="AJ470" s="62"/>
      <c r="AK470" s="62"/>
      <c r="AL470" s="62"/>
      <c r="AM470" s="62"/>
      <c r="AN470" s="62"/>
      <c r="AO470" s="62"/>
      <c r="AP470" s="62"/>
      <c r="AQ470" s="62"/>
    </row>
    <row r="471">
      <c r="A471" s="62"/>
      <c r="B471" s="63"/>
      <c r="C471" s="62"/>
      <c r="D471" s="62"/>
      <c r="E471" s="62"/>
      <c r="F471" s="62"/>
      <c r="G471" s="62"/>
      <c r="H471" s="62"/>
      <c r="I471" s="62"/>
      <c r="J471" s="62"/>
      <c r="K471" s="62"/>
      <c r="L471" s="62"/>
      <c r="M471" s="62"/>
      <c r="N471" s="62"/>
      <c r="O471" s="62"/>
      <c r="P471" s="62"/>
      <c r="Q471" s="62"/>
      <c r="R471" s="62"/>
      <c r="S471" s="62"/>
      <c r="T471" s="10">
        <f t="shared" si="1"/>
        <v>0</v>
      </c>
      <c r="U471" s="62"/>
      <c r="V471" s="62"/>
      <c r="W471" s="62"/>
      <c r="X471" s="62"/>
      <c r="Y471" s="62"/>
      <c r="Z471" s="62"/>
      <c r="AA471" s="62"/>
      <c r="AB471" s="62"/>
      <c r="AC471" s="62"/>
      <c r="AD471" s="62"/>
      <c r="AE471" s="62"/>
      <c r="AF471" s="62"/>
      <c r="AG471" s="62"/>
      <c r="AH471" s="62"/>
      <c r="AI471" s="62"/>
      <c r="AJ471" s="62"/>
      <c r="AK471" s="62"/>
      <c r="AL471" s="62"/>
      <c r="AM471" s="62"/>
      <c r="AN471" s="62"/>
      <c r="AO471" s="62"/>
      <c r="AP471" s="62"/>
      <c r="AQ471" s="62"/>
    </row>
    <row r="472">
      <c r="A472" s="62"/>
      <c r="B472" s="63"/>
      <c r="C472" s="62"/>
      <c r="D472" s="62"/>
      <c r="E472" s="62"/>
      <c r="F472" s="62"/>
      <c r="G472" s="62"/>
      <c r="H472" s="62"/>
      <c r="I472" s="62"/>
      <c r="J472" s="62"/>
      <c r="K472" s="62"/>
      <c r="L472" s="62"/>
      <c r="M472" s="62"/>
      <c r="N472" s="62"/>
      <c r="O472" s="62"/>
      <c r="P472" s="62"/>
      <c r="Q472" s="62"/>
      <c r="R472" s="62"/>
      <c r="S472" s="62"/>
      <c r="T472" s="10">
        <f t="shared" si="1"/>
        <v>0</v>
      </c>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c r="AQ472" s="62"/>
    </row>
    <row r="473">
      <c r="A473" s="62"/>
      <c r="B473" s="63"/>
      <c r="C473" s="62"/>
      <c r="D473" s="62"/>
      <c r="E473" s="62"/>
      <c r="F473" s="62"/>
      <c r="G473" s="62"/>
      <c r="H473" s="62"/>
      <c r="I473" s="62"/>
      <c r="J473" s="62"/>
      <c r="K473" s="62"/>
      <c r="L473" s="62"/>
      <c r="M473" s="62"/>
      <c r="N473" s="62"/>
      <c r="O473" s="62"/>
      <c r="P473" s="62"/>
      <c r="Q473" s="62"/>
      <c r="R473" s="62"/>
      <c r="S473" s="62"/>
      <c r="T473" s="10">
        <f t="shared" si="1"/>
        <v>0</v>
      </c>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row>
    <row r="474">
      <c r="A474" s="62"/>
      <c r="B474" s="63"/>
      <c r="C474" s="62"/>
      <c r="D474" s="62"/>
      <c r="E474" s="62"/>
      <c r="F474" s="62"/>
      <c r="G474" s="62"/>
      <c r="H474" s="62"/>
      <c r="I474" s="62"/>
      <c r="J474" s="62"/>
      <c r="K474" s="62"/>
      <c r="L474" s="62"/>
      <c r="M474" s="62"/>
      <c r="N474" s="62"/>
      <c r="O474" s="62"/>
      <c r="P474" s="62"/>
      <c r="Q474" s="62"/>
      <c r="R474" s="62"/>
      <c r="S474" s="62"/>
      <c r="T474" s="10">
        <f t="shared" si="1"/>
        <v>0</v>
      </c>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row>
    <row r="475">
      <c r="A475" s="62"/>
      <c r="B475" s="63"/>
      <c r="C475" s="62"/>
      <c r="D475" s="62"/>
      <c r="E475" s="62"/>
      <c r="F475" s="62"/>
      <c r="G475" s="62"/>
      <c r="H475" s="62"/>
      <c r="I475" s="62"/>
      <c r="J475" s="62"/>
      <c r="K475" s="62"/>
      <c r="L475" s="62"/>
      <c r="M475" s="62"/>
      <c r="N475" s="62"/>
      <c r="O475" s="62"/>
      <c r="P475" s="62"/>
      <c r="Q475" s="62"/>
      <c r="R475" s="62"/>
      <c r="S475" s="62"/>
      <c r="T475" s="10">
        <f t="shared" si="1"/>
        <v>0</v>
      </c>
      <c r="U475" s="62"/>
      <c r="V475" s="62"/>
      <c r="W475" s="62"/>
      <c r="X475" s="62"/>
      <c r="Y475" s="62"/>
      <c r="Z475" s="62"/>
      <c r="AA475" s="62"/>
      <c r="AB475" s="62"/>
      <c r="AC475" s="62"/>
      <c r="AD475" s="62"/>
      <c r="AE475" s="62"/>
      <c r="AF475" s="62"/>
      <c r="AG475" s="62"/>
      <c r="AH475" s="62"/>
      <c r="AI475" s="62"/>
      <c r="AJ475" s="62"/>
      <c r="AK475" s="62"/>
      <c r="AL475" s="62"/>
      <c r="AM475" s="62"/>
      <c r="AN475" s="62"/>
      <c r="AO475" s="62"/>
      <c r="AP475" s="62"/>
      <c r="AQ475" s="62"/>
    </row>
    <row r="476">
      <c r="A476" s="62"/>
      <c r="B476" s="63"/>
      <c r="C476" s="62"/>
      <c r="D476" s="62"/>
      <c r="E476" s="62"/>
      <c r="F476" s="62"/>
      <c r="G476" s="62"/>
      <c r="H476" s="62"/>
      <c r="I476" s="62"/>
      <c r="J476" s="62"/>
      <c r="K476" s="62"/>
      <c r="L476" s="62"/>
      <c r="M476" s="62"/>
      <c r="N476" s="62"/>
      <c r="O476" s="62"/>
      <c r="P476" s="62"/>
      <c r="Q476" s="62"/>
      <c r="R476" s="62"/>
      <c r="S476" s="62"/>
      <c r="T476" s="10">
        <f t="shared" si="1"/>
        <v>0</v>
      </c>
      <c r="U476" s="62"/>
      <c r="V476" s="62"/>
      <c r="W476" s="62"/>
      <c r="X476" s="62"/>
      <c r="Y476" s="62"/>
      <c r="Z476" s="62"/>
      <c r="AA476" s="62"/>
      <c r="AB476" s="62"/>
      <c r="AC476" s="62"/>
      <c r="AD476" s="62"/>
      <c r="AE476" s="62"/>
      <c r="AF476" s="62"/>
      <c r="AG476" s="62"/>
      <c r="AH476" s="62"/>
      <c r="AI476" s="62"/>
      <c r="AJ476" s="62"/>
      <c r="AK476" s="62"/>
      <c r="AL476" s="62"/>
      <c r="AM476" s="62"/>
      <c r="AN476" s="62"/>
      <c r="AO476" s="62"/>
      <c r="AP476" s="62"/>
      <c r="AQ476" s="62"/>
    </row>
    <row r="477">
      <c r="A477" s="62"/>
      <c r="B477" s="63"/>
      <c r="C477" s="62"/>
      <c r="D477" s="62"/>
      <c r="E477" s="62"/>
      <c r="F477" s="62"/>
      <c r="G477" s="62"/>
      <c r="H477" s="62"/>
      <c r="I477" s="62"/>
      <c r="J477" s="62"/>
      <c r="K477" s="62"/>
      <c r="L477" s="62"/>
      <c r="M477" s="62"/>
      <c r="N477" s="62"/>
      <c r="O477" s="62"/>
      <c r="P477" s="62"/>
      <c r="Q477" s="62"/>
      <c r="R477" s="62"/>
      <c r="S477" s="62"/>
      <c r="T477" s="10">
        <f t="shared" si="1"/>
        <v>0</v>
      </c>
      <c r="U477" s="62"/>
      <c r="V477" s="62"/>
      <c r="W477" s="62"/>
      <c r="X477" s="62"/>
      <c r="Y477" s="62"/>
      <c r="Z477" s="62"/>
      <c r="AA477" s="62"/>
      <c r="AB477" s="62"/>
      <c r="AC477" s="62"/>
      <c r="AD477" s="62"/>
      <c r="AE477" s="62"/>
      <c r="AF477" s="62"/>
      <c r="AG477" s="62"/>
      <c r="AH477" s="62"/>
      <c r="AI477" s="62"/>
      <c r="AJ477" s="62"/>
      <c r="AK477" s="62"/>
      <c r="AL477" s="62"/>
      <c r="AM477" s="62"/>
      <c r="AN477" s="62"/>
      <c r="AO477" s="62"/>
      <c r="AP477" s="62"/>
      <c r="AQ477" s="62"/>
    </row>
    <row r="478">
      <c r="A478" s="62"/>
      <c r="B478" s="63"/>
      <c r="C478" s="62"/>
      <c r="D478" s="62"/>
      <c r="E478" s="62"/>
      <c r="F478" s="62"/>
      <c r="G478" s="62"/>
      <c r="H478" s="62"/>
      <c r="I478" s="62"/>
      <c r="J478" s="62"/>
      <c r="K478" s="62"/>
      <c r="L478" s="62"/>
      <c r="M478" s="62"/>
      <c r="N478" s="62"/>
      <c r="O478" s="62"/>
      <c r="P478" s="62"/>
      <c r="Q478" s="62"/>
      <c r="R478" s="62"/>
      <c r="S478" s="62"/>
      <c r="T478" s="10">
        <f t="shared" si="1"/>
        <v>0</v>
      </c>
      <c r="U478" s="62"/>
      <c r="V478" s="62"/>
      <c r="W478" s="62"/>
      <c r="X478" s="62"/>
      <c r="Y478" s="62"/>
      <c r="Z478" s="62"/>
      <c r="AA478" s="62"/>
      <c r="AB478" s="62"/>
      <c r="AC478" s="62"/>
      <c r="AD478" s="62"/>
      <c r="AE478" s="62"/>
      <c r="AF478" s="62"/>
      <c r="AG478" s="62"/>
      <c r="AH478" s="62"/>
      <c r="AI478" s="62"/>
      <c r="AJ478" s="62"/>
      <c r="AK478" s="62"/>
      <c r="AL478" s="62"/>
      <c r="AM478" s="62"/>
      <c r="AN478" s="62"/>
      <c r="AO478" s="62"/>
      <c r="AP478" s="62"/>
      <c r="AQ478" s="62"/>
    </row>
    <row r="479">
      <c r="A479" s="62"/>
      <c r="B479" s="63"/>
      <c r="C479" s="62"/>
      <c r="D479" s="62"/>
      <c r="E479" s="62"/>
      <c r="F479" s="62"/>
      <c r="G479" s="62"/>
      <c r="H479" s="62"/>
      <c r="I479" s="62"/>
      <c r="J479" s="62"/>
      <c r="K479" s="62"/>
      <c r="L479" s="62"/>
      <c r="M479" s="62"/>
      <c r="N479" s="62"/>
      <c r="O479" s="62"/>
      <c r="P479" s="62"/>
      <c r="Q479" s="62"/>
      <c r="R479" s="62"/>
      <c r="S479" s="62"/>
      <c r="T479" s="10">
        <f t="shared" si="1"/>
        <v>0</v>
      </c>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row>
    <row r="480">
      <c r="A480" s="62"/>
      <c r="B480" s="63"/>
      <c r="C480" s="62"/>
      <c r="D480" s="62"/>
      <c r="E480" s="62"/>
      <c r="F480" s="62"/>
      <c r="G480" s="62"/>
      <c r="H480" s="62"/>
      <c r="I480" s="62"/>
      <c r="J480" s="62"/>
      <c r="K480" s="62"/>
      <c r="L480" s="62"/>
      <c r="M480" s="62"/>
      <c r="N480" s="62"/>
      <c r="O480" s="62"/>
      <c r="P480" s="62"/>
      <c r="Q480" s="62"/>
      <c r="R480" s="62"/>
      <c r="S480" s="62"/>
      <c r="T480" s="10">
        <f t="shared" si="1"/>
        <v>0</v>
      </c>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row>
    <row r="481">
      <c r="A481" s="62"/>
      <c r="B481" s="63"/>
      <c r="C481" s="62"/>
      <c r="D481" s="62"/>
      <c r="E481" s="62"/>
      <c r="F481" s="62"/>
      <c r="G481" s="62"/>
      <c r="H481" s="62"/>
      <c r="I481" s="62"/>
      <c r="J481" s="62"/>
      <c r="K481" s="62"/>
      <c r="L481" s="62"/>
      <c r="M481" s="62"/>
      <c r="N481" s="62"/>
      <c r="O481" s="62"/>
      <c r="P481" s="62"/>
      <c r="Q481" s="62"/>
      <c r="R481" s="62"/>
      <c r="S481" s="62"/>
      <c r="T481" s="10">
        <f t="shared" si="1"/>
        <v>0</v>
      </c>
      <c r="U481" s="62"/>
      <c r="V481" s="62"/>
      <c r="W481" s="62"/>
      <c r="X481" s="62"/>
      <c r="Y481" s="62"/>
      <c r="Z481" s="62"/>
      <c r="AA481" s="62"/>
      <c r="AB481" s="62"/>
      <c r="AC481" s="62"/>
      <c r="AD481" s="62"/>
      <c r="AE481" s="62"/>
      <c r="AF481" s="62"/>
      <c r="AG481" s="62"/>
      <c r="AH481" s="62"/>
      <c r="AI481" s="62"/>
      <c r="AJ481" s="62"/>
      <c r="AK481" s="62"/>
      <c r="AL481" s="62"/>
      <c r="AM481" s="62"/>
      <c r="AN481" s="62"/>
      <c r="AO481" s="62"/>
      <c r="AP481" s="62"/>
      <c r="AQ481" s="62"/>
    </row>
    <row r="482">
      <c r="A482" s="62"/>
      <c r="B482" s="63"/>
      <c r="C482" s="62"/>
      <c r="D482" s="62"/>
      <c r="E482" s="62"/>
      <c r="F482" s="62"/>
      <c r="G482" s="62"/>
      <c r="H482" s="62"/>
      <c r="I482" s="62"/>
      <c r="J482" s="62"/>
      <c r="K482" s="62"/>
      <c r="L482" s="62"/>
      <c r="M482" s="62"/>
      <c r="N482" s="62"/>
      <c r="O482" s="62"/>
      <c r="P482" s="62"/>
      <c r="Q482" s="62"/>
      <c r="R482" s="62"/>
      <c r="S482" s="62"/>
      <c r="T482" s="10">
        <f t="shared" si="1"/>
        <v>0</v>
      </c>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row>
    <row r="483">
      <c r="A483" s="62"/>
      <c r="B483" s="63"/>
      <c r="C483" s="62"/>
      <c r="D483" s="62"/>
      <c r="E483" s="62"/>
      <c r="F483" s="62"/>
      <c r="G483" s="62"/>
      <c r="H483" s="62"/>
      <c r="I483" s="62"/>
      <c r="J483" s="62"/>
      <c r="K483" s="62"/>
      <c r="L483" s="62"/>
      <c r="M483" s="62"/>
      <c r="N483" s="62"/>
      <c r="O483" s="62"/>
      <c r="P483" s="62"/>
      <c r="Q483" s="62"/>
      <c r="R483" s="62"/>
      <c r="S483" s="62"/>
      <c r="T483" s="10">
        <f t="shared" si="1"/>
        <v>0</v>
      </c>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row>
    <row r="484">
      <c r="A484" s="62"/>
      <c r="B484" s="63"/>
      <c r="C484" s="62"/>
      <c r="D484" s="62"/>
      <c r="E484" s="62"/>
      <c r="F484" s="62"/>
      <c r="G484" s="62"/>
      <c r="H484" s="62"/>
      <c r="I484" s="62"/>
      <c r="J484" s="62"/>
      <c r="K484" s="62"/>
      <c r="L484" s="62"/>
      <c r="M484" s="62"/>
      <c r="N484" s="62"/>
      <c r="O484" s="62"/>
      <c r="P484" s="62"/>
      <c r="Q484" s="62"/>
      <c r="R484" s="62"/>
      <c r="S484" s="62"/>
      <c r="T484" s="10">
        <f t="shared" si="1"/>
        <v>0</v>
      </c>
      <c r="U484" s="62"/>
      <c r="V484" s="62"/>
      <c r="W484" s="62"/>
      <c r="X484" s="62"/>
      <c r="Y484" s="62"/>
      <c r="Z484" s="62"/>
      <c r="AA484" s="62"/>
      <c r="AB484" s="62"/>
      <c r="AC484" s="62"/>
      <c r="AD484" s="62"/>
      <c r="AE484" s="62"/>
      <c r="AF484" s="62"/>
      <c r="AG484" s="62"/>
      <c r="AH484" s="62"/>
      <c r="AI484" s="62"/>
      <c r="AJ484" s="62"/>
      <c r="AK484" s="62"/>
      <c r="AL484" s="62"/>
      <c r="AM484" s="62"/>
      <c r="AN484" s="62"/>
      <c r="AO484" s="62"/>
      <c r="AP484" s="62"/>
      <c r="AQ484" s="62"/>
    </row>
    <row r="485">
      <c r="A485" s="62"/>
      <c r="B485" s="63"/>
      <c r="C485" s="62"/>
      <c r="D485" s="62"/>
      <c r="E485" s="62"/>
      <c r="F485" s="62"/>
      <c r="G485" s="62"/>
      <c r="H485" s="62"/>
      <c r="I485" s="62"/>
      <c r="J485" s="62"/>
      <c r="K485" s="62"/>
      <c r="L485" s="62"/>
      <c r="M485" s="62"/>
      <c r="N485" s="62"/>
      <c r="O485" s="62"/>
      <c r="P485" s="62"/>
      <c r="Q485" s="62"/>
      <c r="R485" s="62"/>
      <c r="S485" s="62"/>
      <c r="T485" s="10">
        <f t="shared" si="1"/>
        <v>0</v>
      </c>
      <c r="U485" s="62"/>
      <c r="V485" s="62"/>
      <c r="W485" s="62"/>
      <c r="X485" s="62"/>
      <c r="Y485" s="62"/>
      <c r="Z485" s="62"/>
      <c r="AA485" s="62"/>
      <c r="AB485" s="62"/>
      <c r="AC485" s="62"/>
      <c r="AD485" s="62"/>
      <c r="AE485" s="62"/>
      <c r="AF485" s="62"/>
      <c r="AG485" s="62"/>
      <c r="AH485" s="62"/>
      <c r="AI485" s="62"/>
      <c r="AJ485" s="62"/>
      <c r="AK485" s="62"/>
      <c r="AL485" s="62"/>
      <c r="AM485" s="62"/>
      <c r="AN485" s="62"/>
      <c r="AO485" s="62"/>
      <c r="AP485" s="62"/>
      <c r="AQ485" s="62"/>
    </row>
    <row r="486">
      <c r="A486" s="62"/>
      <c r="B486" s="63"/>
      <c r="C486" s="62"/>
      <c r="D486" s="62"/>
      <c r="E486" s="62"/>
      <c r="F486" s="62"/>
      <c r="G486" s="62"/>
      <c r="H486" s="62"/>
      <c r="I486" s="62"/>
      <c r="J486" s="62"/>
      <c r="K486" s="62"/>
      <c r="L486" s="62"/>
      <c r="M486" s="62"/>
      <c r="N486" s="62"/>
      <c r="O486" s="62"/>
      <c r="P486" s="62"/>
      <c r="Q486" s="62"/>
      <c r="R486" s="62"/>
      <c r="S486" s="62"/>
      <c r="T486" s="10">
        <f t="shared" si="1"/>
        <v>0</v>
      </c>
      <c r="U486" s="62"/>
      <c r="V486" s="62"/>
      <c r="W486" s="62"/>
      <c r="X486" s="62"/>
      <c r="Y486" s="62"/>
      <c r="Z486" s="62"/>
      <c r="AA486" s="62"/>
      <c r="AB486" s="62"/>
      <c r="AC486" s="62"/>
      <c r="AD486" s="62"/>
      <c r="AE486" s="62"/>
      <c r="AF486" s="62"/>
      <c r="AG486" s="62"/>
      <c r="AH486" s="62"/>
      <c r="AI486" s="62"/>
      <c r="AJ486" s="62"/>
      <c r="AK486" s="62"/>
      <c r="AL486" s="62"/>
      <c r="AM486" s="62"/>
      <c r="AN486" s="62"/>
      <c r="AO486" s="62"/>
      <c r="AP486" s="62"/>
      <c r="AQ486" s="62"/>
    </row>
    <row r="487">
      <c r="A487" s="62"/>
      <c r="B487" s="63"/>
      <c r="C487" s="62"/>
      <c r="D487" s="62"/>
      <c r="E487" s="62"/>
      <c r="F487" s="62"/>
      <c r="G487" s="62"/>
      <c r="H487" s="62"/>
      <c r="I487" s="62"/>
      <c r="J487" s="62"/>
      <c r="K487" s="62"/>
      <c r="L487" s="62"/>
      <c r="M487" s="62"/>
      <c r="N487" s="62"/>
      <c r="O487" s="62"/>
      <c r="P487" s="62"/>
      <c r="Q487" s="62"/>
      <c r="R487" s="62"/>
      <c r="S487" s="62"/>
      <c r="T487" s="10">
        <f t="shared" si="1"/>
        <v>0</v>
      </c>
      <c r="U487" s="62"/>
      <c r="V487" s="62"/>
      <c r="W487" s="62"/>
      <c r="X487" s="62"/>
      <c r="Y487" s="62"/>
      <c r="Z487" s="62"/>
      <c r="AA487" s="62"/>
      <c r="AB487" s="62"/>
      <c r="AC487" s="62"/>
      <c r="AD487" s="62"/>
      <c r="AE487" s="62"/>
      <c r="AF487" s="62"/>
      <c r="AG487" s="62"/>
      <c r="AH487" s="62"/>
      <c r="AI487" s="62"/>
      <c r="AJ487" s="62"/>
      <c r="AK487" s="62"/>
      <c r="AL487" s="62"/>
      <c r="AM487" s="62"/>
      <c r="AN487" s="62"/>
      <c r="AO487" s="62"/>
      <c r="AP487" s="62"/>
      <c r="AQ487" s="62"/>
    </row>
    <row r="488">
      <c r="A488" s="62"/>
      <c r="B488" s="63"/>
      <c r="C488" s="62"/>
      <c r="D488" s="62"/>
      <c r="E488" s="62"/>
      <c r="F488" s="62"/>
      <c r="G488" s="62"/>
      <c r="H488" s="62"/>
      <c r="I488" s="62"/>
      <c r="J488" s="62"/>
      <c r="K488" s="62"/>
      <c r="L488" s="62"/>
      <c r="M488" s="62"/>
      <c r="N488" s="62"/>
      <c r="O488" s="62"/>
      <c r="P488" s="62"/>
      <c r="Q488" s="62"/>
      <c r="R488" s="62"/>
      <c r="S488" s="62"/>
      <c r="T488" s="10">
        <f t="shared" si="1"/>
        <v>0</v>
      </c>
      <c r="U488" s="62"/>
      <c r="V488" s="62"/>
      <c r="W488" s="62"/>
      <c r="X488" s="62"/>
      <c r="Y488" s="62"/>
      <c r="Z488" s="62"/>
      <c r="AA488" s="62"/>
      <c r="AB488" s="62"/>
      <c r="AC488" s="62"/>
      <c r="AD488" s="62"/>
      <c r="AE488" s="62"/>
      <c r="AF488" s="62"/>
      <c r="AG488" s="62"/>
      <c r="AH488" s="62"/>
      <c r="AI488" s="62"/>
      <c r="AJ488" s="62"/>
      <c r="AK488" s="62"/>
      <c r="AL488" s="62"/>
      <c r="AM488" s="62"/>
      <c r="AN488" s="62"/>
      <c r="AO488" s="62"/>
      <c r="AP488" s="62"/>
      <c r="AQ488" s="62"/>
    </row>
    <row r="489">
      <c r="A489" s="62"/>
      <c r="B489" s="63"/>
      <c r="C489" s="62"/>
      <c r="D489" s="62"/>
      <c r="E489" s="62"/>
      <c r="F489" s="62"/>
      <c r="G489" s="62"/>
      <c r="H489" s="62"/>
      <c r="I489" s="62"/>
      <c r="J489" s="62"/>
      <c r="K489" s="62"/>
      <c r="L489" s="62"/>
      <c r="M489" s="62"/>
      <c r="N489" s="62"/>
      <c r="O489" s="62"/>
      <c r="P489" s="62"/>
      <c r="Q489" s="62"/>
      <c r="R489" s="62"/>
      <c r="S489" s="62"/>
      <c r="T489" s="10">
        <f t="shared" si="1"/>
        <v>0</v>
      </c>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row>
    <row r="490">
      <c r="A490" s="62"/>
      <c r="B490" s="63"/>
      <c r="C490" s="62"/>
      <c r="D490" s="62"/>
      <c r="E490" s="62"/>
      <c r="F490" s="62"/>
      <c r="G490" s="62"/>
      <c r="H490" s="62"/>
      <c r="I490" s="62"/>
      <c r="J490" s="62"/>
      <c r="K490" s="62"/>
      <c r="L490" s="62"/>
      <c r="M490" s="62"/>
      <c r="N490" s="62"/>
      <c r="O490" s="62"/>
      <c r="P490" s="62"/>
      <c r="Q490" s="62"/>
      <c r="R490" s="62"/>
      <c r="S490" s="62"/>
      <c r="T490" s="10">
        <f t="shared" si="1"/>
        <v>0</v>
      </c>
      <c r="U490" s="62"/>
      <c r="V490" s="62"/>
      <c r="W490" s="62"/>
      <c r="X490" s="62"/>
      <c r="Y490" s="62"/>
      <c r="Z490" s="62"/>
      <c r="AA490" s="62"/>
      <c r="AB490" s="62"/>
      <c r="AC490" s="62"/>
      <c r="AD490" s="62"/>
      <c r="AE490" s="62"/>
      <c r="AF490" s="62"/>
      <c r="AG490" s="62"/>
      <c r="AH490" s="62"/>
      <c r="AI490" s="62"/>
      <c r="AJ490" s="62"/>
      <c r="AK490" s="62"/>
      <c r="AL490" s="62"/>
      <c r="AM490" s="62"/>
      <c r="AN490" s="62"/>
      <c r="AO490" s="62"/>
      <c r="AP490" s="62"/>
      <c r="AQ490" s="62"/>
    </row>
    <row r="491">
      <c r="A491" s="62"/>
      <c r="B491" s="63"/>
      <c r="C491" s="62"/>
      <c r="D491" s="62"/>
      <c r="E491" s="62"/>
      <c r="F491" s="62"/>
      <c r="G491" s="62"/>
      <c r="H491" s="62"/>
      <c r="I491" s="62"/>
      <c r="J491" s="62"/>
      <c r="K491" s="62"/>
      <c r="L491" s="62"/>
      <c r="M491" s="62"/>
      <c r="N491" s="62"/>
      <c r="O491" s="62"/>
      <c r="P491" s="62"/>
      <c r="Q491" s="62"/>
      <c r="R491" s="62"/>
      <c r="S491" s="62"/>
      <c r="T491" s="10">
        <f t="shared" si="1"/>
        <v>0</v>
      </c>
      <c r="U491" s="62"/>
      <c r="V491" s="62"/>
      <c r="W491" s="62"/>
      <c r="X491" s="62"/>
      <c r="Y491" s="62"/>
      <c r="Z491" s="62"/>
      <c r="AA491" s="62"/>
      <c r="AB491" s="62"/>
      <c r="AC491" s="62"/>
      <c r="AD491" s="62"/>
      <c r="AE491" s="62"/>
      <c r="AF491" s="62"/>
      <c r="AG491" s="62"/>
      <c r="AH491" s="62"/>
      <c r="AI491" s="62"/>
      <c r="AJ491" s="62"/>
      <c r="AK491" s="62"/>
      <c r="AL491" s="62"/>
      <c r="AM491" s="62"/>
      <c r="AN491" s="62"/>
      <c r="AO491" s="62"/>
      <c r="AP491" s="62"/>
      <c r="AQ491" s="62"/>
    </row>
    <row r="492">
      <c r="A492" s="62"/>
      <c r="B492" s="63"/>
      <c r="C492" s="62"/>
      <c r="D492" s="62"/>
      <c r="E492" s="62"/>
      <c r="F492" s="62"/>
      <c r="G492" s="62"/>
      <c r="H492" s="62"/>
      <c r="I492" s="62"/>
      <c r="J492" s="62"/>
      <c r="K492" s="62"/>
      <c r="L492" s="62"/>
      <c r="M492" s="62"/>
      <c r="N492" s="62"/>
      <c r="O492" s="62"/>
      <c r="P492" s="62"/>
      <c r="Q492" s="62"/>
      <c r="R492" s="62"/>
      <c r="S492" s="62"/>
      <c r="T492" s="10">
        <f t="shared" si="1"/>
        <v>0</v>
      </c>
      <c r="U492" s="62"/>
      <c r="V492" s="62"/>
      <c r="W492" s="62"/>
      <c r="X492" s="62"/>
      <c r="Y492" s="62"/>
      <c r="Z492" s="62"/>
      <c r="AA492" s="62"/>
      <c r="AB492" s="62"/>
      <c r="AC492" s="62"/>
      <c r="AD492" s="62"/>
      <c r="AE492" s="62"/>
      <c r="AF492" s="62"/>
      <c r="AG492" s="62"/>
      <c r="AH492" s="62"/>
      <c r="AI492" s="62"/>
      <c r="AJ492" s="62"/>
      <c r="AK492" s="62"/>
      <c r="AL492" s="62"/>
      <c r="AM492" s="62"/>
      <c r="AN492" s="62"/>
      <c r="AO492" s="62"/>
      <c r="AP492" s="62"/>
      <c r="AQ492" s="62"/>
    </row>
    <row r="493">
      <c r="A493" s="62"/>
      <c r="B493" s="63"/>
      <c r="C493" s="62"/>
      <c r="D493" s="62"/>
      <c r="E493" s="62"/>
      <c r="F493" s="62"/>
      <c r="G493" s="62"/>
      <c r="H493" s="62"/>
      <c r="I493" s="62"/>
      <c r="J493" s="62"/>
      <c r="K493" s="62"/>
      <c r="L493" s="62"/>
      <c r="M493" s="62"/>
      <c r="N493" s="62"/>
      <c r="O493" s="62"/>
      <c r="P493" s="62"/>
      <c r="Q493" s="62"/>
      <c r="R493" s="62"/>
      <c r="S493" s="62"/>
      <c r="T493" s="10">
        <f t="shared" si="1"/>
        <v>0</v>
      </c>
      <c r="U493" s="62"/>
      <c r="V493" s="62"/>
      <c r="W493" s="62"/>
      <c r="X493" s="62"/>
      <c r="Y493" s="62"/>
      <c r="Z493" s="62"/>
      <c r="AA493" s="62"/>
      <c r="AB493" s="62"/>
      <c r="AC493" s="62"/>
      <c r="AD493" s="62"/>
      <c r="AE493" s="62"/>
      <c r="AF493" s="62"/>
      <c r="AG493" s="62"/>
      <c r="AH493" s="62"/>
      <c r="AI493" s="62"/>
      <c r="AJ493" s="62"/>
      <c r="AK493" s="62"/>
      <c r="AL493" s="62"/>
      <c r="AM493" s="62"/>
      <c r="AN493" s="62"/>
      <c r="AO493" s="62"/>
      <c r="AP493" s="62"/>
      <c r="AQ493" s="62"/>
    </row>
    <row r="494">
      <c r="A494" s="62"/>
      <c r="B494" s="63"/>
      <c r="C494" s="62"/>
      <c r="D494" s="62"/>
      <c r="E494" s="62"/>
      <c r="F494" s="62"/>
      <c r="G494" s="62"/>
      <c r="H494" s="62"/>
      <c r="I494" s="62"/>
      <c r="J494" s="62"/>
      <c r="K494" s="62"/>
      <c r="L494" s="62"/>
      <c r="M494" s="62"/>
      <c r="N494" s="62"/>
      <c r="O494" s="62"/>
      <c r="P494" s="62"/>
      <c r="Q494" s="62"/>
      <c r="R494" s="62"/>
      <c r="S494" s="62"/>
      <c r="T494" s="10">
        <f t="shared" si="1"/>
        <v>0</v>
      </c>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row>
    <row r="495">
      <c r="A495" s="62"/>
      <c r="B495" s="63"/>
      <c r="C495" s="62"/>
      <c r="D495" s="62"/>
      <c r="E495" s="62"/>
      <c r="F495" s="62"/>
      <c r="G495" s="62"/>
      <c r="H495" s="62"/>
      <c r="I495" s="62"/>
      <c r="J495" s="62"/>
      <c r="K495" s="62"/>
      <c r="L495" s="62"/>
      <c r="M495" s="62"/>
      <c r="N495" s="62"/>
      <c r="O495" s="62"/>
      <c r="P495" s="62"/>
      <c r="Q495" s="62"/>
      <c r="R495" s="62"/>
      <c r="S495" s="62"/>
      <c r="T495" s="10">
        <f t="shared" si="1"/>
        <v>0</v>
      </c>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row>
    <row r="496">
      <c r="A496" s="62"/>
      <c r="B496" s="63"/>
      <c r="C496" s="62"/>
      <c r="D496" s="62"/>
      <c r="E496" s="62"/>
      <c r="F496" s="62"/>
      <c r="G496" s="62"/>
      <c r="H496" s="62"/>
      <c r="I496" s="62"/>
      <c r="J496" s="62"/>
      <c r="K496" s="62"/>
      <c r="L496" s="62"/>
      <c r="M496" s="62"/>
      <c r="N496" s="62"/>
      <c r="O496" s="62"/>
      <c r="P496" s="62"/>
      <c r="Q496" s="62"/>
      <c r="R496" s="62"/>
      <c r="S496" s="62"/>
      <c r="T496" s="10">
        <f t="shared" si="1"/>
        <v>0</v>
      </c>
      <c r="U496" s="62"/>
      <c r="V496" s="62"/>
      <c r="W496" s="62"/>
      <c r="X496" s="62"/>
      <c r="Y496" s="62"/>
      <c r="Z496" s="62"/>
      <c r="AA496" s="62"/>
      <c r="AB496" s="62"/>
      <c r="AC496" s="62"/>
      <c r="AD496" s="62"/>
      <c r="AE496" s="62"/>
      <c r="AF496" s="62"/>
      <c r="AG496" s="62"/>
      <c r="AH496" s="62"/>
      <c r="AI496" s="62"/>
      <c r="AJ496" s="62"/>
      <c r="AK496" s="62"/>
      <c r="AL496" s="62"/>
      <c r="AM496" s="62"/>
      <c r="AN496" s="62"/>
      <c r="AO496" s="62"/>
      <c r="AP496" s="62"/>
      <c r="AQ496" s="62"/>
    </row>
    <row r="497">
      <c r="A497" s="62"/>
      <c r="B497" s="63"/>
      <c r="C497" s="62"/>
      <c r="D497" s="62"/>
      <c r="E497" s="62"/>
      <c r="F497" s="62"/>
      <c r="G497" s="62"/>
      <c r="H497" s="62"/>
      <c r="I497" s="62"/>
      <c r="J497" s="62"/>
      <c r="K497" s="62"/>
      <c r="L497" s="62"/>
      <c r="M497" s="62"/>
      <c r="N497" s="62"/>
      <c r="O497" s="62"/>
      <c r="P497" s="62"/>
      <c r="Q497" s="62"/>
      <c r="R497" s="62"/>
      <c r="S497" s="62"/>
      <c r="T497" s="10">
        <f t="shared" si="1"/>
        <v>0</v>
      </c>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row>
    <row r="498">
      <c r="A498" s="62"/>
      <c r="B498" s="63"/>
      <c r="C498" s="62"/>
      <c r="D498" s="62"/>
      <c r="E498" s="62"/>
      <c r="F498" s="62"/>
      <c r="G498" s="62"/>
      <c r="H498" s="62"/>
      <c r="I498" s="62"/>
      <c r="J498" s="62"/>
      <c r="K498" s="62"/>
      <c r="L498" s="62"/>
      <c r="M498" s="62"/>
      <c r="N498" s="62"/>
      <c r="O498" s="62"/>
      <c r="P498" s="62"/>
      <c r="Q498" s="62"/>
      <c r="R498" s="62"/>
      <c r="S498" s="62"/>
      <c r="T498" s="10">
        <f t="shared" si="1"/>
        <v>0</v>
      </c>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row>
    <row r="499">
      <c r="A499" s="62"/>
      <c r="B499" s="63"/>
      <c r="C499" s="62"/>
      <c r="D499" s="62"/>
      <c r="E499" s="62"/>
      <c r="F499" s="62"/>
      <c r="G499" s="62"/>
      <c r="H499" s="62"/>
      <c r="I499" s="62"/>
      <c r="J499" s="62"/>
      <c r="K499" s="62"/>
      <c r="L499" s="62"/>
      <c r="M499" s="62"/>
      <c r="N499" s="62"/>
      <c r="O499" s="62"/>
      <c r="P499" s="62"/>
      <c r="Q499" s="62"/>
      <c r="R499" s="62"/>
      <c r="S499" s="62"/>
      <c r="T499" s="10">
        <f t="shared" si="1"/>
        <v>0</v>
      </c>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row>
    <row r="500">
      <c r="A500" s="62"/>
      <c r="B500" s="63"/>
      <c r="C500" s="62"/>
      <c r="D500" s="62"/>
      <c r="E500" s="62"/>
      <c r="F500" s="62"/>
      <c r="G500" s="62"/>
      <c r="H500" s="62"/>
      <c r="I500" s="62"/>
      <c r="J500" s="62"/>
      <c r="K500" s="62"/>
      <c r="L500" s="62"/>
      <c r="M500" s="62"/>
      <c r="N500" s="62"/>
      <c r="O500" s="62"/>
      <c r="P500" s="62"/>
      <c r="Q500" s="62"/>
      <c r="R500" s="62"/>
      <c r="S500" s="62"/>
      <c r="T500" s="10">
        <f t="shared" si="1"/>
        <v>0</v>
      </c>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c r="AQ500" s="62"/>
    </row>
    <row r="501">
      <c r="A501" s="62"/>
      <c r="B501" s="63"/>
      <c r="C501" s="62"/>
      <c r="D501" s="62"/>
      <c r="E501" s="62"/>
      <c r="F501" s="62"/>
      <c r="G501" s="62"/>
      <c r="H501" s="62"/>
      <c r="I501" s="62"/>
      <c r="J501" s="62"/>
      <c r="K501" s="62"/>
      <c r="L501" s="62"/>
      <c r="M501" s="62"/>
      <c r="N501" s="62"/>
      <c r="O501" s="62"/>
      <c r="P501" s="62"/>
      <c r="Q501" s="62"/>
      <c r="R501" s="62"/>
      <c r="S501" s="62"/>
      <c r="T501" s="10">
        <f t="shared" si="1"/>
        <v>0</v>
      </c>
      <c r="U501" s="62"/>
      <c r="V501" s="62"/>
      <c r="W501" s="62"/>
      <c r="X501" s="62"/>
      <c r="Y501" s="62"/>
      <c r="Z501" s="62"/>
      <c r="AA501" s="62"/>
      <c r="AB501" s="62"/>
      <c r="AC501" s="62"/>
      <c r="AD501" s="62"/>
      <c r="AE501" s="62"/>
      <c r="AF501" s="62"/>
      <c r="AG501" s="62"/>
      <c r="AH501" s="62"/>
      <c r="AI501" s="62"/>
      <c r="AJ501" s="62"/>
      <c r="AK501" s="62"/>
      <c r="AL501" s="62"/>
      <c r="AM501" s="62"/>
      <c r="AN501" s="62"/>
      <c r="AO501" s="62"/>
      <c r="AP501" s="62"/>
      <c r="AQ501" s="62"/>
    </row>
    <row r="502">
      <c r="A502" s="62"/>
      <c r="B502" s="63"/>
      <c r="C502" s="62"/>
      <c r="D502" s="62"/>
      <c r="E502" s="62"/>
      <c r="F502" s="62"/>
      <c r="G502" s="62"/>
      <c r="H502" s="62"/>
      <c r="I502" s="62"/>
      <c r="J502" s="62"/>
      <c r="K502" s="62"/>
      <c r="L502" s="62"/>
      <c r="M502" s="62"/>
      <c r="N502" s="62"/>
      <c r="O502" s="62"/>
      <c r="P502" s="62"/>
      <c r="Q502" s="62"/>
      <c r="R502" s="62"/>
      <c r="S502" s="62"/>
      <c r="T502" s="10">
        <f t="shared" si="1"/>
        <v>0</v>
      </c>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row>
    <row r="503">
      <c r="A503" s="62"/>
      <c r="B503" s="63"/>
      <c r="C503" s="62"/>
      <c r="D503" s="62"/>
      <c r="E503" s="62"/>
      <c r="F503" s="62"/>
      <c r="G503" s="62"/>
      <c r="H503" s="62"/>
      <c r="I503" s="62"/>
      <c r="J503" s="62"/>
      <c r="K503" s="62"/>
      <c r="L503" s="62"/>
      <c r="M503" s="62"/>
      <c r="N503" s="62"/>
      <c r="O503" s="62"/>
      <c r="P503" s="62"/>
      <c r="Q503" s="62"/>
      <c r="R503" s="62"/>
      <c r="S503" s="62"/>
      <c r="T503" s="10">
        <f t="shared" si="1"/>
        <v>0</v>
      </c>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row>
    <row r="504">
      <c r="A504" s="62"/>
      <c r="B504" s="63"/>
      <c r="C504" s="62"/>
      <c r="D504" s="62"/>
      <c r="E504" s="62"/>
      <c r="F504" s="62"/>
      <c r="G504" s="62"/>
      <c r="H504" s="62"/>
      <c r="I504" s="62"/>
      <c r="J504" s="62"/>
      <c r="K504" s="62"/>
      <c r="L504" s="62"/>
      <c r="M504" s="62"/>
      <c r="N504" s="62"/>
      <c r="O504" s="62"/>
      <c r="P504" s="62"/>
      <c r="Q504" s="62"/>
      <c r="R504" s="62"/>
      <c r="S504" s="62"/>
      <c r="T504" s="10">
        <f t="shared" si="1"/>
        <v>0</v>
      </c>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row>
    <row r="505">
      <c r="A505" s="62"/>
      <c r="B505" s="63"/>
      <c r="C505" s="62"/>
      <c r="D505" s="62"/>
      <c r="E505" s="62"/>
      <c r="F505" s="62"/>
      <c r="G505" s="62"/>
      <c r="H505" s="62"/>
      <c r="I505" s="62"/>
      <c r="J505" s="62"/>
      <c r="K505" s="62"/>
      <c r="L505" s="62"/>
      <c r="M505" s="62"/>
      <c r="N505" s="62"/>
      <c r="O505" s="62"/>
      <c r="P505" s="62"/>
      <c r="Q505" s="62"/>
      <c r="R505" s="62"/>
      <c r="S505" s="62"/>
      <c r="T505" s="10">
        <f t="shared" si="1"/>
        <v>0</v>
      </c>
      <c r="U505" s="62"/>
      <c r="V505" s="62"/>
      <c r="W505" s="62"/>
      <c r="X505" s="62"/>
      <c r="Y505" s="62"/>
      <c r="Z505" s="62"/>
      <c r="AA505" s="62"/>
      <c r="AB505" s="62"/>
      <c r="AC505" s="62"/>
      <c r="AD505" s="62"/>
      <c r="AE505" s="62"/>
      <c r="AF505" s="62"/>
      <c r="AG505" s="62"/>
      <c r="AH505" s="62"/>
      <c r="AI505" s="62"/>
      <c r="AJ505" s="62"/>
      <c r="AK505" s="62"/>
      <c r="AL505" s="62"/>
      <c r="AM505" s="62"/>
      <c r="AN505" s="62"/>
      <c r="AO505" s="62"/>
      <c r="AP505" s="62"/>
      <c r="AQ505" s="62"/>
    </row>
    <row r="506">
      <c r="A506" s="62"/>
      <c r="B506" s="63"/>
      <c r="C506" s="62"/>
      <c r="D506" s="62"/>
      <c r="E506" s="62"/>
      <c r="F506" s="62"/>
      <c r="G506" s="62"/>
      <c r="H506" s="62"/>
      <c r="I506" s="62"/>
      <c r="J506" s="62"/>
      <c r="K506" s="62"/>
      <c r="L506" s="62"/>
      <c r="M506" s="62"/>
      <c r="N506" s="62"/>
      <c r="O506" s="62"/>
      <c r="P506" s="62"/>
      <c r="Q506" s="62"/>
      <c r="R506" s="62"/>
      <c r="S506" s="62"/>
      <c r="T506" s="10">
        <f t="shared" si="1"/>
        <v>0</v>
      </c>
      <c r="U506" s="62"/>
      <c r="V506" s="62"/>
      <c r="W506" s="62"/>
      <c r="X506" s="62"/>
      <c r="Y506" s="62"/>
      <c r="Z506" s="62"/>
      <c r="AA506" s="62"/>
      <c r="AB506" s="62"/>
      <c r="AC506" s="62"/>
      <c r="AD506" s="62"/>
      <c r="AE506" s="62"/>
      <c r="AF506" s="62"/>
      <c r="AG506" s="62"/>
      <c r="AH506" s="62"/>
      <c r="AI506" s="62"/>
      <c r="AJ506" s="62"/>
      <c r="AK506" s="62"/>
      <c r="AL506" s="62"/>
      <c r="AM506" s="62"/>
      <c r="AN506" s="62"/>
      <c r="AO506" s="62"/>
      <c r="AP506" s="62"/>
      <c r="AQ506" s="62"/>
    </row>
    <row r="507">
      <c r="A507" s="62"/>
      <c r="B507" s="63"/>
      <c r="C507" s="62"/>
      <c r="D507" s="62"/>
      <c r="E507" s="62"/>
      <c r="F507" s="62"/>
      <c r="G507" s="62"/>
      <c r="H507" s="62"/>
      <c r="I507" s="62"/>
      <c r="J507" s="62"/>
      <c r="K507" s="62"/>
      <c r="L507" s="62"/>
      <c r="M507" s="62"/>
      <c r="N507" s="62"/>
      <c r="O507" s="62"/>
      <c r="P507" s="62"/>
      <c r="Q507" s="62"/>
      <c r="R507" s="62"/>
      <c r="S507" s="62"/>
      <c r="T507" s="10">
        <f t="shared" si="1"/>
        <v>0</v>
      </c>
      <c r="U507" s="62"/>
      <c r="V507" s="62"/>
      <c r="W507" s="62"/>
      <c r="X507" s="62"/>
      <c r="Y507" s="62"/>
      <c r="Z507" s="62"/>
      <c r="AA507" s="62"/>
      <c r="AB507" s="62"/>
      <c r="AC507" s="62"/>
      <c r="AD507" s="62"/>
      <c r="AE507" s="62"/>
      <c r="AF507" s="62"/>
      <c r="AG507" s="62"/>
      <c r="AH507" s="62"/>
      <c r="AI507" s="62"/>
      <c r="AJ507" s="62"/>
      <c r="AK507" s="62"/>
      <c r="AL507" s="62"/>
      <c r="AM507" s="62"/>
      <c r="AN507" s="62"/>
      <c r="AO507" s="62"/>
      <c r="AP507" s="62"/>
      <c r="AQ507" s="62"/>
    </row>
    <row r="508">
      <c r="A508" s="62"/>
      <c r="B508" s="63"/>
      <c r="C508" s="62"/>
      <c r="D508" s="62"/>
      <c r="E508" s="62"/>
      <c r="F508" s="62"/>
      <c r="G508" s="62"/>
      <c r="H508" s="62"/>
      <c r="I508" s="62"/>
      <c r="J508" s="62"/>
      <c r="K508" s="62"/>
      <c r="L508" s="62"/>
      <c r="M508" s="62"/>
      <c r="N508" s="62"/>
      <c r="O508" s="62"/>
      <c r="P508" s="62"/>
      <c r="Q508" s="62"/>
      <c r="R508" s="62"/>
      <c r="S508" s="62"/>
      <c r="T508" s="10">
        <f t="shared" si="1"/>
        <v>0</v>
      </c>
      <c r="U508" s="62"/>
      <c r="V508" s="62"/>
      <c r="W508" s="62"/>
      <c r="X508" s="62"/>
      <c r="Y508" s="62"/>
      <c r="Z508" s="62"/>
      <c r="AA508" s="62"/>
      <c r="AB508" s="62"/>
      <c r="AC508" s="62"/>
      <c r="AD508" s="62"/>
      <c r="AE508" s="62"/>
      <c r="AF508" s="62"/>
      <c r="AG508" s="62"/>
      <c r="AH508" s="62"/>
      <c r="AI508" s="62"/>
      <c r="AJ508" s="62"/>
      <c r="AK508" s="62"/>
      <c r="AL508" s="62"/>
      <c r="AM508" s="62"/>
      <c r="AN508" s="62"/>
      <c r="AO508" s="62"/>
      <c r="AP508" s="62"/>
      <c r="AQ508" s="62"/>
    </row>
    <row r="509">
      <c r="A509" s="62"/>
      <c r="B509" s="63"/>
      <c r="C509" s="62"/>
      <c r="D509" s="62"/>
      <c r="E509" s="62"/>
      <c r="F509" s="62"/>
      <c r="G509" s="62"/>
      <c r="H509" s="62"/>
      <c r="I509" s="62"/>
      <c r="J509" s="62"/>
      <c r="K509" s="62"/>
      <c r="L509" s="62"/>
      <c r="M509" s="62"/>
      <c r="N509" s="62"/>
      <c r="O509" s="62"/>
      <c r="P509" s="62"/>
      <c r="Q509" s="62"/>
      <c r="R509" s="62"/>
      <c r="S509" s="62"/>
      <c r="T509" s="10">
        <f t="shared" si="1"/>
        <v>0</v>
      </c>
      <c r="U509" s="62"/>
      <c r="V509" s="62"/>
      <c r="W509" s="62"/>
      <c r="X509" s="62"/>
      <c r="Y509" s="62"/>
      <c r="Z509" s="62"/>
      <c r="AA509" s="62"/>
      <c r="AB509" s="62"/>
      <c r="AC509" s="62"/>
      <c r="AD509" s="62"/>
      <c r="AE509" s="62"/>
      <c r="AF509" s="62"/>
      <c r="AG509" s="62"/>
      <c r="AH509" s="62"/>
      <c r="AI509" s="62"/>
      <c r="AJ509" s="62"/>
      <c r="AK509" s="62"/>
      <c r="AL509" s="62"/>
      <c r="AM509" s="62"/>
      <c r="AN509" s="62"/>
      <c r="AO509" s="62"/>
      <c r="AP509" s="62"/>
      <c r="AQ509" s="62"/>
    </row>
    <row r="510">
      <c r="A510" s="62"/>
      <c r="B510" s="63"/>
      <c r="C510" s="62"/>
      <c r="D510" s="62"/>
      <c r="E510" s="62"/>
      <c r="F510" s="62"/>
      <c r="G510" s="62"/>
      <c r="H510" s="62"/>
      <c r="I510" s="62"/>
      <c r="J510" s="62"/>
      <c r="K510" s="62"/>
      <c r="L510" s="62"/>
      <c r="M510" s="62"/>
      <c r="N510" s="62"/>
      <c r="O510" s="62"/>
      <c r="P510" s="62"/>
      <c r="Q510" s="62"/>
      <c r="R510" s="62"/>
      <c r="S510" s="62"/>
      <c r="T510" s="10">
        <f t="shared" si="1"/>
        <v>0</v>
      </c>
      <c r="U510" s="62"/>
      <c r="V510" s="62"/>
      <c r="W510" s="62"/>
      <c r="X510" s="62"/>
      <c r="Y510" s="62"/>
      <c r="Z510" s="62"/>
      <c r="AA510" s="62"/>
      <c r="AB510" s="62"/>
      <c r="AC510" s="62"/>
      <c r="AD510" s="62"/>
      <c r="AE510" s="62"/>
      <c r="AF510" s="62"/>
      <c r="AG510" s="62"/>
      <c r="AH510" s="62"/>
      <c r="AI510" s="62"/>
      <c r="AJ510" s="62"/>
      <c r="AK510" s="62"/>
      <c r="AL510" s="62"/>
      <c r="AM510" s="62"/>
      <c r="AN510" s="62"/>
      <c r="AO510" s="62"/>
      <c r="AP510" s="62"/>
      <c r="AQ510" s="62"/>
    </row>
    <row r="511">
      <c r="A511" s="62"/>
      <c r="B511" s="63"/>
      <c r="C511" s="62"/>
      <c r="D511" s="62"/>
      <c r="E511" s="62"/>
      <c r="F511" s="62"/>
      <c r="G511" s="62"/>
      <c r="H511" s="62"/>
      <c r="I511" s="62"/>
      <c r="J511" s="62"/>
      <c r="K511" s="62"/>
      <c r="L511" s="62"/>
      <c r="M511" s="62"/>
      <c r="N511" s="62"/>
      <c r="O511" s="62"/>
      <c r="P511" s="62"/>
      <c r="Q511" s="62"/>
      <c r="R511" s="62"/>
      <c r="S511" s="62"/>
      <c r="T511" s="10">
        <f t="shared" si="1"/>
        <v>0</v>
      </c>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row>
    <row r="512">
      <c r="A512" s="62"/>
      <c r="B512" s="63"/>
      <c r="C512" s="62"/>
      <c r="D512" s="62"/>
      <c r="E512" s="62"/>
      <c r="F512" s="62"/>
      <c r="G512" s="62"/>
      <c r="H512" s="62"/>
      <c r="I512" s="62"/>
      <c r="J512" s="62"/>
      <c r="K512" s="62"/>
      <c r="L512" s="62"/>
      <c r="M512" s="62"/>
      <c r="N512" s="62"/>
      <c r="O512" s="62"/>
      <c r="P512" s="62"/>
      <c r="Q512" s="62"/>
      <c r="R512" s="62"/>
      <c r="S512" s="62"/>
      <c r="T512" s="10">
        <f t="shared" si="1"/>
        <v>0</v>
      </c>
      <c r="U512" s="62"/>
      <c r="V512" s="62"/>
      <c r="W512" s="62"/>
      <c r="X512" s="62"/>
      <c r="Y512" s="62"/>
      <c r="Z512" s="62"/>
      <c r="AA512" s="62"/>
      <c r="AB512" s="62"/>
      <c r="AC512" s="62"/>
      <c r="AD512" s="62"/>
      <c r="AE512" s="62"/>
      <c r="AF512" s="62"/>
      <c r="AG512" s="62"/>
      <c r="AH512" s="62"/>
      <c r="AI512" s="62"/>
      <c r="AJ512" s="62"/>
      <c r="AK512" s="62"/>
      <c r="AL512" s="62"/>
      <c r="AM512" s="62"/>
      <c r="AN512" s="62"/>
      <c r="AO512" s="62"/>
      <c r="AP512" s="62"/>
      <c r="AQ512" s="62"/>
    </row>
    <row r="513">
      <c r="A513" s="62"/>
      <c r="B513" s="63"/>
      <c r="C513" s="62"/>
      <c r="D513" s="62"/>
      <c r="E513" s="62"/>
      <c r="F513" s="62"/>
      <c r="G513" s="62"/>
      <c r="H513" s="62"/>
      <c r="I513" s="62"/>
      <c r="J513" s="62"/>
      <c r="K513" s="62"/>
      <c r="L513" s="62"/>
      <c r="M513" s="62"/>
      <c r="N513" s="62"/>
      <c r="O513" s="62"/>
      <c r="P513" s="62"/>
      <c r="Q513" s="62"/>
      <c r="R513" s="62"/>
      <c r="S513" s="62"/>
      <c r="T513" s="10">
        <f t="shared" si="1"/>
        <v>0</v>
      </c>
      <c r="U513" s="62"/>
      <c r="V513" s="62"/>
      <c r="W513" s="62"/>
      <c r="X513" s="62"/>
      <c r="Y513" s="62"/>
      <c r="Z513" s="62"/>
      <c r="AA513" s="62"/>
      <c r="AB513" s="62"/>
      <c r="AC513" s="62"/>
      <c r="AD513" s="62"/>
      <c r="AE513" s="62"/>
      <c r="AF513" s="62"/>
      <c r="AG513" s="62"/>
      <c r="AH513" s="62"/>
      <c r="AI513" s="62"/>
      <c r="AJ513" s="62"/>
      <c r="AK513" s="62"/>
      <c r="AL513" s="62"/>
      <c r="AM513" s="62"/>
      <c r="AN513" s="62"/>
      <c r="AO513" s="62"/>
      <c r="AP513" s="62"/>
      <c r="AQ513" s="62"/>
    </row>
    <row r="514">
      <c r="A514" s="62"/>
      <c r="B514" s="63"/>
      <c r="C514" s="62"/>
      <c r="D514" s="62"/>
      <c r="E514" s="62"/>
      <c r="F514" s="62"/>
      <c r="G514" s="62"/>
      <c r="H514" s="62"/>
      <c r="I514" s="62"/>
      <c r="J514" s="62"/>
      <c r="K514" s="62"/>
      <c r="L514" s="62"/>
      <c r="M514" s="62"/>
      <c r="N514" s="62"/>
      <c r="O514" s="62"/>
      <c r="P514" s="62"/>
      <c r="Q514" s="62"/>
      <c r="R514" s="62"/>
      <c r="S514" s="62"/>
      <c r="T514" s="10">
        <f t="shared" si="1"/>
        <v>0</v>
      </c>
      <c r="U514" s="62"/>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row>
    <row r="515">
      <c r="A515" s="62"/>
      <c r="B515" s="63"/>
      <c r="C515" s="62"/>
      <c r="D515" s="62"/>
      <c r="E515" s="62"/>
      <c r="F515" s="62"/>
      <c r="G515" s="62"/>
      <c r="H515" s="62"/>
      <c r="I515" s="62"/>
      <c r="J515" s="62"/>
      <c r="K515" s="62"/>
      <c r="L515" s="62"/>
      <c r="M515" s="62"/>
      <c r="N515" s="62"/>
      <c r="O515" s="62"/>
      <c r="P515" s="62"/>
      <c r="Q515" s="62"/>
      <c r="R515" s="62"/>
      <c r="S515" s="62"/>
      <c r="T515" s="10">
        <f t="shared" si="1"/>
        <v>0</v>
      </c>
      <c r="U515" s="62"/>
      <c r="V515" s="62"/>
      <c r="W515" s="62"/>
      <c r="X515" s="62"/>
      <c r="Y515" s="62"/>
      <c r="Z515" s="62"/>
      <c r="AA515" s="62"/>
      <c r="AB515" s="62"/>
      <c r="AC515" s="62"/>
      <c r="AD515" s="62"/>
      <c r="AE515" s="62"/>
      <c r="AF515" s="62"/>
      <c r="AG515" s="62"/>
      <c r="AH515" s="62"/>
      <c r="AI515" s="62"/>
      <c r="AJ515" s="62"/>
      <c r="AK515" s="62"/>
      <c r="AL515" s="62"/>
      <c r="AM515" s="62"/>
      <c r="AN515" s="62"/>
      <c r="AO515" s="62"/>
      <c r="AP515" s="62"/>
      <c r="AQ515" s="62"/>
    </row>
    <row r="516">
      <c r="A516" s="62"/>
      <c r="B516" s="63"/>
      <c r="C516" s="62"/>
      <c r="D516" s="62"/>
      <c r="E516" s="62"/>
      <c r="F516" s="62"/>
      <c r="G516" s="62"/>
      <c r="H516" s="62"/>
      <c r="I516" s="62"/>
      <c r="J516" s="62"/>
      <c r="K516" s="62"/>
      <c r="L516" s="62"/>
      <c r="M516" s="62"/>
      <c r="N516" s="62"/>
      <c r="O516" s="62"/>
      <c r="P516" s="62"/>
      <c r="Q516" s="62"/>
      <c r="R516" s="62"/>
      <c r="S516" s="62"/>
      <c r="T516" s="10">
        <f t="shared" si="1"/>
        <v>0</v>
      </c>
      <c r="U516" s="62"/>
      <c r="V516" s="62"/>
      <c r="W516" s="62"/>
      <c r="X516" s="62"/>
      <c r="Y516" s="62"/>
      <c r="Z516" s="62"/>
      <c r="AA516" s="62"/>
      <c r="AB516" s="62"/>
      <c r="AC516" s="62"/>
      <c r="AD516" s="62"/>
      <c r="AE516" s="62"/>
      <c r="AF516" s="62"/>
      <c r="AG516" s="62"/>
      <c r="AH516" s="62"/>
      <c r="AI516" s="62"/>
      <c r="AJ516" s="62"/>
      <c r="AK516" s="62"/>
      <c r="AL516" s="62"/>
      <c r="AM516" s="62"/>
      <c r="AN516" s="62"/>
      <c r="AO516" s="62"/>
      <c r="AP516" s="62"/>
      <c r="AQ516" s="62"/>
    </row>
    <row r="517">
      <c r="A517" s="62"/>
      <c r="B517" s="63"/>
      <c r="C517" s="62"/>
      <c r="D517" s="62"/>
      <c r="E517" s="62"/>
      <c r="F517" s="62"/>
      <c r="G517" s="62"/>
      <c r="H517" s="62"/>
      <c r="I517" s="62"/>
      <c r="J517" s="62"/>
      <c r="K517" s="62"/>
      <c r="L517" s="62"/>
      <c r="M517" s="62"/>
      <c r="N517" s="62"/>
      <c r="O517" s="62"/>
      <c r="P517" s="62"/>
      <c r="Q517" s="62"/>
      <c r="R517" s="62"/>
      <c r="S517" s="62"/>
      <c r="T517" s="10">
        <f t="shared" si="1"/>
        <v>0</v>
      </c>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row>
    <row r="518">
      <c r="A518" s="62"/>
      <c r="B518" s="63"/>
      <c r="C518" s="62"/>
      <c r="D518" s="62"/>
      <c r="E518" s="62"/>
      <c r="F518" s="62"/>
      <c r="G518" s="62"/>
      <c r="H518" s="62"/>
      <c r="I518" s="62"/>
      <c r="J518" s="62"/>
      <c r="K518" s="62"/>
      <c r="L518" s="62"/>
      <c r="M518" s="62"/>
      <c r="N518" s="62"/>
      <c r="O518" s="62"/>
      <c r="P518" s="62"/>
      <c r="Q518" s="62"/>
      <c r="R518" s="62"/>
      <c r="S518" s="62"/>
      <c r="T518" s="10">
        <f t="shared" si="1"/>
        <v>0</v>
      </c>
      <c r="U518" s="62"/>
      <c r="V518" s="62"/>
      <c r="W518" s="62"/>
      <c r="X518" s="62"/>
      <c r="Y518" s="62"/>
      <c r="Z518" s="62"/>
      <c r="AA518" s="62"/>
      <c r="AB518" s="62"/>
      <c r="AC518" s="62"/>
      <c r="AD518" s="62"/>
      <c r="AE518" s="62"/>
      <c r="AF518" s="62"/>
      <c r="AG518" s="62"/>
      <c r="AH518" s="62"/>
      <c r="AI518" s="62"/>
      <c r="AJ518" s="62"/>
      <c r="AK518" s="62"/>
      <c r="AL518" s="62"/>
      <c r="AM518" s="62"/>
      <c r="AN518" s="62"/>
      <c r="AO518" s="62"/>
      <c r="AP518" s="62"/>
      <c r="AQ518" s="62"/>
    </row>
    <row r="519">
      <c r="A519" s="62"/>
      <c r="B519" s="63"/>
      <c r="C519" s="62"/>
      <c r="D519" s="62"/>
      <c r="E519" s="62"/>
      <c r="F519" s="62"/>
      <c r="G519" s="62"/>
      <c r="H519" s="62"/>
      <c r="I519" s="62"/>
      <c r="J519" s="62"/>
      <c r="K519" s="62"/>
      <c r="L519" s="62"/>
      <c r="M519" s="62"/>
      <c r="N519" s="62"/>
      <c r="O519" s="62"/>
      <c r="P519" s="62"/>
      <c r="Q519" s="62"/>
      <c r="R519" s="62"/>
      <c r="S519" s="62"/>
      <c r="T519" s="10">
        <f t="shared" si="1"/>
        <v>0</v>
      </c>
      <c r="U519" s="62"/>
      <c r="V519" s="62"/>
      <c r="W519" s="62"/>
      <c r="X519" s="62"/>
      <c r="Y519" s="62"/>
      <c r="Z519" s="62"/>
      <c r="AA519" s="62"/>
      <c r="AB519" s="62"/>
      <c r="AC519" s="62"/>
      <c r="AD519" s="62"/>
      <c r="AE519" s="62"/>
      <c r="AF519" s="62"/>
      <c r="AG519" s="62"/>
      <c r="AH519" s="62"/>
      <c r="AI519" s="62"/>
      <c r="AJ519" s="62"/>
      <c r="AK519" s="62"/>
      <c r="AL519" s="62"/>
      <c r="AM519" s="62"/>
      <c r="AN519" s="62"/>
      <c r="AO519" s="62"/>
      <c r="AP519" s="62"/>
      <c r="AQ519" s="62"/>
    </row>
    <row r="520">
      <c r="A520" s="62"/>
      <c r="B520" s="63"/>
      <c r="C520" s="62"/>
      <c r="D520" s="62"/>
      <c r="E520" s="62"/>
      <c r="F520" s="62"/>
      <c r="G520" s="62"/>
      <c r="H520" s="62"/>
      <c r="I520" s="62"/>
      <c r="J520" s="62"/>
      <c r="K520" s="62"/>
      <c r="L520" s="62"/>
      <c r="M520" s="62"/>
      <c r="N520" s="62"/>
      <c r="O520" s="62"/>
      <c r="P520" s="62"/>
      <c r="Q520" s="62"/>
      <c r="R520" s="62"/>
      <c r="S520" s="62"/>
      <c r="T520" s="10">
        <f t="shared" si="1"/>
        <v>0</v>
      </c>
      <c r="U520" s="62"/>
      <c r="V520" s="62"/>
      <c r="W520" s="62"/>
      <c r="X520" s="62"/>
      <c r="Y520" s="62"/>
      <c r="Z520" s="62"/>
      <c r="AA520" s="62"/>
      <c r="AB520" s="62"/>
      <c r="AC520" s="62"/>
      <c r="AD520" s="62"/>
      <c r="AE520" s="62"/>
      <c r="AF520" s="62"/>
      <c r="AG520" s="62"/>
      <c r="AH520" s="62"/>
      <c r="AI520" s="62"/>
      <c r="AJ520" s="62"/>
      <c r="AK520" s="62"/>
      <c r="AL520" s="62"/>
      <c r="AM520" s="62"/>
      <c r="AN520" s="62"/>
      <c r="AO520" s="62"/>
      <c r="AP520" s="62"/>
      <c r="AQ520" s="62"/>
    </row>
    <row r="521">
      <c r="A521" s="62"/>
      <c r="B521" s="63"/>
      <c r="C521" s="62"/>
      <c r="D521" s="62"/>
      <c r="E521" s="62"/>
      <c r="F521" s="62"/>
      <c r="G521" s="62"/>
      <c r="H521" s="62"/>
      <c r="I521" s="62"/>
      <c r="J521" s="62"/>
      <c r="K521" s="62"/>
      <c r="L521" s="62"/>
      <c r="M521" s="62"/>
      <c r="N521" s="62"/>
      <c r="O521" s="62"/>
      <c r="P521" s="62"/>
      <c r="Q521" s="62"/>
      <c r="R521" s="62"/>
      <c r="S521" s="62"/>
      <c r="T521" s="10">
        <f t="shared" si="1"/>
        <v>0</v>
      </c>
      <c r="U521" s="62"/>
      <c r="V521" s="62"/>
      <c r="W521" s="62"/>
      <c r="X521" s="62"/>
      <c r="Y521" s="62"/>
      <c r="Z521" s="62"/>
      <c r="AA521" s="62"/>
      <c r="AB521" s="62"/>
      <c r="AC521" s="62"/>
      <c r="AD521" s="62"/>
      <c r="AE521" s="62"/>
      <c r="AF521" s="62"/>
      <c r="AG521" s="62"/>
      <c r="AH521" s="62"/>
      <c r="AI521" s="62"/>
      <c r="AJ521" s="62"/>
      <c r="AK521" s="62"/>
      <c r="AL521" s="62"/>
      <c r="AM521" s="62"/>
      <c r="AN521" s="62"/>
      <c r="AO521" s="62"/>
      <c r="AP521" s="62"/>
      <c r="AQ521" s="62"/>
    </row>
    <row r="522">
      <c r="A522" s="62"/>
      <c r="B522" s="63"/>
      <c r="C522" s="62"/>
      <c r="D522" s="62"/>
      <c r="E522" s="62"/>
      <c r="F522" s="62"/>
      <c r="G522" s="62"/>
      <c r="H522" s="62"/>
      <c r="I522" s="62"/>
      <c r="J522" s="62"/>
      <c r="K522" s="62"/>
      <c r="L522" s="62"/>
      <c r="M522" s="62"/>
      <c r="N522" s="62"/>
      <c r="O522" s="62"/>
      <c r="P522" s="62"/>
      <c r="Q522" s="62"/>
      <c r="R522" s="62"/>
      <c r="S522" s="62"/>
      <c r="T522" s="10">
        <f t="shared" si="1"/>
        <v>0</v>
      </c>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row>
    <row r="523">
      <c r="A523" s="62"/>
      <c r="B523" s="63"/>
      <c r="C523" s="62"/>
      <c r="D523" s="62"/>
      <c r="E523" s="62"/>
      <c r="F523" s="62"/>
      <c r="G523" s="62"/>
      <c r="H523" s="62"/>
      <c r="I523" s="62"/>
      <c r="J523" s="62"/>
      <c r="K523" s="62"/>
      <c r="L523" s="62"/>
      <c r="M523" s="62"/>
      <c r="N523" s="62"/>
      <c r="O523" s="62"/>
      <c r="P523" s="62"/>
      <c r="Q523" s="62"/>
      <c r="R523" s="62"/>
      <c r="S523" s="62"/>
      <c r="T523" s="10">
        <f t="shared" si="1"/>
        <v>0</v>
      </c>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row>
    <row r="524">
      <c r="A524" s="62"/>
      <c r="B524" s="63"/>
      <c r="C524" s="62"/>
      <c r="D524" s="62"/>
      <c r="E524" s="62"/>
      <c r="F524" s="62"/>
      <c r="G524" s="62"/>
      <c r="H524" s="62"/>
      <c r="I524" s="62"/>
      <c r="J524" s="62"/>
      <c r="K524" s="62"/>
      <c r="L524" s="62"/>
      <c r="M524" s="62"/>
      <c r="N524" s="62"/>
      <c r="O524" s="62"/>
      <c r="P524" s="62"/>
      <c r="Q524" s="62"/>
      <c r="R524" s="62"/>
      <c r="S524" s="62"/>
      <c r="T524" s="10">
        <f t="shared" si="1"/>
        <v>0</v>
      </c>
      <c r="U524" s="62"/>
      <c r="V524" s="62"/>
      <c r="W524" s="62"/>
      <c r="X524" s="62"/>
      <c r="Y524" s="62"/>
      <c r="Z524" s="62"/>
      <c r="AA524" s="62"/>
      <c r="AB524" s="62"/>
      <c r="AC524" s="62"/>
      <c r="AD524" s="62"/>
      <c r="AE524" s="62"/>
      <c r="AF524" s="62"/>
      <c r="AG524" s="62"/>
      <c r="AH524" s="62"/>
      <c r="AI524" s="62"/>
      <c r="AJ524" s="62"/>
      <c r="AK524" s="62"/>
      <c r="AL524" s="62"/>
      <c r="AM524" s="62"/>
      <c r="AN524" s="62"/>
      <c r="AO524" s="62"/>
      <c r="AP524" s="62"/>
      <c r="AQ524" s="62"/>
    </row>
    <row r="525">
      <c r="A525" s="62"/>
      <c r="B525" s="63"/>
      <c r="C525" s="62"/>
      <c r="D525" s="62"/>
      <c r="E525" s="62"/>
      <c r="F525" s="62"/>
      <c r="G525" s="62"/>
      <c r="H525" s="62"/>
      <c r="I525" s="62"/>
      <c r="J525" s="62"/>
      <c r="K525" s="62"/>
      <c r="L525" s="62"/>
      <c r="M525" s="62"/>
      <c r="N525" s="62"/>
      <c r="O525" s="62"/>
      <c r="P525" s="62"/>
      <c r="Q525" s="62"/>
      <c r="R525" s="62"/>
      <c r="S525" s="62"/>
      <c r="T525" s="10">
        <f t="shared" si="1"/>
        <v>0</v>
      </c>
      <c r="U525" s="62"/>
      <c r="V525" s="62"/>
      <c r="W525" s="62"/>
      <c r="X525" s="62"/>
      <c r="Y525" s="62"/>
      <c r="Z525" s="62"/>
      <c r="AA525" s="62"/>
      <c r="AB525" s="62"/>
      <c r="AC525" s="62"/>
      <c r="AD525" s="62"/>
      <c r="AE525" s="62"/>
      <c r="AF525" s="62"/>
      <c r="AG525" s="62"/>
      <c r="AH525" s="62"/>
      <c r="AI525" s="62"/>
      <c r="AJ525" s="62"/>
      <c r="AK525" s="62"/>
      <c r="AL525" s="62"/>
      <c r="AM525" s="62"/>
      <c r="AN525" s="62"/>
      <c r="AO525" s="62"/>
      <c r="AP525" s="62"/>
      <c r="AQ525" s="62"/>
    </row>
    <row r="526">
      <c r="A526" s="62"/>
      <c r="B526" s="63"/>
      <c r="C526" s="62"/>
      <c r="D526" s="62"/>
      <c r="E526" s="62"/>
      <c r="F526" s="62"/>
      <c r="G526" s="62"/>
      <c r="H526" s="62"/>
      <c r="I526" s="62"/>
      <c r="J526" s="62"/>
      <c r="K526" s="62"/>
      <c r="L526" s="62"/>
      <c r="M526" s="62"/>
      <c r="N526" s="62"/>
      <c r="O526" s="62"/>
      <c r="P526" s="62"/>
      <c r="Q526" s="62"/>
      <c r="R526" s="62"/>
      <c r="S526" s="62"/>
      <c r="T526" s="10">
        <f t="shared" si="1"/>
        <v>0</v>
      </c>
      <c r="U526" s="62"/>
      <c r="V526" s="62"/>
      <c r="W526" s="62"/>
      <c r="X526" s="62"/>
      <c r="Y526" s="62"/>
      <c r="Z526" s="62"/>
      <c r="AA526" s="62"/>
      <c r="AB526" s="62"/>
      <c r="AC526" s="62"/>
      <c r="AD526" s="62"/>
      <c r="AE526" s="62"/>
      <c r="AF526" s="62"/>
      <c r="AG526" s="62"/>
      <c r="AH526" s="62"/>
      <c r="AI526" s="62"/>
      <c r="AJ526" s="62"/>
      <c r="AK526" s="62"/>
      <c r="AL526" s="62"/>
      <c r="AM526" s="62"/>
      <c r="AN526" s="62"/>
      <c r="AO526" s="62"/>
      <c r="AP526" s="62"/>
      <c r="AQ526" s="62"/>
    </row>
    <row r="527">
      <c r="A527" s="62"/>
      <c r="B527" s="63"/>
      <c r="C527" s="62"/>
      <c r="D527" s="62"/>
      <c r="E527" s="62"/>
      <c r="F527" s="62"/>
      <c r="G527" s="62"/>
      <c r="H527" s="62"/>
      <c r="I527" s="62"/>
      <c r="J527" s="62"/>
      <c r="K527" s="62"/>
      <c r="L527" s="62"/>
      <c r="M527" s="62"/>
      <c r="N527" s="62"/>
      <c r="O527" s="62"/>
      <c r="P527" s="62"/>
      <c r="Q527" s="62"/>
      <c r="R527" s="62"/>
      <c r="S527" s="62"/>
      <c r="T527" s="10">
        <f t="shared" si="1"/>
        <v>0</v>
      </c>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row>
    <row r="528">
      <c r="A528" s="62"/>
      <c r="B528" s="63"/>
      <c r="C528" s="62"/>
      <c r="D528" s="62"/>
      <c r="E528" s="62"/>
      <c r="F528" s="62"/>
      <c r="G528" s="62"/>
      <c r="H528" s="62"/>
      <c r="I528" s="62"/>
      <c r="J528" s="62"/>
      <c r="K528" s="62"/>
      <c r="L528" s="62"/>
      <c r="M528" s="62"/>
      <c r="N528" s="62"/>
      <c r="O528" s="62"/>
      <c r="P528" s="62"/>
      <c r="Q528" s="62"/>
      <c r="R528" s="62"/>
      <c r="S528" s="62"/>
      <c r="T528" s="10">
        <f t="shared" si="1"/>
        <v>0</v>
      </c>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row>
    <row r="529">
      <c r="A529" s="62"/>
      <c r="B529" s="63"/>
      <c r="C529" s="62"/>
      <c r="D529" s="62"/>
      <c r="E529" s="62"/>
      <c r="F529" s="62"/>
      <c r="G529" s="62"/>
      <c r="H529" s="62"/>
      <c r="I529" s="62"/>
      <c r="J529" s="62"/>
      <c r="K529" s="62"/>
      <c r="L529" s="62"/>
      <c r="M529" s="62"/>
      <c r="N529" s="62"/>
      <c r="O529" s="62"/>
      <c r="P529" s="62"/>
      <c r="Q529" s="62"/>
      <c r="R529" s="62"/>
      <c r="S529" s="62"/>
      <c r="T529" s="10">
        <f t="shared" si="1"/>
        <v>0</v>
      </c>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row>
    <row r="530">
      <c r="A530" s="62"/>
      <c r="B530" s="63"/>
      <c r="C530" s="62"/>
      <c r="D530" s="62"/>
      <c r="E530" s="62"/>
      <c r="F530" s="62"/>
      <c r="G530" s="62"/>
      <c r="H530" s="62"/>
      <c r="I530" s="62"/>
      <c r="J530" s="62"/>
      <c r="K530" s="62"/>
      <c r="L530" s="62"/>
      <c r="M530" s="62"/>
      <c r="N530" s="62"/>
      <c r="O530" s="62"/>
      <c r="P530" s="62"/>
      <c r="Q530" s="62"/>
      <c r="R530" s="62"/>
      <c r="S530" s="62"/>
      <c r="T530" s="10">
        <f t="shared" si="1"/>
        <v>0</v>
      </c>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row>
    <row r="531">
      <c r="A531" s="62"/>
      <c r="B531" s="63"/>
      <c r="C531" s="62"/>
      <c r="D531" s="62"/>
      <c r="E531" s="62"/>
      <c r="F531" s="62"/>
      <c r="G531" s="62"/>
      <c r="H531" s="62"/>
      <c r="I531" s="62"/>
      <c r="J531" s="62"/>
      <c r="K531" s="62"/>
      <c r="L531" s="62"/>
      <c r="M531" s="62"/>
      <c r="N531" s="62"/>
      <c r="O531" s="62"/>
      <c r="P531" s="62"/>
      <c r="Q531" s="62"/>
      <c r="R531" s="62"/>
      <c r="S531" s="62"/>
      <c r="T531" s="10">
        <f t="shared" si="1"/>
        <v>0</v>
      </c>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row>
    <row r="532">
      <c r="A532" s="62"/>
      <c r="B532" s="63"/>
      <c r="C532" s="62"/>
      <c r="D532" s="62"/>
      <c r="E532" s="62"/>
      <c r="F532" s="62"/>
      <c r="G532" s="62"/>
      <c r="H532" s="62"/>
      <c r="I532" s="62"/>
      <c r="J532" s="62"/>
      <c r="K532" s="62"/>
      <c r="L532" s="62"/>
      <c r="M532" s="62"/>
      <c r="N532" s="62"/>
      <c r="O532" s="62"/>
      <c r="P532" s="62"/>
      <c r="Q532" s="62"/>
      <c r="R532" s="62"/>
      <c r="S532" s="62"/>
      <c r="T532" s="10">
        <f t="shared" si="1"/>
        <v>0</v>
      </c>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row>
    <row r="533">
      <c r="A533" s="62"/>
      <c r="B533" s="63"/>
      <c r="C533" s="62"/>
      <c r="D533" s="62"/>
      <c r="E533" s="62"/>
      <c r="F533" s="62"/>
      <c r="G533" s="62"/>
      <c r="H533" s="62"/>
      <c r="I533" s="62"/>
      <c r="J533" s="62"/>
      <c r="K533" s="62"/>
      <c r="L533" s="62"/>
      <c r="M533" s="62"/>
      <c r="N533" s="62"/>
      <c r="O533" s="62"/>
      <c r="P533" s="62"/>
      <c r="Q533" s="62"/>
      <c r="R533" s="62"/>
      <c r="S533" s="62"/>
      <c r="T533" s="10">
        <f t="shared" si="1"/>
        <v>0</v>
      </c>
      <c r="U533" s="62"/>
      <c r="V533" s="62"/>
      <c r="W533" s="62"/>
      <c r="X533" s="62"/>
      <c r="Y533" s="62"/>
      <c r="Z533" s="62"/>
      <c r="AA533" s="62"/>
      <c r="AB533" s="62"/>
      <c r="AC533" s="62"/>
      <c r="AD533" s="62"/>
      <c r="AE533" s="62"/>
      <c r="AF533" s="62"/>
      <c r="AG533" s="62"/>
      <c r="AH533" s="62"/>
      <c r="AI533" s="62"/>
      <c r="AJ533" s="62"/>
      <c r="AK533" s="62"/>
      <c r="AL533" s="62"/>
      <c r="AM533" s="62"/>
      <c r="AN533" s="62"/>
      <c r="AO533" s="62"/>
      <c r="AP533" s="62"/>
      <c r="AQ533" s="62"/>
    </row>
    <row r="534">
      <c r="A534" s="62"/>
      <c r="B534" s="63"/>
      <c r="C534" s="62"/>
      <c r="D534" s="62"/>
      <c r="E534" s="62"/>
      <c r="F534" s="62"/>
      <c r="G534" s="62"/>
      <c r="H534" s="62"/>
      <c r="I534" s="62"/>
      <c r="J534" s="62"/>
      <c r="K534" s="62"/>
      <c r="L534" s="62"/>
      <c r="M534" s="62"/>
      <c r="N534" s="62"/>
      <c r="O534" s="62"/>
      <c r="P534" s="62"/>
      <c r="Q534" s="62"/>
      <c r="R534" s="62"/>
      <c r="S534" s="62"/>
      <c r="T534" s="10">
        <f t="shared" si="1"/>
        <v>0</v>
      </c>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c r="AQ534" s="62"/>
    </row>
    <row r="535">
      <c r="A535" s="62"/>
      <c r="B535" s="63"/>
      <c r="C535" s="62"/>
      <c r="D535" s="62"/>
      <c r="E535" s="62"/>
      <c r="F535" s="62"/>
      <c r="G535" s="62"/>
      <c r="H535" s="62"/>
      <c r="I535" s="62"/>
      <c r="J535" s="62"/>
      <c r="K535" s="62"/>
      <c r="L535" s="62"/>
      <c r="M535" s="62"/>
      <c r="N535" s="62"/>
      <c r="O535" s="62"/>
      <c r="P535" s="62"/>
      <c r="Q535" s="62"/>
      <c r="R535" s="62"/>
      <c r="S535" s="62"/>
      <c r="T535" s="10">
        <f t="shared" si="1"/>
        <v>0</v>
      </c>
      <c r="U535" s="62"/>
      <c r="V535" s="62"/>
      <c r="W535" s="62"/>
      <c r="X535" s="62"/>
      <c r="Y535" s="62"/>
      <c r="Z535" s="62"/>
      <c r="AA535" s="62"/>
      <c r="AB535" s="62"/>
      <c r="AC535" s="62"/>
      <c r="AD535" s="62"/>
      <c r="AE535" s="62"/>
      <c r="AF535" s="62"/>
      <c r="AG535" s="62"/>
      <c r="AH535" s="62"/>
      <c r="AI535" s="62"/>
      <c r="AJ535" s="62"/>
      <c r="AK535" s="62"/>
      <c r="AL535" s="62"/>
      <c r="AM535" s="62"/>
      <c r="AN535" s="62"/>
      <c r="AO535" s="62"/>
      <c r="AP535" s="62"/>
      <c r="AQ535" s="62"/>
    </row>
    <row r="536">
      <c r="A536" s="62"/>
      <c r="B536" s="63"/>
      <c r="C536" s="62"/>
      <c r="D536" s="62"/>
      <c r="E536" s="62"/>
      <c r="F536" s="62"/>
      <c r="G536" s="62"/>
      <c r="H536" s="62"/>
      <c r="I536" s="62"/>
      <c r="J536" s="62"/>
      <c r="K536" s="62"/>
      <c r="L536" s="62"/>
      <c r="M536" s="62"/>
      <c r="N536" s="62"/>
      <c r="O536" s="62"/>
      <c r="P536" s="62"/>
      <c r="Q536" s="62"/>
      <c r="R536" s="62"/>
      <c r="S536" s="62"/>
      <c r="T536" s="10">
        <f t="shared" si="1"/>
        <v>0</v>
      </c>
      <c r="U536" s="62"/>
      <c r="V536" s="62"/>
      <c r="W536" s="62"/>
      <c r="X536" s="62"/>
      <c r="Y536" s="62"/>
      <c r="Z536" s="62"/>
      <c r="AA536" s="62"/>
      <c r="AB536" s="62"/>
      <c r="AC536" s="62"/>
      <c r="AD536" s="62"/>
      <c r="AE536" s="62"/>
      <c r="AF536" s="62"/>
      <c r="AG536" s="62"/>
      <c r="AH536" s="62"/>
      <c r="AI536" s="62"/>
      <c r="AJ536" s="62"/>
      <c r="AK536" s="62"/>
      <c r="AL536" s="62"/>
      <c r="AM536" s="62"/>
      <c r="AN536" s="62"/>
      <c r="AO536" s="62"/>
      <c r="AP536" s="62"/>
      <c r="AQ536" s="62"/>
    </row>
    <row r="537">
      <c r="A537" s="62"/>
      <c r="B537" s="63"/>
      <c r="C537" s="62"/>
      <c r="D537" s="62"/>
      <c r="E537" s="62"/>
      <c r="F537" s="62"/>
      <c r="G537" s="62"/>
      <c r="H537" s="62"/>
      <c r="I537" s="62"/>
      <c r="J537" s="62"/>
      <c r="K537" s="62"/>
      <c r="L537" s="62"/>
      <c r="M537" s="62"/>
      <c r="N537" s="62"/>
      <c r="O537" s="62"/>
      <c r="P537" s="62"/>
      <c r="Q537" s="62"/>
      <c r="R537" s="62"/>
      <c r="S537" s="62"/>
      <c r="T537" s="10">
        <f t="shared" si="1"/>
        <v>0</v>
      </c>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row>
    <row r="538">
      <c r="A538" s="62"/>
      <c r="B538" s="63"/>
      <c r="C538" s="62"/>
      <c r="D538" s="62"/>
      <c r="E538" s="62"/>
      <c r="F538" s="62"/>
      <c r="G538" s="62"/>
      <c r="H538" s="62"/>
      <c r="I538" s="62"/>
      <c r="J538" s="62"/>
      <c r="K538" s="62"/>
      <c r="L538" s="62"/>
      <c r="M538" s="62"/>
      <c r="N538" s="62"/>
      <c r="O538" s="62"/>
      <c r="P538" s="62"/>
      <c r="Q538" s="62"/>
      <c r="R538" s="62"/>
      <c r="S538" s="62"/>
      <c r="T538" s="10">
        <f t="shared" si="1"/>
        <v>0</v>
      </c>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row>
    <row r="539">
      <c r="A539" s="62"/>
      <c r="B539" s="63"/>
      <c r="C539" s="62"/>
      <c r="D539" s="62"/>
      <c r="E539" s="62"/>
      <c r="F539" s="62"/>
      <c r="G539" s="62"/>
      <c r="H539" s="62"/>
      <c r="I539" s="62"/>
      <c r="J539" s="62"/>
      <c r="K539" s="62"/>
      <c r="L539" s="62"/>
      <c r="M539" s="62"/>
      <c r="N539" s="62"/>
      <c r="O539" s="62"/>
      <c r="P539" s="62"/>
      <c r="Q539" s="62"/>
      <c r="R539" s="62"/>
      <c r="S539" s="62"/>
      <c r="T539" s="10">
        <f t="shared" si="1"/>
        <v>0</v>
      </c>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row>
    <row r="540">
      <c r="A540" s="62"/>
      <c r="B540" s="63"/>
      <c r="C540" s="62"/>
      <c r="D540" s="62"/>
      <c r="E540" s="62"/>
      <c r="F540" s="62"/>
      <c r="G540" s="62"/>
      <c r="H540" s="62"/>
      <c r="I540" s="62"/>
      <c r="J540" s="62"/>
      <c r="K540" s="62"/>
      <c r="L540" s="62"/>
      <c r="M540" s="62"/>
      <c r="N540" s="62"/>
      <c r="O540" s="62"/>
      <c r="P540" s="62"/>
      <c r="Q540" s="62"/>
      <c r="R540" s="62"/>
      <c r="S540" s="62"/>
      <c r="T540" s="10">
        <f t="shared" si="1"/>
        <v>0</v>
      </c>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row>
    <row r="541">
      <c r="A541" s="62"/>
      <c r="B541" s="63"/>
      <c r="C541" s="62"/>
      <c r="D541" s="62"/>
      <c r="E541" s="62"/>
      <c r="F541" s="62"/>
      <c r="G541" s="62"/>
      <c r="H541" s="62"/>
      <c r="I541" s="62"/>
      <c r="J541" s="62"/>
      <c r="K541" s="62"/>
      <c r="L541" s="62"/>
      <c r="M541" s="62"/>
      <c r="N541" s="62"/>
      <c r="O541" s="62"/>
      <c r="P541" s="62"/>
      <c r="Q541" s="62"/>
      <c r="R541" s="62"/>
      <c r="S541" s="62"/>
      <c r="T541" s="10">
        <f t="shared" si="1"/>
        <v>0</v>
      </c>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row>
    <row r="542">
      <c r="A542" s="62"/>
      <c r="B542" s="63"/>
      <c r="C542" s="62"/>
      <c r="D542" s="62"/>
      <c r="E542" s="62"/>
      <c r="F542" s="62"/>
      <c r="G542" s="62"/>
      <c r="H542" s="62"/>
      <c r="I542" s="62"/>
      <c r="J542" s="62"/>
      <c r="K542" s="62"/>
      <c r="L542" s="62"/>
      <c r="M542" s="62"/>
      <c r="N542" s="62"/>
      <c r="O542" s="62"/>
      <c r="P542" s="62"/>
      <c r="Q542" s="62"/>
      <c r="R542" s="62"/>
      <c r="S542" s="62"/>
      <c r="T542" s="10">
        <f t="shared" si="1"/>
        <v>0</v>
      </c>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row>
    <row r="543">
      <c r="A543" s="62"/>
      <c r="B543" s="63"/>
      <c r="C543" s="62"/>
      <c r="D543" s="62"/>
      <c r="E543" s="62"/>
      <c r="F543" s="62"/>
      <c r="G543" s="62"/>
      <c r="H543" s="62"/>
      <c r="I543" s="62"/>
      <c r="J543" s="62"/>
      <c r="K543" s="62"/>
      <c r="L543" s="62"/>
      <c r="M543" s="62"/>
      <c r="N543" s="62"/>
      <c r="O543" s="62"/>
      <c r="P543" s="62"/>
      <c r="Q543" s="62"/>
      <c r="R543" s="62"/>
      <c r="S543" s="62"/>
      <c r="T543" s="10">
        <f t="shared" si="1"/>
        <v>0</v>
      </c>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row>
    <row r="544">
      <c r="A544" s="62"/>
      <c r="B544" s="63"/>
      <c r="C544" s="62"/>
      <c r="D544" s="62"/>
      <c r="E544" s="62"/>
      <c r="F544" s="62"/>
      <c r="G544" s="62"/>
      <c r="H544" s="62"/>
      <c r="I544" s="62"/>
      <c r="J544" s="62"/>
      <c r="K544" s="62"/>
      <c r="L544" s="62"/>
      <c r="M544" s="62"/>
      <c r="N544" s="62"/>
      <c r="O544" s="62"/>
      <c r="P544" s="62"/>
      <c r="Q544" s="62"/>
      <c r="R544" s="62"/>
      <c r="S544" s="62"/>
      <c r="T544" s="10">
        <f t="shared" si="1"/>
        <v>0</v>
      </c>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row>
    <row r="545">
      <c r="A545" s="62"/>
      <c r="B545" s="63"/>
      <c r="C545" s="62"/>
      <c r="D545" s="62"/>
      <c r="E545" s="62"/>
      <c r="F545" s="62"/>
      <c r="G545" s="62"/>
      <c r="H545" s="62"/>
      <c r="I545" s="62"/>
      <c r="J545" s="62"/>
      <c r="K545" s="62"/>
      <c r="L545" s="62"/>
      <c r="M545" s="62"/>
      <c r="N545" s="62"/>
      <c r="O545" s="62"/>
      <c r="P545" s="62"/>
      <c r="Q545" s="62"/>
      <c r="R545" s="62"/>
      <c r="S545" s="62"/>
      <c r="T545" s="10">
        <f t="shared" si="1"/>
        <v>0</v>
      </c>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row>
    <row r="546">
      <c r="A546" s="62"/>
      <c r="B546" s="63"/>
      <c r="C546" s="62"/>
      <c r="D546" s="62"/>
      <c r="E546" s="62"/>
      <c r="F546" s="62"/>
      <c r="G546" s="62"/>
      <c r="H546" s="62"/>
      <c r="I546" s="62"/>
      <c r="J546" s="62"/>
      <c r="K546" s="62"/>
      <c r="L546" s="62"/>
      <c r="M546" s="62"/>
      <c r="N546" s="62"/>
      <c r="O546" s="62"/>
      <c r="P546" s="62"/>
      <c r="Q546" s="62"/>
      <c r="R546" s="62"/>
      <c r="S546" s="62"/>
      <c r="T546" s="10">
        <f t="shared" si="1"/>
        <v>0</v>
      </c>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row>
    <row r="547">
      <c r="A547" s="62"/>
      <c r="B547" s="63"/>
      <c r="C547" s="62"/>
      <c r="D547" s="62"/>
      <c r="E547" s="62"/>
      <c r="F547" s="62"/>
      <c r="G547" s="62"/>
      <c r="H547" s="62"/>
      <c r="I547" s="62"/>
      <c r="J547" s="62"/>
      <c r="K547" s="62"/>
      <c r="L547" s="62"/>
      <c r="M547" s="62"/>
      <c r="N547" s="62"/>
      <c r="O547" s="62"/>
      <c r="P547" s="62"/>
      <c r="Q547" s="62"/>
      <c r="R547" s="62"/>
      <c r="S547" s="62"/>
      <c r="T547" s="10">
        <f t="shared" si="1"/>
        <v>0</v>
      </c>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row>
    <row r="548">
      <c r="A548" s="62"/>
      <c r="B548" s="63"/>
      <c r="C548" s="62"/>
      <c r="D548" s="62"/>
      <c r="E548" s="62"/>
      <c r="F548" s="62"/>
      <c r="G548" s="62"/>
      <c r="H548" s="62"/>
      <c r="I548" s="62"/>
      <c r="J548" s="62"/>
      <c r="K548" s="62"/>
      <c r="L548" s="62"/>
      <c r="M548" s="62"/>
      <c r="N548" s="62"/>
      <c r="O548" s="62"/>
      <c r="P548" s="62"/>
      <c r="Q548" s="62"/>
      <c r="R548" s="62"/>
      <c r="S548" s="62"/>
      <c r="T548" s="10">
        <f t="shared" si="1"/>
        <v>0</v>
      </c>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row>
    <row r="549">
      <c r="A549" s="62"/>
      <c r="B549" s="63"/>
      <c r="C549" s="62"/>
      <c r="D549" s="62"/>
      <c r="E549" s="62"/>
      <c r="F549" s="62"/>
      <c r="G549" s="62"/>
      <c r="H549" s="62"/>
      <c r="I549" s="62"/>
      <c r="J549" s="62"/>
      <c r="K549" s="62"/>
      <c r="L549" s="62"/>
      <c r="M549" s="62"/>
      <c r="N549" s="62"/>
      <c r="O549" s="62"/>
      <c r="P549" s="62"/>
      <c r="Q549" s="62"/>
      <c r="R549" s="62"/>
      <c r="S549" s="62"/>
      <c r="T549" s="10">
        <f t="shared" si="1"/>
        <v>0</v>
      </c>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row>
    <row r="550">
      <c r="A550" s="62"/>
      <c r="B550" s="63"/>
      <c r="C550" s="62"/>
      <c r="D550" s="62"/>
      <c r="E550" s="62"/>
      <c r="F550" s="62"/>
      <c r="G550" s="62"/>
      <c r="H550" s="62"/>
      <c r="I550" s="62"/>
      <c r="J550" s="62"/>
      <c r="K550" s="62"/>
      <c r="L550" s="62"/>
      <c r="M550" s="62"/>
      <c r="N550" s="62"/>
      <c r="O550" s="62"/>
      <c r="P550" s="62"/>
      <c r="Q550" s="62"/>
      <c r="R550" s="62"/>
      <c r="S550" s="62"/>
      <c r="T550" s="10">
        <f t="shared" si="1"/>
        <v>0</v>
      </c>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row>
    <row r="551">
      <c r="A551" s="62"/>
      <c r="B551" s="63"/>
      <c r="C551" s="62"/>
      <c r="D551" s="62"/>
      <c r="E551" s="62"/>
      <c r="F551" s="62"/>
      <c r="G551" s="62"/>
      <c r="H551" s="62"/>
      <c r="I551" s="62"/>
      <c r="J551" s="62"/>
      <c r="K551" s="62"/>
      <c r="L551" s="62"/>
      <c r="M551" s="62"/>
      <c r="N551" s="62"/>
      <c r="O551" s="62"/>
      <c r="P551" s="62"/>
      <c r="Q551" s="62"/>
      <c r="R551" s="62"/>
      <c r="S551" s="62"/>
      <c r="T551" s="10">
        <f t="shared" si="1"/>
        <v>0</v>
      </c>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row>
    <row r="552">
      <c r="A552" s="62"/>
      <c r="B552" s="63"/>
      <c r="C552" s="62"/>
      <c r="D552" s="62"/>
      <c r="E552" s="62"/>
      <c r="F552" s="62"/>
      <c r="G552" s="62"/>
      <c r="H552" s="62"/>
      <c r="I552" s="62"/>
      <c r="J552" s="62"/>
      <c r="K552" s="62"/>
      <c r="L552" s="62"/>
      <c r="M552" s="62"/>
      <c r="N552" s="62"/>
      <c r="O552" s="62"/>
      <c r="P552" s="62"/>
      <c r="Q552" s="62"/>
      <c r="R552" s="62"/>
      <c r="S552" s="62"/>
      <c r="T552" s="10">
        <f t="shared" si="1"/>
        <v>0</v>
      </c>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row>
    <row r="553">
      <c r="A553" s="62"/>
      <c r="B553" s="63"/>
      <c r="C553" s="62"/>
      <c r="D553" s="62"/>
      <c r="E553" s="62"/>
      <c r="F553" s="62"/>
      <c r="G553" s="62"/>
      <c r="H553" s="62"/>
      <c r="I553" s="62"/>
      <c r="J553" s="62"/>
      <c r="K553" s="62"/>
      <c r="L553" s="62"/>
      <c r="M553" s="62"/>
      <c r="N553" s="62"/>
      <c r="O553" s="62"/>
      <c r="P553" s="62"/>
      <c r="Q553" s="62"/>
      <c r="R553" s="62"/>
      <c r="S553" s="62"/>
      <c r="T553" s="10">
        <f t="shared" si="1"/>
        <v>0</v>
      </c>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row>
    <row r="554">
      <c r="A554" s="62"/>
      <c r="B554" s="63"/>
      <c r="C554" s="62"/>
      <c r="D554" s="62"/>
      <c r="E554" s="62"/>
      <c r="F554" s="62"/>
      <c r="G554" s="62"/>
      <c r="H554" s="62"/>
      <c r="I554" s="62"/>
      <c r="J554" s="62"/>
      <c r="K554" s="62"/>
      <c r="L554" s="62"/>
      <c r="M554" s="62"/>
      <c r="N554" s="62"/>
      <c r="O554" s="62"/>
      <c r="P554" s="62"/>
      <c r="Q554" s="62"/>
      <c r="R554" s="62"/>
      <c r="S554" s="62"/>
      <c r="T554" s="10">
        <f t="shared" si="1"/>
        <v>0</v>
      </c>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row>
    <row r="555">
      <c r="A555" s="62"/>
      <c r="B555" s="63"/>
      <c r="C555" s="62"/>
      <c r="D555" s="62"/>
      <c r="E555" s="62"/>
      <c r="F555" s="62"/>
      <c r="G555" s="62"/>
      <c r="H555" s="62"/>
      <c r="I555" s="62"/>
      <c r="J555" s="62"/>
      <c r="K555" s="62"/>
      <c r="L555" s="62"/>
      <c r="M555" s="62"/>
      <c r="N555" s="62"/>
      <c r="O555" s="62"/>
      <c r="P555" s="62"/>
      <c r="Q555" s="62"/>
      <c r="R555" s="62"/>
      <c r="S555" s="62"/>
      <c r="T555" s="10">
        <f t="shared" si="1"/>
        <v>0</v>
      </c>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row>
    <row r="556">
      <c r="A556" s="62"/>
      <c r="B556" s="63"/>
      <c r="C556" s="62"/>
      <c r="D556" s="62"/>
      <c r="E556" s="62"/>
      <c r="F556" s="62"/>
      <c r="G556" s="62"/>
      <c r="H556" s="62"/>
      <c r="I556" s="62"/>
      <c r="J556" s="62"/>
      <c r="K556" s="62"/>
      <c r="L556" s="62"/>
      <c r="M556" s="62"/>
      <c r="N556" s="62"/>
      <c r="O556" s="62"/>
      <c r="P556" s="62"/>
      <c r="Q556" s="62"/>
      <c r="R556" s="62"/>
      <c r="S556" s="62"/>
      <c r="T556" s="10">
        <f t="shared" si="1"/>
        <v>0</v>
      </c>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row>
    <row r="557">
      <c r="A557" s="62"/>
      <c r="B557" s="63"/>
      <c r="C557" s="62"/>
      <c r="D557" s="62"/>
      <c r="E557" s="62"/>
      <c r="F557" s="62"/>
      <c r="G557" s="62"/>
      <c r="H557" s="62"/>
      <c r="I557" s="62"/>
      <c r="J557" s="62"/>
      <c r="K557" s="62"/>
      <c r="L557" s="62"/>
      <c r="M557" s="62"/>
      <c r="N557" s="62"/>
      <c r="O557" s="62"/>
      <c r="P557" s="62"/>
      <c r="Q557" s="62"/>
      <c r="R557" s="62"/>
      <c r="S557" s="62"/>
      <c r="T557" s="10">
        <f t="shared" si="1"/>
        <v>0</v>
      </c>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row>
    <row r="558">
      <c r="A558" s="62"/>
      <c r="B558" s="63"/>
      <c r="C558" s="62"/>
      <c r="D558" s="62"/>
      <c r="E558" s="62"/>
      <c r="F558" s="62"/>
      <c r="G558" s="62"/>
      <c r="H558" s="62"/>
      <c r="I558" s="62"/>
      <c r="J558" s="62"/>
      <c r="K558" s="62"/>
      <c r="L558" s="62"/>
      <c r="M558" s="62"/>
      <c r="N558" s="62"/>
      <c r="O558" s="62"/>
      <c r="P558" s="62"/>
      <c r="Q558" s="62"/>
      <c r="R558" s="62"/>
      <c r="S558" s="62"/>
      <c r="T558" s="10">
        <f t="shared" si="1"/>
        <v>0</v>
      </c>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row>
    <row r="559">
      <c r="A559" s="62"/>
      <c r="B559" s="63"/>
      <c r="C559" s="62"/>
      <c r="D559" s="62"/>
      <c r="E559" s="62"/>
      <c r="F559" s="62"/>
      <c r="G559" s="62"/>
      <c r="H559" s="62"/>
      <c r="I559" s="62"/>
      <c r="J559" s="62"/>
      <c r="K559" s="62"/>
      <c r="L559" s="62"/>
      <c r="M559" s="62"/>
      <c r="N559" s="62"/>
      <c r="O559" s="62"/>
      <c r="P559" s="62"/>
      <c r="Q559" s="62"/>
      <c r="R559" s="62"/>
      <c r="S559" s="62"/>
      <c r="T559" s="10">
        <f t="shared" si="1"/>
        <v>0</v>
      </c>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row>
    <row r="560">
      <c r="A560" s="62"/>
      <c r="B560" s="63"/>
      <c r="C560" s="62"/>
      <c r="D560" s="62"/>
      <c r="E560" s="62"/>
      <c r="F560" s="62"/>
      <c r="G560" s="62"/>
      <c r="H560" s="62"/>
      <c r="I560" s="62"/>
      <c r="J560" s="62"/>
      <c r="K560" s="62"/>
      <c r="L560" s="62"/>
      <c r="M560" s="62"/>
      <c r="N560" s="62"/>
      <c r="O560" s="62"/>
      <c r="P560" s="62"/>
      <c r="Q560" s="62"/>
      <c r="R560" s="62"/>
      <c r="S560" s="62"/>
      <c r="T560" s="10">
        <f t="shared" si="1"/>
        <v>0</v>
      </c>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row>
    <row r="561">
      <c r="A561" s="62"/>
      <c r="B561" s="63"/>
      <c r="C561" s="62"/>
      <c r="D561" s="62"/>
      <c r="E561" s="62"/>
      <c r="F561" s="62"/>
      <c r="G561" s="62"/>
      <c r="H561" s="62"/>
      <c r="I561" s="62"/>
      <c r="J561" s="62"/>
      <c r="K561" s="62"/>
      <c r="L561" s="62"/>
      <c r="M561" s="62"/>
      <c r="N561" s="62"/>
      <c r="O561" s="62"/>
      <c r="P561" s="62"/>
      <c r="Q561" s="62"/>
      <c r="R561" s="62"/>
      <c r="S561" s="62"/>
      <c r="T561" s="10">
        <f t="shared" si="1"/>
        <v>0</v>
      </c>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row>
    <row r="562">
      <c r="A562" s="62"/>
      <c r="B562" s="63"/>
      <c r="C562" s="62"/>
      <c r="D562" s="62"/>
      <c r="E562" s="62"/>
      <c r="F562" s="62"/>
      <c r="G562" s="62"/>
      <c r="H562" s="62"/>
      <c r="I562" s="62"/>
      <c r="J562" s="62"/>
      <c r="K562" s="62"/>
      <c r="L562" s="62"/>
      <c r="M562" s="62"/>
      <c r="N562" s="62"/>
      <c r="O562" s="62"/>
      <c r="P562" s="62"/>
      <c r="Q562" s="62"/>
      <c r="R562" s="62"/>
      <c r="S562" s="62"/>
      <c r="T562" s="10">
        <f t="shared" si="1"/>
        <v>0</v>
      </c>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row>
    <row r="563">
      <c r="A563" s="62"/>
      <c r="B563" s="63"/>
      <c r="C563" s="62"/>
      <c r="D563" s="62"/>
      <c r="E563" s="62"/>
      <c r="F563" s="62"/>
      <c r="G563" s="62"/>
      <c r="H563" s="62"/>
      <c r="I563" s="62"/>
      <c r="J563" s="62"/>
      <c r="K563" s="62"/>
      <c r="L563" s="62"/>
      <c r="M563" s="62"/>
      <c r="N563" s="62"/>
      <c r="O563" s="62"/>
      <c r="P563" s="62"/>
      <c r="Q563" s="62"/>
      <c r="R563" s="62"/>
      <c r="S563" s="62"/>
      <c r="T563" s="10">
        <f t="shared" si="1"/>
        <v>0</v>
      </c>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row>
    <row r="564">
      <c r="A564" s="62"/>
      <c r="B564" s="63"/>
      <c r="C564" s="62"/>
      <c r="D564" s="62"/>
      <c r="E564" s="62"/>
      <c r="F564" s="62"/>
      <c r="G564" s="62"/>
      <c r="H564" s="62"/>
      <c r="I564" s="62"/>
      <c r="J564" s="62"/>
      <c r="K564" s="62"/>
      <c r="L564" s="62"/>
      <c r="M564" s="62"/>
      <c r="N564" s="62"/>
      <c r="O564" s="62"/>
      <c r="P564" s="62"/>
      <c r="Q564" s="62"/>
      <c r="R564" s="62"/>
      <c r="S564" s="62"/>
      <c r="T564" s="10">
        <f t="shared" si="1"/>
        <v>0</v>
      </c>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row>
    <row r="565">
      <c r="A565" s="62"/>
      <c r="B565" s="63"/>
      <c r="C565" s="62"/>
      <c r="D565" s="62"/>
      <c r="E565" s="62"/>
      <c r="F565" s="62"/>
      <c r="G565" s="62"/>
      <c r="H565" s="62"/>
      <c r="I565" s="62"/>
      <c r="J565" s="62"/>
      <c r="K565" s="62"/>
      <c r="L565" s="62"/>
      <c r="M565" s="62"/>
      <c r="N565" s="62"/>
      <c r="O565" s="62"/>
      <c r="P565" s="62"/>
      <c r="Q565" s="62"/>
      <c r="R565" s="62"/>
      <c r="S565" s="62"/>
      <c r="T565" s="10">
        <f t="shared" si="1"/>
        <v>0</v>
      </c>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row>
    <row r="566">
      <c r="A566" s="62"/>
      <c r="B566" s="63"/>
      <c r="C566" s="62"/>
      <c r="D566" s="62"/>
      <c r="E566" s="62"/>
      <c r="F566" s="62"/>
      <c r="G566" s="62"/>
      <c r="H566" s="62"/>
      <c r="I566" s="62"/>
      <c r="J566" s="62"/>
      <c r="K566" s="62"/>
      <c r="L566" s="62"/>
      <c r="M566" s="62"/>
      <c r="N566" s="62"/>
      <c r="O566" s="62"/>
      <c r="P566" s="62"/>
      <c r="Q566" s="62"/>
      <c r="R566" s="62"/>
      <c r="S566" s="62"/>
      <c r="T566" s="10">
        <f t="shared" si="1"/>
        <v>0</v>
      </c>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row>
    <row r="567">
      <c r="A567" s="62"/>
      <c r="B567" s="63"/>
      <c r="C567" s="62"/>
      <c r="D567" s="62"/>
      <c r="E567" s="62"/>
      <c r="F567" s="62"/>
      <c r="G567" s="62"/>
      <c r="H567" s="62"/>
      <c r="I567" s="62"/>
      <c r="J567" s="62"/>
      <c r="K567" s="62"/>
      <c r="L567" s="62"/>
      <c r="M567" s="62"/>
      <c r="N567" s="62"/>
      <c r="O567" s="62"/>
      <c r="P567" s="62"/>
      <c r="Q567" s="62"/>
      <c r="R567" s="62"/>
      <c r="S567" s="62"/>
      <c r="T567" s="10">
        <f t="shared" si="1"/>
        <v>0</v>
      </c>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row>
    <row r="568">
      <c r="A568" s="62"/>
      <c r="B568" s="63"/>
      <c r="C568" s="62"/>
      <c r="D568" s="62"/>
      <c r="E568" s="62"/>
      <c r="F568" s="62"/>
      <c r="G568" s="62"/>
      <c r="H568" s="62"/>
      <c r="I568" s="62"/>
      <c r="J568" s="62"/>
      <c r="K568" s="62"/>
      <c r="L568" s="62"/>
      <c r="M568" s="62"/>
      <c r="N568" s="62"/>
      <c r="O568" s="62"/>
      <c r="P568" s="62"/>
      <c r="Q568" s="62"/>
      <c r="R568" s="62"/>
      <c r="S568" s="62"/>
      <c r="T568" s="10">
        <f t="shared" si="1"/>
        <v>0</v>
      </c>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row>
    <row r="569">
      <c r="A569" s="62"/>
      <c r="B569" s="63"/>
      <c r="C569" s="62"/>
      <c r="D569" s="62"/>
      <c r="E569" s="62"/>
      <c r="F569" s="62"/>
      <c r="G569" s="62"/>
      <c r="H569" s="62"/>
      <c r="I569" s="62"/>
      <c r="J569" s="62"/>
      <c r="K569" s="62"/>
      <c r="L569" s="62"/>
      <c r="M569" s="62"/>
      <c r="N569" s="62"/>
      <c r="O569" s="62"/>
      <c r="P569" s="62"/>
      <c r="Q569" s="62"/>
      <c r="R569" s="62"/>
      <c r="S569" s="62"/>
      <c r="T569" s="10">
        <f t="shared" si="1"/>
        <v>0</v>
      </c>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row>
    <row r="570">
      <c r="A570" s="62"/>
      <c r="B570" s="63"/>
      <c r="C570" s="62"/>
      <c r="D570" s="62"/>
      <c r="E570" s="62"/>
      <c r="F570" s="62"/>
      <c r="G570" s="62"/>
      <c r="H570" s="62"/>
      <c r="I570" s="62"/>
      <c r="J570" s="62"/>
      <c r="K570" s="62"/>
      <c r="L570" s="62"/>
      <c r="M570" s="62"/>
      <c r="N570" s="62"/>
      <c r="O570" s="62"/>
      <c r="P570" s="62"/>
      <c r="Q570" s="62"/>
      <c r="R570" s="62"/>
      <c r="S570" s="62"/>
      <c r="T570" s="10">
        <f t="shared" si="1"/>
        <v>0</v>
      </c>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row>
    <row r="571">
      <c r="A571" s="62"/>
      <c r="B571" s="63"/>
      <c r="C571" s="62"/>
      <c r="D571" s="62"/>
      <c r="E571" s="62"/>
      <c r="F571" s="62"/>
      <c r="G571" s="62"/>
      <c r="H571" s="62"/>
      <c r="I571" s="62"/>
      <c r="J571" s="62"/>
      <c r="K571" s="62"/>
      <c r="L571" s="62"/>
      <c r="M571" s="62"/>
      <c r="N571" s="62"/>
      <c r="O571" s="62"/>
      <c r="P571" s="62"/>
      <c r="Q571" s="62"/>
      <c r="R571" s="62"/>
      <c r="S571" s="62"/>
      <c r="T571" s="10">
        <f t="shared" si="1"/>
        <v>0</v>
      </c>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row>
    <row r="572">
      <c r="A572" s="62"/>
      <c r="B572" s="63"/>
      <c r="C572" s="62"/>
      <c r="D572" s="62"/>
      <c r="E572" s="62"/>
      <c r="F572" s="62"/>
      <c r="G572" s="62"/>
      <c r="H572" s="62"/>
      <c r="I572" s="62"/>
      <c r="J572" s="62"/>
      <c r="K572" s="62"/>
      <c r="L572" s="62"/>
      <c r="M572" s="62"/>
      <c r="N572" s="62"/>
      <c r="O572" s="62"/>
      <c r="P572" s="62"/>
      <c r="Q572" s="62"/>
      <c r="R572" s="62"/>
      <c r="S572" s="62"/>
      <c r="T572" s="10">
        <f t="shared" si="1"/>
        <v>0</v>
      </c>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row>
    <row r="573">
      <c r="A573" s="62"/>
      <c r="B573" s="63"/>
      <c r="C573" s="62"/>
      <c r="D573" s="62"/>
      <c r="E573" s="62"/>
      <c r="F573" s="62"/>
      <c r="G573" s="62"/>
      <c r="H573" s="62"/>
      <c r="I573" s="62"/>
      <c r="J573" s="62"/>
      <c r="K573" s="62"/>
      <c r="L573" s="62"/>
      <c r="M573" s="62"/>
      <c r="N573" s="62"/>
      <c r="O573" s="62"/>
      <c r="P573" s="62"/>
      <c r="Q573" s="62"/>
      <c r="R573" s="62"/>
      <c r="S573" s="62"/>
      <c r="T573" s="10">
        <f t="shared" si="1"/>
        <v>0</v>
      </c>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row>
    <row r="574">
      <c r="A574" s="62"/>
      <c r="B574" s="63"/>
      <c r="C574" s="62"/>
      <c r="D574" s="62"/>
      <c r="E574" s="62"/>
      <c r="F574" s="62"/>
      <c r="G574" s="62"/>
      <c r="H574" s="62"/>
      <c r="I574" s="62"/>
      <c r="J574" s="62"/>
      <c r="K574" s="62"/>
      <c r="L574" s="62"/>
      <c r="M574" s="62"/>
      <c r="N574" s="62"/>
      <c r="O574" s="62"/>
      <c r="P574" s="62"/>
      <c r="Q574" s="62"/>
      <c r="R574" s="62"/>
      <c r="S574" s="62"/>
      <c r="T574" s="10">
        <f t="shared" si="1"/>
        <v>0</v>
      </c>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row>
    <row r="575">
      <c r="A575" s="62"/>
      <c r="B575" s="63"/>
      <c r="C575" s="62"/>
      <c r="D575" s="62"/>
      <c r="E575" s="62"/>
      <c r="F575" s="62"/>
      <c r="G575" s="62"/>
      <c r="H575" s="62"/>
      <c r="I575" s="62"/>
      <c r="J575" s="62"/>
      <c r="K575" s="62"/>
      <c r="L575" s="62"/>
      <c r="M575" s="62"/>
      <c r="N575" s="62"/>
      <c r="O575" s="62"/>
      <c r="P575" s="62"/>
      <c r="Q575" s="62"/>
      <c r="R575" s="62"/>
      <c r="S575" s="62"/>
      <c r="T575" s="10">
        <f t="shared" si="1"/>
        <v>0</v>
      </c>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row>
    <row r="576">
      <c r="A576" s="62"/>
      <c r="B576" s="63"/>
      <c r="C576" s="62"/>
      <c r="D576" s="62"/>
      <c r="E576" s="62"/>
      <c r="F576" s="62"/>
      <c r="G576" s="62"/>
      <c r="H576" s="62"/>
      <c r="I576" s="62"/>
      <c r="J576" s="62"/>
      <c r="K576" s="62"/>
      <c r="L576" s="62"/>
      <c r="M576" s="62"/>
      <c r="N576" s="62"/>
      <c r="O576" s="62"/>
      <c r="P576" s="62"/>
      <c r="Q576" s="62"/>
      <c r="R576" s="62"/>
      <c r="S576" s="62"/>
      <c r="T576" s="10">
        <f t="shared" si="1"/>
        <v>0</v>
      </c>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row>
    <row r="577">
      <c r="A577" s="62"/>
      <c r="B577" s="63"/>
      <c r="C577" s="62"/>
      <c r="D577" s="62"/>
      <c r="E577" s="62"/>
      <c r="F577" s="62"/>
      <c r="G577" s="62"/>
      <c r="H577" s="62"/>
      <c r="I577" s="62"/>
      <c r="J577" s="62"/>
      <c r="K577" s="62"/>
      <c r="L577" s="62"/>
      <c r="M577" s="62"/>
      <c r="N577" s="62"/>
      <c r="O577" s="62"/>
      <c r="P577" s="62"/>
      <c r="Q577" s="62"/>
      <c r="R577" s="62"/>
      <c r="S577" s="62"/>
      <c r="T577" s="10">
        <f t="shared" si="1"/>
        <v>0</v>
      </c>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row>
    <row r="578">
      <c r="A578" s="62"/>
      <c r="B578" s="63"/>
      <c r="C578" s="62"/>
      <c r="D578" s="62"/>
      <c r="E578" s="62"/>
      <c r="F578" s="62"/>
      <c r="G578" s="62"/>
      <c r="H578" s="62"/>
      <c r="I578" s="62"/>
      <c r="J578" s="62"/>
      <c r="K578" s="62"/>
      <c r="L578" s="62"/>
      <c r="M578" s="62"/>
      <c r="N578" s="62"/>
      <c r="O578" s="62"/>
      <c r="P578" s="62"/>
      <c r="Q578" s="62"/>
      <c r="R578" s="62"/>
      <c r="S578" s="62"/>
      <c r="T578" s="10">
        <f t="shared" si="1"/>
        <v>0</v>
      </c>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row>
    <row r="579">
      <c r="A579" s="62"/>
      <c r="B579" s="63"/>
      <c r="C579" s="62"/>
      <c r="D579" s="62"/>
      <c r="E579" s="62"/>
      <c r="F579" s="62"/>
      <c r="G579" s="62"/>
      <c r="H579" s="62"/>
      <c r="I579" s="62"/>
      <c r="J579" s="62"/>
      <c r="K579" s="62"/>
      <c r="L579" s="62"/>
      <c r="M579" s="62"/>
      <c r="N579" s="62"/>
      <c r="O579" s="62"/>
      <c r="P579" s="62"/>
      <c r="Q579" s="62"/>
      <c r="R579" s="62"/>
      <c r="S579" s="62"/>
      <c r="T579" s="10">
        <f t="shared" si="1"/>
        <v>0</v>
      </c>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row>
    <row r="580">
      <c r="A580" s="62"/>
      <c r="B580" s="63"/>
      <c r="C580" s="62"/>
      <c r="D580" s="62"/>
      <c r="E580" s="62"/>
      <c r="F580" s="62"/>
      <c r="G580" s="62"/>
      <c r="H580" s="62"/>
      <c r="I580" s="62"/>
      <c r="J580" s="62"/>
      <c r="K580" s="62"/>
      <c r="L580" s="62"/>
      <c r="M580" s="62"/>
      <c r="N580" s="62"/>
      <c r="O580" s="62"/>
      <c r="P580" s="62"/>
      <c r="Q580" s="62"/>
      <c r="R580" s="62"/>
      <c r="S580" s="62"/>
      <c r="T580" s="10">
        <f t="shared" si="1"/>
        <v>0</v>
      </c>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row>
    <row r="581">
      <c r="A581" s="62"/>
      <c r="B581" s="63"/>
      <c r="C581" s="62"/>
      <c r="D581" s="62"/>
      <c r="E581" s="62"/>
      <c r="F581" s="62"/>
      <c r="G581" s="62"/>
      <c r="H581" s="62"/>
      <c r="I581" s="62"/>
      <c r="J581" s="62"/>
      <c r="K581" s="62"/>
      <c r="L581" s="62"/>
      <c r="M581" s="62"/>
      <c r="N581" s="62"/>
      <c r="O581" s="62"/>
      <c r="P581" s="62"/>
      <c r="Q581" s="62"/>
      <c r="R581" s="62"/>
      <c r="S581" s="62"/>
      <c r="T581" s="10">
        <f t="shared" si="1"/>
        <v>0</v>
      </c>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row>
    <row r="582">
      <c r="A582" s="62"/>
      <c r="B582" s="63"/>
      <c r="C582" s="62"/>
      <c r="D582" s="62"/>
      <c r="E582" s="62"/>
      <c r="F582" s="62"/>
      <c r="G582" s="62"/>
      <c r="H582" s="62"/>
      <c r="I582" s="62"/>
      <c r="J582" s="62"/>
      <c r="K582" s="62"/>
      <c r="L582" s="62"/>
      <c r="M582" s="62"/>
      <c r="N582" s="62"/>
      <c r="O582" s="62"/>
      <c r="P582" s="62"/>
      <c r="Q582" s="62"/>
      <c r="R582" s="62"/>
      <c r="S582" s="62"/>
      <c r="T582" s="10">
        <f t="shared" si="1"/>
        <v>0</v>
      </c>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row>
    <row r="583">
      <c r="A583" s="62"/>
      <c r="B583" s="63"/>
      <c r="C583" s="62"/>
      <c r="D583" s="62"/>
      <c r="E583" s="62"/>
      <c r="F583" s="62"/>
      <c r="G583" s="62"/>
      <c r="H583" s="62"/>
      <c r="I583" s="62"/>
      <c r="J583" s="62"/>
      <c r="K583" s="62"/>
      <c r="L583" s="62"/>
      <c r="M583" s="62"/>
      <c r="N583" s="62"/>
      <c r="O583" s="62"/>
      <c r="P583" s="62"/>
      <c r="Q583" s="62"/>
      <c r="R583" s="62"/>
      <c r="S583" s="62"/>
      <c r="T583" s="10">
        <f t="shared" si="1"/>
        <v>0</v>
      </c>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row>
    <row r="584">
      <c r="A584" s="62"/>
      <c r="B584" s="63"/>
      <c r="C584" s="62"/>
      <c r="D584" s="62"/>
      <c r="E584" s="62"/>
      <c r="F584" s="62"/>
      <c r="G584" s="62"/>
      <c r="H584" s="62"/>
      <c r="I584" s="62"/>
      <c r="J584" s="62"/>
      <c r="K584" s="62"/>
      <c r="L584" s="62"/>
      <c r="M584" s="62"/>
      <c r="N584" s="62"/>
      <c r="O584" s="62"/>
      <c r="P584" s="62"/>
      <c r="Q584" s="62"/>
      <c r="R584" s="62"/>
      <c r="S584" s="62"/>
      <c r="T584" s="10">
        <f t="shared" si="1"/>
        <v>0</v>
      </c>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row>
    <row r="585">
      <c r="A585" s="62"/>
      <c r="B585" s="63"/>
      <c r="C585" s="62"/>
      <c r="D585" s="62"/>
      <c r="E585" s="62"/>
      <c r="F585" s="62"/>
      <c r="G585" s="62"/>
      <c r="H585" s="62"/>
      <c r="I585" s="62"/>
      <c r="J585" s="62"/>
      <c r="K585" s="62"/>
      <c r="L585" s="62"/>
      <c r="M585" s="62"/>
      <c r="N585" s="62"/>
      <c r="O585" s="62"/>
      <c r="P585" s="62"/>
      <c r="Q585" s="62"/>
      <c r="R585" s="62"/>
      <c r="S585" s="62"/>
      <c r="T585" s="10">
        <f t="shared" si="1"/>
        <v>0</v>
      </c>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c r="AQ585" s="62"/>
    </row>
    <row r="586">
      <c r="A586" s="62"/>
      <c r="B586" s="63"/>
      <c r="C586" s="62"/>
      <c r="D586" s="62"/>
      <c r="E586" s="62"/>
      <c r="F586" s="62"/>
      <c r="G586" s="62"/>
      <c r="H586" s="62"/>
      <c r="I586" s="62"/>
      <c r="J586" s="62"/>
      <c r="K586" s="62"/>
      <c r="L586" s="62"/>
      <c r="M586" s="62"/>
      <c r="N586" s="62"/>
      <c r="O586" s="62"/>
      <c r="P586" s="62"/>
      <c r="Q586" s="62"/>
      <c r="R586" s="62"/>
      <c r="S586" s="62"/>
      <c r="T586" s="10">
        <f t="shared" si="1"/>
        <v>0</v>
      </c>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c r="AQ586" s="62"/>
    </row>
    <row r="587">
      <c r="A587" s="62"/>
      <c r="B587" s="63"/>
      <c r="C587" s="62"/>
      <c r="D587" s="62"/>
      <c r="E587" s="62"/>
      <c r="F587" s="62"/>
      <c r="G587" s="62"/>
      <c r="H587" s="62"/>
      <c r="I587" s="62"/>
      <c r="J587" s="62"/>
      <c r="K587" s="62"/>
      <c r="L587" s="62"/>
      <c r="M587" s="62"/>
      <c r="N587" s="62"/>
      <c r="O587" s="62"/>
      <c r="P587" s="62"/>
      <c r="Q587" s="62"/>
      <c r="R587" s="62"/>
      <c r="S587" s="62"/>
      <c r="T587" s="10">
        <f t="shared" si="1"/>
        <v>0</v>
      </c>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row>
    <row r="588">
      <c r="A588" s="62"/>
      <c r="B588" s="63"/>
      <c r="C588" s="62"/>
      <c r="D588" s="62"/>
      <c r="E588" s="62"/>
      <c r="F588" s="62"/>
      <c r="G588" s="62"/>
      <c r="H588" s="62"/>
      <c r="I588" s="62"/>
      <c r="J588" s="62"/>
      <c r="K588" s="62"/>
      <c r="L588" s="62"/>
      <c r="M588" s="62"/>
      <c r="N588" s="62"/>
      <c r="O588" s="62"/>
      <c r="P588" s="62"/>
      <c r="Q588" s="62"/>
      <c r="R588" s="62"/>
      <c r="S588" s="62"/>
      <c r="T588" s="10">
        <f t="shared" si="1"/>
        <v>0</v>
      </c>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c r="AQ588" s="62"/>
    </row>
    <row r="589">
      <c r="A589" s="62"/>
      <c r="B589" s="63"/>
      <c r="C589" s="62"/>
      <c r="D589" s="62"/>
      <c r="E589" s="62"/>
      <c r="F589" s="62"/>
      <c r="G589" s="62"/>
      <c r="H589" s="62"/>
      <c r="I589" s="62"/>
      <c r="J589" s="62"/>
      <c r="K589" s="62"/>
      <c r="L589" s="62"/>
      <c r="M589" s="62"/>
      <c r="N589" s="62"/>
      <c r="O589" s="62"/>
      <c r="P589" s="62"/>
      <c r="Q589" s="62"/>
      <c r="R589" s="62"/>
      <c r="S589" s="62"/>
      <c r="T589" s="10">
        <f t="shared" si="1"/>
        <v>0</v>
      </c>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row>
    <row r="590">
      <c r="A590" s="62"/>
      <c r="B590" s="63"/>
      <c r="C590" s="62"/>
      <c r="D590" s="62"/>
      <c r="E590" s="62"/>
      <c r="F590" s="62"/>
      <c r="G590" s="62"/>
      <c r="H590" s="62"/>
      <c r="I590" s="62"/>
      <c r="J590" s="62"/>
      <c r="K590" s="62"/>
      <c r="L590" s="62"/>
      <c r="M590" s="62"/>
      <c r="N590" s="62"/>
      <c r="O590" s="62"/>
      <c r="P590" s="62"/>
      <c r="Q590" s="62"/>
      <c r="R590" s="62"/>
      <c r="S590" s="62"/>
      <c r="T590" s="10">
        <f t="shared" si="1"/>
        <v>0</v>
      </c>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c r="AQ590" s="62"/>
    </row>
    <row r="591">
      <c r="A591" s="62"/>
      <c r="B591" s="63"/>
      <c r="C591" s="62"/>
      <c r="D591" s="62"/>
      <c r="E591" s="62"/>
      <c r="F591" s="62"/>
      <c r="G591" s="62"/>
      <c r="H591" s="62"/>
      <c r="I591" s="62"/>
      <c r="J591" s="62"/>
      <c r="K591" s="62"/>
      <c r="L591" s="62"/>
      <c r="M591" s="62"/>
      <c r="N591" s="62"/>
      <c r="O591" s="62"/>
      <c r="P591" s="62"/>
      <c r="Q591" s="62"/>
      <c r="R591" s="62"/>
      <c r="S591" s="62"/>
      <c r="T591" s="10">
        <f t="shared" si="1"/>
        <v>0</v>
      </c>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row>
    <row r="592">
      <c r="A592" s="62"/>
      <c r="B592" s="63"/>
      <c r="C592" s="62"/>
      <c r="D592" s="62"/>
      <c r="E592" s="62"/>
      <c r="F592" s="62"/>
      <c r="G592" s="62"/>
      <c r="H592" s="62"/>
      <c r="I592" s="62"/>
      <c r="J592" s="62"/>
      <c r="K592" s="62"/>
      <c r="L592" s="62"/>
      <c r="M592" s="62"/>
      <c r="N592" s="62"/>
      <c r="O592" s="62"/>
      <c r="P592" s="62"/>
      <c r="Q592" s="62"/>
      <c r="R592" s="62"/>
      <c r="S592" s="62"/>
      <c r="T592" s="10">
        <f t="shared" si="1"/>
        <v>0</v>
      </c>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row>
    <row r="593">
      <c r="A593" s="62"/>
      <c r="B593" s="63"/>
      <c r="C593" s="62"/>
      <c r="D593" s="62"/>
      <c r="E593" s="62"/>
      <c r="F593" s="62"/>
      <c r="G593" s="62"/>
      <c r="H593" s="62"/>
      <c r="I593" s="62"/>
      <c r="J593" s="62"/>
      <c r="K593" s="62"/>
      <c r="L593" s="62"/>
      <c r="M593" s="62"/>
      <c r="N593" s="62"/>
      <c r="O593" s="62"/>
      <c r="P593" s="62"/>
      <c r="Q593" s="62"/>
      <c r="R593" s="62"/>
      <c r="S593" s="62"/>
      <c r="T593" s="10">
        <f t="shared" si="1"/>
        <v>0</v>
      </c>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row>
    <row r="594">
      <c r="A594" s="62"/>
      <c r="B594" s="63"/>
      <c r="C594" s="62"/>
      <c r="D594" s="62"/>
      <c r="E594" s="62"/>
      <c r="F594" s="62"/>
      <c r="G594" s="62"/>
      <c r="H594" s="62"/>
      <c r="I594" s="62"/>
      <c r="J594" s="62"/>
      <c r="K594" s="62"/>
      <c r="L594" s="62"/>
      <c r="M594" s="62"/>
      <c r="N594" s="62"/>
      <c r="O594" s="62"/>
      <c r="P594" s="62"/>
      <c r="Q594" s="62"/>
      <c r="R594" s="62"/>
      <c r="S594" s="62"/>
      <c r="T594" s="10">
        <f t="shared" si="1"/>
        <v>0</v>
      </c>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row>
    <row r="595">
      <c r="A595" s="62"/>
      <c r="B595" s="63"/>
      <c r="C595" s="62"/>
      <c r="D595" s="62"/>
      <c r="E595" s="62"/>
      <c r="F595" s="62"/>
      <c r="G595" s="62"/>
      <c r="H595" s="62"/>
      <c r="I595" s="62"/>
      <c r="J595" s="62"/>
      <c r="K595" s="62"/>
      <c r="L595" s="62"/>
      <c r="M595" s="62"/>
      <c r="N595" s="62"/>
      <c r="O595" s="62"/>
      <c r="P595" s="62"/>
      <c r="Q595" s="62"/>
      <c r="R595" s="62"/>
      <c r="S595" s="62"/>
      <c r="T595" s="10">
        <f t="shared" si="1"/>
        <v>0</v>
      </c>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row>
    <row r="596">
      <c r="A596" s="62"/>
      <c r="B596" s="63"/>
      <c r="C596" s="62"/>
      <c r="D596" s="62"/>
      <c r="E596" s="62"/>
      <c r="F596" s="62"/>
      <c r="G596" s="62"/>
      <c r="H596" s="62"/>
      <c r="I596" s="62"/>
      <c r="J596" s="62"/>
      <c r="K596" s="62"/>
      <c r="L596" s="62"/>
      <c r="M596" s="62"/>
      <c r="N596" s="62"/>
      <c r="O596" s="62"/>
      <c r="P596" s="62"/>
      <c r="Q596" s="62"/>
      <c r="R596" s="62"/>
      <c r="S596" s="62"/>
      <c r="T596" s="10">
        <f t="shared" si="1"/>
        <v>0</v>
      </c>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row>
    <row r="597">
      <c r="A597" s="62"/>
      <c r="B597" s="63"/>
      <c r="C597" s="62"/>
      <c r="D597" s="62"/>
      <c r="E597" s="62"/>
      <c r="F597" s="62"/>
      <c r="G597" s="62"/>
      <c r="H597" s="62"/>
      <c r="I597" s="62"/>
      <c r="J597" s="62"/>
      <c r="K597" s="62"/>
      <c r="L597" s="62"/>
      <c r="M597" s="62"/>
      <c r="N597" s="62"/>
      <c r="O597" s="62"/>
      <c r="P597" s="62"/>
      <c r="Q597" s="62"/>
      <c r="R597" s="62"/>
      <c r="S597" s="62"/>
      <c r="T597" s="10">
        <f t="shared" si="1"/>
        <v>0</v>
      </c>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row>
    <row r="598">
      <c r="A598" s="62"/>
      <c r="B598" s="63"/>
      <c r="C598" s="62"/>
      <c r="D598" s="62"/>
      <c r="E598" s="62"/>
      <c r="F598" s="62"/>
      <c r="G598" s="62"/>
      <c r="H598" s="62"/>
      <c r="I598" s="62"/>
      <c r="J598" s="62"/>
      <c r="K598" s="62"/>
      <c r="L598" s="62"/>
      <c r="M598" s="62"/>
      <c r="N598" s="62"/>
      <c r="O598" s="62"/>
      <c r="P598" s="62"/>
      <c r="Q598" s="62"/>
      <c r="R598" s="62"/>
      <c r="S598" s="62"/>
      <c r="T598" s="10">
        <f t="shared" si="1"/>
        <v>0</v>
      </c>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c r="AQ598" s="62"/>
    </row>
    <row r="599">
      <c r="A599" s="62"/>
      <c r="B599" s="63"/>
      <c r="C599" s="62"/>
      <c r="D599" s="62"/>
      <c r="E599" s="62"/>
      <c r="F599" s="62"/>
      <c r="G599" s="62"/>
      <c r="H599" s="62"/>
      <c r="I599" s="62"/>
      <c r="J599" s="62"/>
      <c r="K599" s="62"/>
      <c r="L599" s="62"/>
      <c r="M599" s="62"/>
      <c r="N599" s="62"/>
      <c r="O599" s="62"/>
      <c r="P599" s="62"/>
      <c r="Q599" s="62"/>
      <c r="R599" s="62"/>
      <c r="S599" s="62"/>
      <c r="T599" s="10">
        <f t="shared" si="1"/>
        <v>0</v>
      </c>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c r="AQ599" s="62"/>
    </row>
    <row r="600">
      <c r="A600" s="62"/>
      <c r="B600" s="63"/>
      <c r="C600" s="62"/>
      <c r="D600" s="62"/>
      <c r="E600" s="62"/>
      <c r="F600" s="62"/>
      <c r="G600" s="62"/>
      <c r="H600" s="62"/>
      <c r="I600" s="62"/>
      <c r="J600" s="62"/>
      <c r="K600" s="62"/>
      <c r="L600" s="62"/>
      <c r="M600" s="62"/>
      <c r="N600" s="62"/>
      <c r="O600" s="62"/>
      <c r="P600" s="62"/>
      <c r="Q600" s="62"/>
      <c r="R600" s="62"/>
      <c r="S600" s="62"/>
      <c r="T600" s="10">
        <f t="shared" si="1"/>
        <v>0</v>
      </c>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row>
    <row r="601">
      <c r="A601" s="62"/>
      <c r="B601" s="63"/>
      <c r="C601" s="62"/>
      <c r="D601" s="62"/>
      <c r="E601" s="62"/>
      <c r="F601" s="62"/>
      <c r="G601" s="62"/>
      <c r="H601" s="62"/>
      <c r="I601" s="62"/>
      <c r="J601" s="62"/>
      <c r="K601" s="62"/>
      <c r="L601" s="62"/>
      <c r="M601" s="62"/>
      <c r="N601" s="62"/>
      <c r="O601" s="62"/>
      <c r="P601" s="62"/>
      <c r="Q601" s="62"/>
      <c r="R601" s="62"/>
      <c r="S601" s="62"/>
      <c r="T601" s="10">
        <f t="shared" si="1"/>
        <v>0</v>
      </c>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row>
    <row r="602">
      <c r="A602" s="62"/>
      <c r="B602" s="63"/>
      <c r="C602" s="62"/>
      <c r="D602" s="62"/>
      <c r="E602" s="62"/>
      <c r="F602" s="62"/>
      <c r="G602" s="62"/>
      <c r="H602" s="62"/>
      <c r="I602" s="62"/>
      <c r="J602" s="62"/>
      <c r="K602" s="62"/>
      <c r="L602" s="62"/>
      <c r="M602" s="62"/>
      <c r="N602" s="62"/>
      <c r="O602" s="62"/>
      <c r="P602" s="62"/>
      <c r="Q602" s="62"/>
      <c r="R602" s="62"/>
      <c r="S602" s="62"/>
      <c r="T602" s="10">
        <f t="shared" si="1"/>
        <v>0</v>
      </c>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row>
    <row r="603">
      <c r="A603" s="62"/>
      <c r="B603" s="63"/>
      <c r="C603" s="62"/>
      <c r="D603" s="62"/>
      <c r="E603" s="62"/>
      <c r="F603" s="62"/>
      <c r="G603" s="62"/>
      <c r="H603" s="62"/>
      <c r="I603" s="62"/>
      <c r="J603" s="62"/>
      <c r="K603" s="62"/>
      <c r="L603" s="62"/>
      <c r="M603" s="62"/>
      <c r="N603" s="62"/>
      <c r="O603" s="62"/>
      <c r="P603" s="62"/>
      <c r="Q603" s="62"/>
      <c r="R603" s="62"/>
      <c r="S603" s="62"/>
      <c r="T603" s="10">
        <f t="shared" si="1"/>
        <v>0</v>
      </c>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c r="AQ603" s="62"/>
    </row>
    <row r="604">
      <c r="A604" s="62"/>
      <c r="B604" s="63"/>
      <c r="C604" s="62"/>
      <c r="D604" s="62"/>
      <c r="E604" s="62"/>
      <c r="F604" s="62"/>
      <c r="G604" s="62"/>
      <c r="H604" s="62"/>
      <c r="I604" s="62"/>
      <c r="J604" s="62"/>
      <c r="K604" s="62"/>
      <c r="L604" s="62"/>
      <c r="M604" s="62"/>
      <c r="N604" s="62"/>
      <c r="O604" s="62"/>
      <c r="P604" s="62"/>
      <c r="Q604" s="62"/>
      <c r="R604" s="62"/>
      <c r="S604" s="62"/>
      <c r="T604" s="10">
        <f t="shared" si="1"/>
        <v>0</v>
      </c>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c r="AQ604" s="62"/>
    </row>
    <row r="605">
      <c r="A605" s="62"/>
      <c r="B605" s="63"/>
      <c r="C605" s="62"/>
      <c r="D605" s="62"/>
      <c r="E605" s="62"/>
      <c r="F605" s="62"/>
      <c r="G605" s="62"/>
      <c r="H605" s="62"/>
      <c r="I605" s="62"/>
      <c r="J605" s="62"/>
      <c r="K605" s="62"/>
      <c r="L605" s="62"/>
      <c r="M605" s="62"/>
      <c r="N605" s="62"/>
      <c r="O605" s="62"/>
      <c r="P605" s="62"/>
      <c r="Q605" s="62"/>
      <c r="R605" s="62"/>
      <c r="S605" s="62"/>
      <c r="T605" s="10">
        <f t="shared" si="1"/>
        <v>0</v>
      </c>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c r="AQ605" s="62"/>
    </row>
    <row r="606">
      <c r="A606" s="62"/>
      <c r="B606" s="63"/>
      <c r="C606" s="62"/>
      <c r="D606" s="62"/>
      <c r="E606" s="62"/>
      <c r="F606" s="62"/>
      <c r="G606" s="62"/>
      <c r="H606" s="62"/>
      <c r="I606" s="62"/>
      <c r="J606" s="62"/>
      <c r="K606" s="62"/>
      <c r="L606" s="62"/>
      <c r="M606" s="62"/>
      <c r="N606" s="62"/>
      <c r="O606" s="62"/>
      <c r="P606" s="62"/>
      <c r="Q606" s="62"/>
      <c r="R606" s="62"/>
      <c r="S606" s="62"/>
      <c r="T606" s="10">
        <f t="shared" si="1"/>
        <v>0</v>
      </c>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c r="AQ606" s="62"/>
    </row>
    <row r="607">
      <c r="A607" s="62"/>
      <c r="B607" s="63"/>
      <c r="C607" s="62"/>
      <c r="D607" s="62"/>
      <c r="E607" s="62"/>
      <c r="F607" s="62"/>
      <c r="G607" s="62"/>
      <c r="H607" s="62"/>
      <c r="I607" s="62"/>
      <c r="J607" s="62"/>
      <c r="K607" s="62"/>
      <c r="L607" s="62"/>
      <c r="M607" s="62"/>
      <c r="N607" s="62"/>
      <c r="O607" s="62"/>
      <c r="P607" s="62"/>
      <c r="Q607" s="62"/>
      <c r="R607" s="62"/>
      <c r="S607" s="62"/>
      <c r="T607" s="10">
        <f t="shared" si="1"/>
        <v>0</v>
      </c>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c r="AQ607" s="62"/>
    </row>
    <row r="608">
      <c r="A608" s="62"/>
      <c r="B608" s="63"/>
      <c r="C608" s="62"/>
      <c r="D608" s="62"/>
      <c r="E608" s="62"/>
      <c r="F608" s="62"/>
      <c r="G608" s="62"/>
      <c r="H608" s="62"/>
      <c r="I608" s="62"/>
      <c r="J608" s="62"/>
      <c r="K608" s="62"/>
      <c r="L608" s="62"/>
      <c r="M608" s="62"/>
      <c r="N608" s="62"/>
      <c r="O608" s="62"/>
      <c r="P608" s="62"/>
      <c r="Q608" s="62"/>
      <c r="R608" s="62"/>
      <c r="S608" s="62"/>
      <c r="T608" s="10">
        <f t="shared" si="1"/>
        <v>0</v>
      </c>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c r="AQ608" s="62"/>
    </row>
    <row r="609">
      <c r="A609" s="62"/>
      <c r="B609" s="63"/>
      <c r="C609" s="62"/>
      <c r="D609" s="62"/>
      <c r="E609" s="62"/>
      <c r="F609" s="62"/>
      <c r="G609" s="62"/>
      <c r="H609" s="62"/>
      <c r="I609" s="62"/>
      <c r="J609" s="62"/>
      <c r="K609" s="62"/>
      <c r="L609" s="62"/>
      <c r="M609" s="62"/>
      <c r="N609" s="62"/>
      <c r="O609" s="62"/>
      <c r="P609" s="62"/>
      <c r="Q609" s="62"/>
      <c r="R609" s="62"/>
      <c r="S609" s="62"/>
      <c r="T609" s="10">
        <f t="shared" si="1"/>
        <v>0</v>
      </c>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row>
    <row r="610">
      <c r="A610" s="62"/>
      <c r="B610" s="63"/>
      <c r="C610" s="62"/>
      <c r="D610" s="62"/>
      <c r="E610" s="62"/>
      <c r="F610" s="62"/>
      <c r="G610" s="62"/>
      <c r="H610" s="62"/>
      <c r="I610" s="62"/>
      <c r="J610" s="62"/>
      <c r="K610" s="62"/>
      <c r="L610" s="62"/>
      <c r="M610" s="62"/>
      <c r="N610" s="62"/>
      <c r="O610" s="62"/>
      <c r="P610" s="62"/>
      <c r="Q610" s="62"/>
      <c r="R610" s="62"/>
      <c r="S610" s="62"/>
      <c r="T610" s="10">
        <f t="shared" si="1"/>
        <v>0</v>
      </c>
      <c r="U610" s="62"/>
      <c r="V610" s="62"/>
      <c r="W610" s="62"/>
      <c r="X610" s="62"/>
      <c r="Y610" s="62"/>
      <c r="Z610" s="62"/>
      <c r="AA610" s="62"/>
      <c r="AB610" s="62"/>
      <c r="AC610" s="62"/>
      <c r="AD610" s="62"/>
      <c r="AE610" s="62"/>
      <c r="AF610" s="62"/>
      <c r="AG610" s="62"/>
      <c r="AH610" s="62"/>
      <c r="AI610" s="62"/>
      <c r="AJ610" s="62"/>
      <c r="AK610" s="62"/>
      <c r="AL610" s="62"/>
      <c r="AM610" s="62"/>
      <c r="AN610" s="62"/>
      <c r="AO610" s="62"/>
      <c r="AP610" s="62"/>
      <c r="AQ610" s="62"/>
    </row>
    <row r="611">
      <c r="A611" s="62"/>
      <c r="B611" s="63"/>
      <c r="C611" s="62"/>
      <c r="D611" s="62"/>
      <c r="E611" s="62"/>
      <c r="F611" s="62"/>
      <c r="G611" s="62"/>
      <c r="H611" s="62"/>
      <c r="I611" s="62"/>
      <c r="J611" s="62"/>
      <c r="K611" s="62"/>
      <c r="L611" s="62"/>
      <c r="M611" s="62"/>
      <c r="N611" s="62"/>
      <c r="O611" s="62"/>
      <c r="P611" s="62"/>
      <c r="Q611" s="62"/>
      <c r="R611" s="62"/>
      <c r="S611" s="62"/>
      <c r="T611" s="10">
        <f t="shared" si="1"/>
        <v>0</v>
      </c>
      <c r="U611" s="62"/>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row>
    <row r="612">
      <c r="A612" s="62"/>
      <c r="B612" s="63"/>
      <c r="C612" s="62"/>
      <c r="D612" s="62"/>
      <c r="E612" s="62"/>
      <c r="F612" s="62"/>
      <c r="G612" s="62"/>
      <c r="H612" s="62"/>
      <c r="I612" s="62"/>
      <c r="J612" s="62"/>
      <c r="K612" s="62"/>
      <c r="L612" s="62"/>
      <c r="M612" s="62"/>
      <c r="N612" s="62"/>
      <c r="O612" s="62"/>
      <c r="P612" s="62"/>
      <c r="Q612" s="62"/>
      <c r="R612" s="62"/>
      <c r="S612" s="62"/>
      <c r="T612" s="10">
        <f t="shared" si="1"/>
        <v>0</v>
      </c>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row>
    <row r="613">
      <c r="A613" s="62"/>
      <c r="B613" s="63"/>
      <c r="C613" s="62"/>
      <c r="D613" s="62"/>
      <c r="E613" s="62"/>
      <c r="F613" s="62"/>
      <c r="G613" s="62"/>
      <c r="H613" s="62"/>
      <c r="I613" s="62"/>
      <c r="J613" s="62"/>
      <c r="K613" s="62"/>
      <c r="L613" s="62"/>
      <c r="M613" s="62"/>
      <c r="N613" s="62"/>
      <c r="O613" s="62"/>
      <c r="P613" s="62"/>
      <c r="Q613" s="62"/>
      <c r="R613" s="62"/>
      <c r="S613" s="62"/>
      <c r="T613" s="10">
        <f t="shared" si="1"/>
        <v>0</v>
      </c>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row>
    <row r="614">
      <c r="A614" s="62"/>
      <c r="B614" s="63"/>
      <c r="C614" s="62"/>
      <c r="D614" s="62"/>
      <c r="E614" s="62"/>
      <c r="F614" s="62"/>
      <c r="G614" s="62"/>
      <c r="H614" s="62"/>
      <c r="I614" s="62"/>
      <c r="J614" s="62"/>
      <c r="K614" s="62"/>
      <c r="L614" s="62"/>
      <c r="M614" s="62"/>
      <c r="N614" s="62"/>
      <c r="O614" s="62"/>
      <c r="P614" s="62"/>
      <c r="Q614" s="62"/>
      <c r="R614" s="62"/>
      <c r="S614" s="62"/>
      <c r="T614" s="10">
        <f t="shared" si="1"/>
        <v>0</v>
      </c>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row>
    <row r="615">
      <c r="A615" s="62"/>
      <c r="B615" s="63"/>
      <c r="C615" s="62"/>
      <c r="D615" s="62"/>
      <c r="E615" s="62"/>
      <c r="F615" s="62"/>
      <c r="G615" s="62"/>
      <c r="H615" s="62"/>
      <c r="I615" s="62"/>
      <c r="J615" s="62"/>
      <c r="K615" s="62"/>
      <c r="L615" s="62"/>
      <c r="M615" s="62"/>
      <c r="N615" s="62"/>
      <c r="O615" s="62"/>
      <c r="P615" s="62"/>
      <c r="Q615" s="62"/>
      <c r="R615" s="62"/>
      <c r="S615" s="62"/>
      <c r="T615" s="10">
        <f t="shared" si="1"/>
        <v>0</v>
      </c>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row>
    <row r="616">
      <c r="A616" s="62"/>
      <c r="B616" s="63"/>
      <c r="C616" s="62"/>
      <c r="D616" s="62"/>
      <c r="E616" s="62"/>
      <c r="F616" s="62"/>
      <c r="G616" s="62"/>
      <c r="H616" s="62"/>
      <c r="I616" s="62"/>
      <c r="J616" s="62"/>
      <c r="K616" s="62"/>
      <c r="L616" s="62"/>
      <c r="M616" s="62"/>
      <c r="N616" s="62"/>
      <c r="O616" s="62"/>
      <c r="P616" s="62"/>
      <c r="Q616" s="62"/>
      <c r="R616" s="62"/>
      <c r="S616" s="62"/>
      <c r="T616" s="10">
        <f t="shared" si="1"/>
        <v>0</v>
      </c>
      <c r="U616" s="62"/>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row>
    <row r="617">
      <c r="A617" s="62"/>
      <c r="B617" s="63"/>
      <c r="C617" s="62"/>
      <c r="D617" s="62"/>
      <c r="E617" s="62"/>
      <c r="F617" s="62"/>
      <c r="G617" s="62"/>
      <c r="H617" s="62"/>
      <c r="I617" s="62"/>
      <c r="J617" s="62"/>
      <c r="K617" s="62"/>
      <c r="L617" s="62"/>
      <c r="M617" s="62"/>
      <c r="N617" s="62"/>
      <c r="O617" s="62"/>
      <c r="P617" s="62"/>
      <c r="Q617" s="62"/>
      <c r="R617" s="62"/>
      <c r="S617" s="62"/>
      <c r="T617" s="10">
        <f t="shared" si="1"/>
        <v>0</v>
      </c>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row>
    <row r="618">
      <c r="A618" s="62"/>
      <c r="B618" s="63"/>
      <c r="C618" s="62"/>
      <c r="D618" s="62"/>
      <c r="E618" s="62"/>
      <c r="F618" s="62"/>
      <c r="G618" s="62"/>
      <c r="H618" s="62"/>
      <c r="I618" s="62"/>
      <c r="J618" s="62"/>
      <c r="K618" s="62"/>
      <c r="L618" s="62"/>
      <c r="M618" s="62"/>
      <c r="N618" s="62"/>
      <c r="O618" s="62"/>
      <c r="P618" s="62"/>
      <c r="Q618" s="62"/>
      <c r="R618" s="62"/>
      <c r="S618" s="62"/>
      <c r="T618" s="10">
        <f t="shared" si="1"/>
        <v>0</v>
      </c>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row>
    <row r="619">
      <c r="A619" s="62"/>
      <c r="B619" s="63"/>
      <c r="C619" s="62"/>
      <c r="D619" s="62"/>
      <c r="E619" s="62"/>
      <c r="F619" s="62"/>
      <c r="G619" s="62"/>
      <c r="H619" s="62"/>
      <c r="I619" s="62"/>
      <c r="J619" s="62"/>
      <c r="K619" s="62"/>
      <c r="L619" s="62"/>
      <c r="M619" s="62"/>
      <c r="N619" s="62"/>
      <c r="O619" s="62"/>
      <c r="P619" s="62"/>
      <c r="Q619" s="62"/>
      <c r="R619" s="62"/>
      <c r="S619" s="62"/>
      <c r="T619" s="10">
        <f t="shared" si="1"/>
        <v>0</v>
      </c>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row>
    <row r="620">
      <c r="A620" s="62"/>
      <c r="B620" s="63"/>
      <c r="C620" s="62"/>
      <c r="D620" s="62"/>
      <c r="E620" s="62"/>
      <c r="F620" s="62"/>
      <c r="G620" s="62"/>
      <c r="H620" s="62"/>
      <c r="I620" s="62"/>
      <c r="J620" s="62"/>
      <c r="K620" s="62"/>
      <c r="L620" s="62"/>
      <c r="M620" s="62"/>
      <c r="N620" s="62"/>
      <c r="O620" s="62"/>
      <c r="P620" s="62"/>
      <c r="Q620" s="62"/>
      <c r="R620" s="62"/>
      <c r="S620" s="62"/>
      <c r="T620" s="10">
        <f t="shared" si="1"/>
        <v>0</v>
      </c>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row>
    <row r="621">
      <c r="A621" s="62"/>
      <c r="B621" s="63"/>
      <c r="C621" s="62"/>
      <c r="D621" s="62"/>
      <c r="E621" s="62"/>
      <c r="F621" s="62"/>
      <c r="G621" s="62"/>
      <c r="H621" s="62"/>
      <c r="I621" s="62"/>
      <c r="J621" s="62"/>
      <c r="K621" s="62"/>
      <c r="L621" s="62"/>
      <c r="M621" s="62"/>
      <c r="N621" s="62"/>
      <c r="O621" s="62"/>
      <c r="P621" s="62"/>
      <c r="Q621" s="62"/>
      <c r="R621" s="62"/>
      <c r="S621" s="62"/>
      <c r="T621" s="10">
        <f t="shared" si="1"/>
        <v>0</v>
      </c>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row>
    <row r="622">
      <c r="A622" s="62"/>
      <c r="B622" s="63"/>
      <c r="C622" s="62"/>
      <c r="D622" s="62"/>
      <c r="E622" s="62"/>
      <c r="F622" s="62"/>
      <c r="G622" s="62"/>
      <c r="H622" s="62"/>
      <c r="I622" s="62"/>
      <c r="J622" s="62"/>
      <c r="K622" s="62"/>
      <c r="L622" s="62"/>
      <c r="M622" s="62"/>
      <c r="N622" s="62"/>
      <c r="O622" s="62"/>
      <c r="P622" s="62"/>
      <c r="Q622" s="62"/>
      <c r="R622" s="62"/>
      <c r="S622" s="62"/>
      <c r="T622" s="10">
        <f t="shared" si="1"/>
        <v>0</v>
      </c>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row>
    <row r="623">
      <c r="A623" s="62"/>
      <c r="B623" s="63"/>
      <c r="C623" s="62"/>
      <c r="D623" s="62"/>
      <c r="E623" s="62"/>
      <c r="F623" s="62"/>
      <c r="G623" s="62"/>
      <c r="H623" s="62"/>
      <c r="I623" s="62"/>
      <c r="J623" s="62"/>
      <c r="K623" s="62"/>
      <c r="L623" s="62"/>
      <c r="M623" s="62"/>
      <c r="N623" s="62"/>
      <c r="O623" s="62"/>
      <c r="P623" s="62"/>
      <c r="Q623" s="62"/>
      <c r="R623" s="62"/>
      <c r="S623" s="62"/>
      <c r="T623" s="10">
        <f t="shared" si="1"/>
        <v>0</v>
      </c>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row>
    <row r="624">
      <c r="A624" s="62"/>
      <c r="B624" s="63"/>
      <c r="C624" s="62"/>
      <c r="D624" s="62"/>
      <c r="E624" s="62"/>
      <c r="F624" s="62"/>
      <c r="G624" s="62"/>
      <c r="H624" s="62"/>
      <c r="I624" s="62"/>
      <c r="J624" s="62"/>
      <c r="K624" s="62"/>
      <c r="L624" s="62"/>
      <c r="M624" s="62"/>
      <c r="N624" s="62"/>
      <c r="O624" s="62"/>
      <c r="P624" s="62"/>
      <c r="Q624" s="62"/>
      <c r="R624" s="62"/>
      <c r="S624" s="62"/>
      <c r="T624" s="10">
        <f t="shared" si="1"/>
        <v>0</v>
      </c>
      <c r="U624" s="62"/>
      <c r="V624" s="62"/>
      <c r="W624" s="62"/>
      <c r="X624" s="62"/>
      <c r="Y624" s="62"/>
      <c r="Z624" s="62"/>
      <c r="AA624" s="62"/>
      <c r="AB624" s="62"/>
      <c r="AC624" s="62"/>
      <c r="AD624" s="62"/>
      <c r="AE624" s="62"/>
      <c r="AF624" s="62"/>
      <c r="AG624" s="62"/>
      <c r="AH624" s="62"/>
      <c r="AI624" s="62"/>
      <c r="AJ624" s="62"/>
      <c r="AK624" s="62"/>
      <c r="AL624" s="62"/>
      <c r="AM624" s="62"/>
      <c r="AN624" s="62"/>
      <c r="AO624" s="62"/>
      <c r="AP624" s="62"/>
      <c r="AQ624" s="62"/>
    </row>
    <row r="625">
      <c r="A625" s="62"/>
      <c r="B625" s="63"/>
      <c r="C625" s="62"/>
      <c r="D625" s="62"/>
      <c r="E625" s="62"/>
      <c r="F625" s="62"/>
      <c r="G625" s="62"/>
      <c r="H625" s="62"/>
      <c r="I625" s="62"/>
      <c r="J625" s="62"/>
      <c r="K625" s="62"/>
      <c r="L625" s="62"/>
      <c r="M625" s="62"/>
      <c r="N625" s="62"/>
      <c r="O625" s="62"/>
      <c r="P625" s="62"/>
      <c r="Q625" s="62"/>
      <c r="R625" s="62"/>
      <c r="S625" s="62"/>
      <c r="T625" s="10">
        <f t="shared" si="1"/>
        <v>0</v>
      </c>
      <c r="U625" s="62"/>
      <c r="V625" s="62"/>
      <c r="W625" s="62"/>
      <c r="X625" s="62"/>
      <c r="Y625" s="62"/>
      <c r="Z625" s="62"/>
      <c r="AA625" s="62"/>
      <c r="AB625" s="62"/>
      <c r="AC625" s="62"/>
      <c r="AD625" s="62"/>
      <c r="AE625" s="62"/>
      <c r="AF625" s="62"/>
      <c r="AG625" s="62"/>
      <c r="AH625" s="62"/>
      <c r="AI625" s="62"/>
      <c r="AJ625" s="62"/>
      <c r="AK625" s="62"/>
      <c r="AL625" s="62"/>
      <c r="AM625" s="62"/>
      <c r="AN625" s="62"/>
      <c r="AO625" s="62"/>
      <c r="AP625" s="62"/>
      <c r="AQ625" s="62"/>
    </row>
    <row r="626">
      <c r="A626" s="62"/>
      <c r="B626" s="63"/>
      <c r="C626" s="62"/>
      <c r="D626" s="62"/>
      <c r="E626" s="62"/>
      <c r="F626" s="62"/>
      <c r="G626" s="62"/>
      <c r="H626" s="62"/>
      <c r="I626" s="62"/>
      <c r="J626" s="62"/>
      <c r="K626" s="62"/>
      <c r="L626" s="62"/>
      <c r="M626" s="62"/>
      <c r="N626" s="62"/>
      <c r="O626" s="62"/>
      <c r="P626" s="62"/>
      <c r="Q626" s="62"/>
      <c r="R626" s="62"/>
      <c r="S626" s="62"/>
      <c r="T626" s="10">
        <f t="shared" si="1"/>
        <v>0</v>
      </c>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row>
    <row r="627">
      <c r="A627" s="62"/>
      <c r="B627" s="63"/>
      <c r="C627" s="62"/>
      <c r="D627" s="62"/>
      <c r="E627" s="62"/>
      <c r="F627" s="62"/>
      <c r="G627" s="62"/>
      <c r="H627" s="62"/>
      <c r="I627" s="62"/>
      <c r="J627" s="62"/>
      <c r="K627" s="62"/>
      <c r="L627" s="62"/>
      <c r="M627" s="62"/>
      <c r="N627" s="62"/>
      <c r="O627" s="62"/>
      <c r="P627" s="62"/>
      <c r="Q627" s="62"/>
      <c r="R627" s="62"/>
      <c r="S627" s="62"/>
      <c r="T627" s="10">
        <f t="shared" si="1"/>
        <v>0</v>
      </c>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row>
    <row r="628">
      <c r="A628" s="62"/>
      <c r="B628" s="63"/>
      <c r="C628" s="62"/>
      <c r="D628" s="62"/>
      <c r="E628" s="62"/>
      <c r="F628" s="62"/>
      <c r="G628" s="62"/>
      <c r="H628" s="62"/>
      <c r="I628" s="62"/>
      <c r="J628" s="62"/>
      <c r="K628" s="62"/>
      <c r="L628" s="62"/>
      <c r="M628" s="62"/>
      <c r="N628" s="62"/>
      <c r="O628" s="62"/>
      <c r="P628" s="62"/>
      <c r="Q628" s="62"/>
      <c r="R628" s="62"/>
      <c r="S628" s="62"/>
      <c r="T628" s="10">
        <f t="shared" si="1"/>
        <v>0</v>
      </c>
      <c r="U628" s="62"/>
      <c r="V628" s="62"/>
      <c r="W628" s="62"/>
      <c r="X628" s="62"/>
      <c r="Y628" s="62"/>
      <c r="Z628" s="62"/>
      <c r="AA628" s="62"/>
      <c r="AB628" s="62"/>
      <c r="AC628" s="62"/>
      <c r="AD628" s="62"/>
      <c r="AE628" s="62"/>
      <c r="AF628" s="62"/>
      <c r="AG628" s="62"/>
      <c r="AH628" s="62"/>
      <c r="AI628" s="62"/>
      <c r="AJ628" s="62"/>
      <c r="AK628" s="62"/>
      <c r="AL628" s="62"/>
      <c r="AM628" s="62"/>
      <c r="AN628" s="62"/>
      <c r="AO628" s="62"/>
      <c r="AP628" s="62"/>
      <c r="AQ628" s="62"/>
    </row>
    <row r="629">
      <c r="A629" s="62"/>
      <c r="B629" s="63"/>
      <c r="C629" s="62"/>
      <c r="D629" s="62"/>
      <c r="E629" s="62"/>
      <c r="F629" s="62"/>
      <c r="G629" s="62"/>
      <c r="H629" s="62"/>
      <c r="I629" s="62"/>
      <c r="J629" s="62"/>
      <c r="K629" s="62"/>
      <c r="L629" s="62"/>
      <c r="M629" s="62"/>
      <c r="N629" s="62"/>
      <c r="O629" s="62"/>
      <c r="P629" s="62"/>
      <c r="Q629" s="62"/>
      <c r="R629" s="62"/>
      <c r="S629" s="62"/>
      <c r="T629" s="10">
        <f t="shared" si="1"/>
        <v>0</v>
      </c>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row>
    <row r="630">
      <c r="A630" s="62"/>
      <c r="B630" s="63"/>
      <c r="C630" s="62"/>
      <c r="D630" s="62"/>
      <c r="E630" s="62"/>
      <c r="F630" s="62"/>
      <c r="G630" s="62"/>
      <c r="H630" s="62"/>
      <c r="I630" s="62"/>
      <c r="J630" s="62"/>
      <c r="K630" s="62"/>
      <c r="L630" s="62"/>
      <c r="M630" s="62"/>
      <c r="N630" s="62"/>
      <c r="O630" s="62"/>
      <c r="P630" s="62"/>
      <c r="Q630" s="62"/>
      <c r="R630" s="62"/>
      <c r="S630" s="62"/>
      <c r="T630" s="10">
        <f t="shared" si="1"/>
        <v>0</v>
      </c>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row>
    <row r="631">
      <c r="A631" s="62"/>
      <c r="B631" s="63"/>
      <c r="C631" s="62"/>
      <c r="D631" s="62"/>
      <c r="E631" s="62"/>
      <c r="F631" s="62"/>
      <c r="G631" s="62"/>
      <c r="H631" s="62"/>
      <c r="I631" s="62"/>
      <c r="J631" s="62"/>
      <c r="K631" s="62"/>
      <c r="L631" s="62"/>
      <c r="M631" s="62"/>
      <c r="N631" s="62"/>
      <c r="O631" s="62"/>
      <c r="P631" s="62"/>
      <c r="Q631" s="62"/>
      <c r="R631" s="62"/>
      <c r="S631" s="62"/>
      <c r="T631" s="10">
        <f t="shared" si="1"/>
        <v>0</v>
      </c>
      <c r="U631" s="62"/>
      <c r="V631" s="62"/>
      <c r="W631" s="62"/>
      <c r="X631" s="62"/>
      <c r="Y631" s="62"/>
      <c r="Z631" s="62"/>
      <c r="AA631" s="62"/>
      <c r="AB631" s="62"/>
      <c r="AC631" s="62"/>
      <c r="AD631" s="62"/>
      <c r="AE631" s="62"/>
      <c r="AF631" s="62"/>
      <c r="AG631" s="62"/>
      <c r="AH631" s="62"/>
      <c r="AI631" s="62"/>
      <c r="AJ631" s="62"/>
      <c r="AK631" s="62"/>
      <c r="AL631" s="62"/>
      <c r="AM631" s="62"/>
      <c r="AN631" s="62"/>
      <c r="AO631" s="62"/>
      <c r="AP631" s="62"/>
      <c r="AQ631" s="62"/>
    </row>
    <row r="632">
      <c r="A632" s="62"/>
      <c r="B632" s="63"/>
      <c r="C632" s="62"/>
      <c r="D632" s="62"/>
      <c r="E632" s="62"/>
      <c r="F632" s="62"/>
      <c r="G632" s="62"/>
      <c r="H632" s="62"/>
      <c r="I632" s="62"/>
      <c r="J632" s="62"/>
      <c r="K632" s="62"/>
      <c r="L632" s="62"/>
      <c r="M632" s="62"/>
      <c r="N632" s="62"/>
      <c r="O632" s="62"/>
      <c r="P632" s="62"/>
      <c r="Q632" s="62"/>
      <c r="R632" s="62"/>
      <c r="S632" s="62"/>
      <c r="T632" s="10">
        <f t="shared" si="1"/>
        <v>0</v>
      </c>
      <c r="U632" s="62"/>
      <c r="V632" s="62"/>
      <c r="W632" s="62"/>
      <c r="X632" s="62"/>
      <c r="Y632" s="62"/>
      <c r="Z632" s="62"/>
      <c r="AA632" s="62"/>
      <c r="AB632" s="62"/>
      <c r="AC632" s="62"/>
      <c r="AD632" s="62"/>
      <c r="AE632" s="62"/>
      <c r="AF632" s="62"/>
      <c r="AG632" s="62"/>
      <c r="AH632" s="62"/>
      <c r="AI632" s="62"/>
      <c r="AJ632" s="62"/>
      <c r="AK632" s="62"/>
      <c r="AL632" s="62"/>
      <c r="AM632" s="62"/>
      <c r="AN632" s="62"/>
      <c r="AO632" s="62"/>
      <c r="AP632" s="62"/>
      <c r="AQ632" s="62"/>
    </row>
    <row r="633">
      <c r="A633" s="62"/>
      <c r="B633" s="63"/>
      <c r="C633" s="62"/>
      <c r="D633" s="62"/>
      <c r="E633" s="62"/>
      <c r="F633" s="62"/>
      <c r="G633" s="62"/>
      <c r="H633" s="62"/>
      <c r="I633" s="62"/>
      <c r="J633" s="62"/>
      <c r="K633" s="62"/>
      <c r="L633" s="62"/>
      <c r="M633" s="62"/>
      <c r="N633" s="62"/>
      <c r="O633" s="62"/>
      <c r="P633" s="62"/>
      <c r="Q633" s="62"/>
      <c r="R633" s="62"/>
      <c r="S633" s="62"/>
      <c r="T633" s="10">
        <f t="shared" si="1"/>
        <v>0</v>
      </c>
      <c r="U633" s="62"/>
      <c r="V633" s="62"/>
      <c r="W633" s="62"/>
      <c r="X633" s="62"/>
      <c r="Y633" s="62"/>
      <c r="Z633" s="62"/>
      <c r="AA633" s="62"/>
      <c r="AB633" s="62"/>
      <c r="AC633" s="62"/>
      <c r="AD633" s="62"/>
      <c r="AE633" s="62"/>
      <c r="AF633" s="62"/>
      <c r="AG633" s="62"/>
      <c r="AH633" s="62"/>
      <c r="AI633" s="62"/>
      <c r="AJ633" s="62"/>
      <c r="AK633" s="62"/>
      <c r="AL633" s="62"/>
      <c r="AM633" s="62"/>
      <c r="AN633" s="62"/>
      <c r="AO633" s="62"/>
      <c r="AP633" s="62"/>
      <c r="AQ633" s="62"/>
    </row>
    <row r="634">
      <c r="A634" s="62"/>
      <c r="B634" s="63"/>
      <c r="C634" s="62"/>
      <c r="D634" s="62"/>
      <c r="E634" s="62"/>
      <c r="F634" s="62"/>
      <c r="G634" s="62"/>
      <c r="H634" s="62"/>
      <c r="I634" s="62"/>
      <c r="J634" s="62"/>
      <c r="K634" s="62"/>
      <c r="L634" s="62"/>
      <c r="M634" s="62"/>
      <c r="N634" s="62"/>
      <c r="O634" s="62"/>
      <c r="P634" s="62"/>
      <c r="Q634" s="62"/>
      <c r="R634" s="62"/>
      <c r="S634" s="62"/>
      <c r="T634" s="10">
        <f t="shared" si="1"/>
        <v>0</v>
      </c>
      <c r="U634" s="62"/>
      <c r="V634" s="62"/>
      <c r="W634" s="62"/>
      <c r="X634" s="62"/>
      <c r="Y634" s="62"/>
      <c r="Z634" s="62"/>
      <c r="AA634" s="62"/>
      <c r="AB634" s="62"/>
      <c r="AC634" s="62"/>
      <c r="AD634" s="62"/>
      <c r="AE634" s="62"/>
      <c r="AF634" s="62"/>
      <c r="AG634" s="62"/>
      <c r="AH634" s="62"/>
      <c r="AI634" s="62"/>
      <c r="AJ634" s="62"/>
      <c r="AK634" s="62"/>
      <c r="AL634" s="62"/>
      <c r="AM634" s="62"/>
      <c r="AN634" s="62"/>
      <c r="AO634" s="62"/>
      <c r="AP634" s="62"/>
      <c r="AQ634" s="62"/>
    </row>
    <row r="635">
      <c r="A635" s="62"/>
      <c r="B635" s="63"/>
      <c r="C635" s="62"/>
      <c r="D635" s="62"/>
      <c r="E635" s="62"/>
      <c r="F635" s="62"/>
      <c r="G635" s="62"/>
      <c r="H635" s="62"/>
      <c r="I635" s="62"/>
      <c r="J635" s="62"/>
      <c r="K635" s="62"/>
      <c r="L635" s="62"/>
      <c r="M635" s="62"/>
      <c r="N635" s="62"/>
      <c r="O635" s="62"/>
      <c r="P635" s="62"/>
      <c r="Q635" s="62"/>
      <c r="R635" s="62"/>
      <c r="S635" s="62"/>
      <c r="T635" s="10">
        <f t="shared" si="1"/>
        <v>0</v>
      </c>
      <c r="U635" s="62"/>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row>
    <row r="636">
      <c r="A636" s="62"/>
      <c r="B636" s="63"/>
      <c r="C636" s="62"/>
      <c r="D636" s="62"/>
      <c r="E636" s="62"/>
      <c r="F636" s="62"/>
      <c r="G636" s="62"/>
      <c r="H636" s="62"/>
      <c r="I636" s="62"/>
      <c r="J636" s="62"/>
      <c r="K636" s="62"/>
      <c r="L636" s="62"/>
      <c r="M636" s="62"/>
      <c r="N636" s="62"/>
      <c r="O636" s="62"/>
      <c r="P636" s="62"/>
      <c r="Q636" s="62"/>
      <c r="R636" s="62"/>
      <c r="S636" s="62"/>
      <c r="T636" s="10">
        <f t="shared" si="1"/>
        <v>0</v>
      </c>
      <c r="U636" s="62"/>
      <c r="V636" s="62"/>
      <c r="W636" s="62"/>
      <c r="X636" s="62"/>
      <c r="Y636" s="62"/>
      <c r="Z636" s="62"/>
      <c r="AA636" s="62"/>
      <c r="AB636" s="62"/>
      <c r="AC636" s="62"/>
      <c r="AD636" s="62"/>
      <c r="AE636" s="62"/>
      <c r="AF636" s="62"/>
      <c r="AG636" s="62"/>
      <c r="AH636" s="62"/>
      <c r="AI636" s="62"/>
      <c r="AJ636" s="62"/>
      <c r="AK636" s="62"/>
      <c r="AL636" s="62"/>
      <c r="AM636" s="62"/>
      <c r="AN636" s="62"/>
      <c r="AO636" s="62"/>
      <c r="AP636" s="62"/>
      <c r="AQ636" s="62"/>
    </row>
    <row r="637">
      <c r="A637" s="62"/>
      <c r="B637" s="63"/>
      <c r="C637" s="62"/>
      <c r="D637" s="62"/>
      <c r="E637" s="62"/>
      <c r="F637" s="62"/>
      <c r="G637" s="62"/>
      <c r="H637" s="62"/>
      <c r="I637" s="62"/>
      <c r="J637" s="62"/>
      <c r="K637" s="62"/>
      <c r="L637" s="62"/>
      <c r="M637" s="62"/>
      <c r="N637" s="62"/>
      <c r="O637" s="62"/>
      <c r="P637" s="62"/>
      <c r="Q637" s="62"/>
      <c r="R637" s="62"/>
      <c r="S637" s="62"/>
      <c r="T637" s="10">
        <f t="shared" si="1"/>
        <v>0</v>
      </c>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c r="AQ637" s="62"/>
    </row>
    <row r="638">
      <c r="A638" s="62"/>
      <c r="B638" s="63"/>
      <c r="C638" s="62"/>
      <c r="D638" s="62"/>
      <c r="E638" s="62"/>
      <c r="F638" s="62"/>
      <c r="G638" s="62"/>
      <c r="H638" s="62"/>
      <c r="I638" s="62"/>
      <c r="J638" s="62"/>
      <c r="K638" s="62"/>
      <c r="L638" s="62"/>
      <c r="M638" s="62"/>
      <c r="N638" s="62"/>
      <c r="O638" s="62"/>
      <c r="P638" s="62"/>
      <c r="Q638" s="62"/>
      <c r="R638" s="62"/>
      <c r="S638" s="62"/>
      <c r="T638" s="10">
        <f t="shared" si="1"/>
        <v>0</v>
      </c>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c r="AQ638" s="62"/>
    </row>
    <row r="639">
      <c r="A639" s="62"/>
      <c r="B639" s="63"/>
      <c r="C639" s="62"/>
      <c r="D639" s="62"/>
      <c r="E639" s="62"/>
      <c r="F639" s="62"/>
      <c r="G639" s="62"/>
      <c r="H639" s="62"/>
      <c r="I639" s="62"/>
      <c r="J639" s="62"/>
      <c r="K639" s="62"/>
      <c r="L639" s="62"/>
      <c r="M639" s="62"/>
      <c r="N639" s="62"/>
      <c r="O639" s="62"/>
      <c r="P639" s="62"/>
      <c r="Q639" s="62"/>
      <c r="R639" s="62"/>
      <c r="S639" s="62"/>
      <c r="T639" s="10">
        <f t="shared" si="1"/>
        <v>0</v>
      </c>
      <c r="U639" s="62"/>
      <c r="V639" s="62"/>
      <c r="W639" s="62"/>
      <c r="X639" s="62"/>
      <c r="Y639" s="62"/>
      <c r="Z639" s="62"/>
      <c r="AA639" s="62"/>
      <c r="AB639" s="62"/>
      <c r="AC639" s="62"/>
      <c r="AD639" s="62"/>
      <c r="AE639" s="62"/>
      <c r="AF639" s="62"/>
      <c r="AG639" s="62"/>
      <c r="AH639" s="62"/>
      <c r="AI639" s="62"/>
      <c r="AJ639" s="62"/>
      <c r="AK639" s="62"/>
      <c r="AL639" s="62"/>
      <c r="AM639" s="62"/>
      <c r="AN639" s="62"/>
      <c r="AO639" s="62"/>
      <c r="AP639" s="62"/>
      <c r="AQ639" s="62"/>
    </row>
    <row r="640">
      <c r="A640" s="62"/>
      <c r="B640" s="63"/>
      <c r="C640" s="62"/>
      <c r="D640" s="62"/>
      <c r="E640" s="62"/>
      <c r="F640" s="62"/>
      <c r="G640" s="62"/>
      <c r="H640" s="62"/>
      <c r="I640" s="62"/>
      <c r="J640" s="62"/>
      <c r="K640" s="62"/>
      <c r="L640" s="62"/>
      <c r="M640" s="62"/>
      <c r="N640" s="62"/>
      <c r="O640" s="62"/>
      <c r="P640" s="62"/>
      <c r="Q640" s="62"/>
      <c r="R640" s="62"/>
      <c r="S640" s="62"/>
      <c r="T640" s="10">
        <f t="shared" si="1"/>
        <v>0</v>
      </c>
      <c r="U640" s="62"/>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row>
    <row r="641">
      <c r="A641" s="62"/>
      <c r="B641" s="63"/>
      <c r="C641" s="62"/>
      <c r="D641" s="62"/>
      <c r="E641" s="62"/>
      <c r="F641" s="62"/>
      <c r="G641" s="62"/>
      <c r="H641" s="62"/>
      <c r="I641" s="62"/>
      <c r="J641" s="62"/>
      <c r="K641" s="62"/>
      <c r="L641" s="62"/>
      <c r="M641" s="62"/>
      <c r="N641" s="62"/>
      <c r="O641" s="62"/>
      <c r="P641" s="62"/>
      <c r="Q641" s="62"/>
      <c r="R641" s="62"/>
      <c r="S641" s="62"/>
      <c r="T641" s="10">
        <f t="shared" si="1"/>
        <v>0</v>
      </c>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row>
    <row r="642">
      <c r="A642" s="62"/>
      <c r="B642" s="63"/>
      <c r="C642" s="62"/>
      <c r="D642" s="62"/>
      <c r="E642" s="62"/>
      <c r="F642" s="62"/>
      <c r="G642" s="62"/>
      <c r="H642" s="62"/>
      <c r="I642" s="62"/>
      <c r="J642" s="62"/>
      <c r="K642" s="62"/>
      <c r="L642" s="62"/>
      <c r="M642" s="62"/>
      <c r="N642" s="62"/>
      <c r="O642" s="62"/>
      <c r="P642" s="62"/>
      <c r="Q642" s="62"/>
      <c r="R642" s="62"/>
      <c r="S642" s="62"/>
      <c r="T642" s="10">
        <f t="shared" si="1"/>
        <v>0</v>
      </c>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row>
    <row r="643">
      <c r="A643" s="62"/>
      <c r="B643" s="63"/>
      <c r="C643" s="62"/>
      <c r="D643" s="62"/>
      <c r="E643" s="62"/>
      <c r="F643" s="62"/>
      <c r="G643" s="62"/>
      <c r="H643" s="62"/>
      <c r="I643" s="62"/>
      <c r="J643" s="62"/>
      <c r="K643" s="62"/>
      <c r="L643" s="62"/>
      <c r="M643" s="62"/>
      <c r="N643" s="62"/>
      <c r="O643" s="62"/>
      <c r="P643" s="62"/>
      <c r="Q643" s="62"/>
      <c r="R643" s="62"/>
      <c r="S643" s="62"/>
      <c r="T643" s="10">
        <f t="shared" si="1"/>
        <v>0</v>
      </c>
      <c r="U643" s="62"/>
      <c r="V643" s="62"/>
      <c r="W643" s="62"/>
      <c r="X643" s="62"/>
      <c r="Y643" s="62"/>
      <c r="Z643" s="62"/>
      <c r="AA643" s="62"/>
      <c r="AB643" s="62"/>
      <c r="AC643" s="62"/>
      <c r="AD643" s="62"/>
      <c r="AE643" s="62"/>
      <c r="AF643" s="62"/>
      <c r="AG643" s="62"/>
      <c r="AH643" s="62"/>
      <c r="AI643" s="62"/>
      <c r="AJ643" s="62"/>
      <c r="AK643" s="62"/>
      <c r="AL643" s="62"/>
      <c r="AM643" s="62"/>
      <c r="AN643" s="62"/>
      <c r="AO643" s="62"/>
      <c r="AP643" s="62"/>
      <c r="AQ643" s="62"/>
    </row>
    <row r="644">
      <c r="A644" s="62"/>
      <c r="B644" s="63"/>
      <c r="C644" s="62"/>
      <c r="D644" s="62"/>
      <c r="E644" s="62"/>
      <c r="F644" s="62"/>
      <c r="G644" s="62"/>
      <c r="H644" s="62"/>
      <c r="I644" s="62"/>
      <c r="J644" s="62"/>
      <c r="K644" s="62"/>
      <c r="L644" s="62"/>
      <c r="M644" s="62"/>
      <c r="N644" s="62"/>
      <c r="O644" s="62"/>
      <c r="P644" s="62"/>
      <c r="Q644" s="62"/>
      <c r="R644" s="62"/>
      <c r="S644" s="62"/>
      <c r="T644" s="10">
        <f t="shared" si="1"/>
        <v>0</v>
      </c>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row>
    <row r="645">
      <c r="A645" s="62"/>
      <c r="B645" s="63"/>
      <c r="C645" s="62"/>
      <c r="D645" s="62"/>
      <c r="E645" s="62"/>
      <c r="F645" s="62"/>
      <c r="G645" s="62"/>
      <c r="H645" s="62"/>
      <c r="I645" s="62"/>
      <c r="J645" s="62"/>
      <c r="K645" s="62"/>
      <c r="L645" s="62"/>
      <c r="M645" s="62"/>
      <c r="N645" s="62"/>
      <c r="O645" s="62"/>
      <c r="P645" s="62"/>
      <c r="Q645" s="62"/>
      <c r="R645" s="62"/>
      <c r="S645" s="62"/>
      <c r="T645" s="10">
        <f t="shared" si="1"/>
        <v>0</v>
      </c>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row>
    <row r="646">
      <c r="A646" s="62"/>
      <c r="B646" s="63"/>
      <c r="C646" s="62"/>
      <c r="D646" s="62"/>
      <c r="E646" s="62"/>
      <c r="F646" s="62"/>
      <c r="G646" s="62"/>
      <c r="H646" s="62"/>
      <c r="I646" s="62"/>
      <c r="J646" s="62"/>
      <c r="K646" s="62"/>
      <c r="L646" s="62"/>
      <c r="M646" s="62"/>
      <c r="N646" s="62"/>
      <c r="O646" s="62"/>
      <c r="P646" s="62"/>
      <c r="Q646" s="62"/>
      <c r="R646" s="62"/>
      <c r="S646" s="62"/>
      <c r="T646" s="10">
        <f t="shared" si="1"/>
        <v>0</v>
      </c>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row>
    <row r="647">
      <c r="A647" s="62"/>
      <c r="B647" s="63"/>
      <c r="C647" s="62"/>
      <c r="D647" s="62"/>
      <c r="E647" s="62"/>
      <c r="F647" s="62"/>
      <c r="G647" s="62"/>
      <c r="H647" s="62"/>
      <c r="I647" s="62"/>
      <c r="J647" s="62"/>
      <c r="K647" s="62"/>
      <c r="L647" s="62"/>
      <c r="M647" s="62"/>
      <c r="N647" s="62"/>
      <c r="O647" s="62"/>
      <c r="P647" s="62"/>
      <c r="Q647" s="62"/>
      <c r="R647" s="62"/>
      <c r="S647" s="62"/>
      <c r="T647" s="10">
        <f t="shared" si="1"/>
        <v>0</v>
      </c>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row>
    <row r="648">
      <c r="A648" s="62"/>
      <c r="B648" s="63"/>
      <c r="C648" s="62"/>
      <c r="D648" s="62"/>
      <c r="E648" s="62"/>
      <c r="F648" s="62"/>
      <c r="G648" s="62"/>
      <c r="H648" s="62"/>
      <c r="I648" s="62"/>
      <c r="J648" s="62"/>
      <c r="K648" s="62"/>
      <c r="L648" s="62"/>
      <c r="M648" s="62"/>
      <c r="N648" s="62"/>
      <c r="O648" s="62"/>
      <c r="P648" s="62"/>
      <c r="Q648" s="62"/>
      <c r="R648" s="62"/>
      <c r="S648" s="62"/>
      <c r="T648" s="10">
        <f t="shared" si="1"/>
        <v>0</v>
      </c>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row>
    <row r="649">
      <c r="A649" s="62"/>
      <c r="B649" s="63"/>
      <c r="C649" s="62"/>
      <c r="D649" s="62"/>
      <c r="E649" s="62"/>
      <c r="F649" s="62"/>
      <c r="G649" s="62"/>
      <c r="H649" s="62"/>
      <c r="I649" s="62"/>
      <c r="J649" s="62"/>
      <c r="K649" s="62"/>
      <c r="L649" s="62"/>
      <c r="M649" s="62"/>
      <c r="N649" s="62"/>
      <c r="O649" s="62"/>
      <c r="P649" s="62"/>
      <c r="Q649" s="62"/>
      <c r="R649" s="62"/>
      <c r="S649" s="62"/>
      <c r="T649" s="10">
        <f t="shared" si="1"/>
        <v>0</v>
      </c>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row>
    <row r="650">
      <c r="A650" s="62"/>
      <c r="B650" s="63"/>
      <c r="C650" s="62"/>
      <c r="D650" s="62"/>
      <c r="E650" s="62"/>
      <c r="F650" s="62"/>
      <c r="G650" s="62"/>
      <c r="H650" s="62"/>
      <c r="I650" s="62"/>
      <c r="J650" s="62"/>
      <c r="K650" s="62"/>
      <c r="L650" s="62"/>
      <c r="M650" s="62"/>
      <c r="N650" s="62"/>
      <c r="O650" s="62"/>
      <c r="P650" s="62"/>
      <c r="Q650" s="62"/>
      <c r="R650" s="62"/>
      <c r="S650" s="62"/>
      <c r="T650" s="10">
        <f t="shared" si="1"/>
        <v>0</v>
      </c>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row>
    <row r="651">
      <c r="A651" s="62"/>
      <c r="B651" s="63"/>
      <c r="C651" s="62"/>
      <c r="D651" s="62"/>
      <c r="E651" s="62"/>
      <c r="F651" s="62"/>
      <c r="G651" s="62"/>
      <c r="H651" s="62"/>
      <c r="I651" s="62"/>
      <c r="J651" s="62"/>
      <c r="K651" s="62"/>
      <c r="L651" s="62"/>
      <c r="M651" s="62"/>
      <c r="N651" s="62"/>
      <c r="O651" s="62"/>
      <c r="P651" s="62"/>
      <c r="Q651" s="62"/>
      <c r="R651" s="62"/>
      <c r="S651" s="62"/>
      <c r="T651" s="10">
        <f t="shared" si="1"/>
        <v>0</v>
      </c>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row>
    <row r="652">
      <c r="A652" s="62"/>
      <c r="B652" s="63"/>
      <c r="C652" s="62"/>
      <c r="D652" s="62"/>
      <c r="E652" s="62"/>
      <c r="F652" s="62"/>
      <c r="G652" s="62"/>
      <c r="H652" s="62"/>
      <c r="I652" s="62"/>
      <c r="J652" s="62"/>
      <c r="K652" s="62"/>
      <c r="L652" s="62"/>
      <c r="M652" s="62"/>
      <c r="N652" s="62"/>
      <c r="O652" s="62"/>
      <c r="P652" s="62"/>
      <c r="Q652" s="62"/>
      <c r="R652" s="62"/>
      <c r="S652" s="62"/>
      <c r="T652" s="10">
        <f t="shared" si="1"/>
        <v>0</v>
      </c>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row>
    <row r="653">
      <c r="A653" s="62"/>
      <c r="B653" s="63"/>
      <c r="C653" s="62"/>
      <c r="D653" s="62"/>
      <c r="E653" s="62"/>
      <c r="F653" s="62"/>
      <c r="G653" s="62"/>
      <c r="H653" s="62"/>
      <c r="I653" s="62"/>
      <c r="J653" s="62"/>
      <c r="K653" s="62"/>
      <c r="L653" s="62"/>
      <c r="M653" s="62"/>
      <c r="N653" s="62"/>
      <c r="O653" s="62"/>
      <c r="P653" s="62"/>
      <c r="Q653" s="62"/>
      <c r="R653" s="62"/>
      <c r="S653" s="62"/>
      <c r="T653" s="10">
        <f t="shared" si="1"/>
        <v>0</v>
      </c>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row>
    <row r="654">
      <c r="A654" s="62"/>
      <c r="B654" s="63"/>
      <c r="C654" s="62"/>
      <c r="D654" s="62"/>
      <c r="E654" s="62"/>
      <c r="F654" s="62"/>
      <c r="G654" s="62"/>
      <c r="H654" s="62"/>
      <c r="I654" s="62"/>
      <c r="J654" s="62"/>
      <c r="K654" s="62"/>
      <c r="L654" s="62"/>
      <c r="M654" s="62"/>
      <c r="N654" s="62"/>
      <c r="O654" s="62"/>
      <c r="P654" s="62"/>
      <c r="Q654" s="62"/>
      <c r="R654" s="62"/>
      <c r="S654" s="62"/>
      <c r="T654" s="10">
        <f t="shared" si="1"/>
        <v>0</v>
      </c>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row>
    <row r="655">
      <c r="A655" s="62"/>
      <c r="B655" s="63"/>
      <c r="C655" s="62"/>
      <c r="D655" s="62"/>
      <c r="E655" s="62"/>
      <c r="F655" s="62"/>
      <c r="G655" s="62"/>
      <c r="H655" s="62"/>
      <c r="I655" s="62"/>
      <c r="J655" s="62"/>
      <c r="K655" s="62"/>
      <c r="L655" s="62"/>
      <c r="M655" s="62"/>
      <c r="N655" s="62"/>
      <c r="O655" s="62"/>
      <c r="P655" s="62"/>
      <c r="Q655" s="62"/>
      <c r="R655" s="62"/>
      <c r="S655" s="62"/>
      <c r="T655" s="10">
        <f t="shared" si="1"/>
        <v>0</v>
      </c>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row>
    <row r="656">
      <c r="A656" s="62"/>
      <c r="B656" s="63"/>
      <c r="C656" s="62"/>
      <c r="D656" s="62"/>
      <c r="E656" s="62"/>
      <c r="F656" s="62"/>
      <c r="G656" s="62"/>
      <c r="H656" s="62"/>
      <c r="I656" s="62"/>
      <c r="J656" s="62"/>
      <c r="K656" s="62"/>
      <c r="L656" s="62"/>
      <c r="M656" s="62"/>
      <c r="N656" s="62"/>
      <c r="O656" s="62"/>
      <c r="P656" s="62"/>
      <c r="Q656" s="62"/>
      <c r="R656" s="62"/>
      <c r="S656" s="62"/>
      <c r="T656" s="10">
        <f t="shared" si="1"/>
        <v>0</v>
      </c>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row>
    <row r="657">
      <c r="A657" s="62"/>
      <c r="B657" s="63"/>
      <c r="C657" s="62"/>
      <c r="D657" s="62"/>
      <c r="E657" s="62"/>
      <c r="F657" s="62"/>
      <c r="G657" s="62"/>
      <c r="H657" s="62"/>
      <c r="I657" s="62"/>
      <c r="J657" s="62"/>
      <c r="K657" s="62"/>
      <c r="L657" s="62"/>
      <c r="M657" s="62"/>
      <c r="N657" s="62"/>
      <c r="O657" s="62"/>
      <c r="P657" s="62"/>
      <c r="Q657" s="62"/>
      <c r="R657" s="62"/>
      <c r="S657" s="62"/>
      <c r="T657" s="10">
        <f t="shared" si="1"/>
        <v>0</v>
      </c>
      <c r="U657" s="62"/>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row>
    <row r="658">
      <c r="A658" s="62"/>
      <c r="B658" s="63"/>
      <c r="C658" s="62"/>
      <c r="D658" s="62"/>
      <c r="E658" s="62"/>
      <c r="F658" s="62"/>
      <c r="G658" s="62"/>
      <c r="H658" s="62"/>
      <c r="I658" s="62"/>
      <c r="J658" s="62"/>
      <c r="K658" s="62"/>
      <c r="L658" s="62"/>
      <c r="M658" s="62"/>
      <c r="N658" s="62"/>
      <c r="O658" s="62"/>
      <c r="P658" s="62"/>
      <c r="Q658" s="62"/>
      <c r="R658" s="62"/>
      <c r="S658" s="62"/>
      <c r="T658" s="10">
        <f t="shared" si="1"/>
        <v>0</v>
      </c>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row>
    <row r="659">
      <c r="A659" s="62"/>
      <c r="B659" s="63"/>
      <c r="C659" s="62"/>
      <c r="D659" s="62"/>
      <c r="E659" s="62"/>
      <c r="F659" s="62"/>
      <c r="G659" s="62"/>
      <c r="H659" s="62"/>
      <c r="I659" s="62"/>
      <c r="J659" s="62"/>
      <c r="K659" s="62"/>
      <c r="L659" s="62"/>
      <c r="M659" s="62"/>
      <c r="N659" s="62"/>
      <c r="O659" s="62"/>
      <c r="P659" s="62"/>
      <c r="Q659" s="62"/>
      <c r="R659" s="62"/>
      <c r="S659" s="62"/>
      <c r="T659" s="10">
        <f t="shared" si="1"/>
        <v>0</v>
      </c>
      <c r="U659" s="62"/>
      <c r="V659" s="62"/>
      <c r="W659" s="62"/>
      <c r="X659" s="62"/>
      <c r="Y659" s="62"/>
      <c r="Z659" s="62"/>
      <c r="AA659" s="62"/>
      <c r="AB659" s="62"/>
      <c r="AC659" s="62"/>
      <c r="AD659" s="62"/>
      <c r="AE659" s="62"/>
      <c r="AF659" s="62"/>
      <c r="AG659" s="62"/>
      <c r="AH659" s="62"/>
      <c r="AI659" s="62"/>
      <c r="AJ659" s="62"/>
      <c r="AK659" s="62"/>
      <c r="AL659" s="62"/>
      <c r="AM659" s="62"/>
      <c r="AN659" s="62"/>
      <c r="AO659" s="62"/>
      <c r="AP659" s="62"/>
      <c r="AQ659" s="62"/>
    </row>
    <row r="660">
      <c r="A660" s="62"/>
      <c r="B660" s="63"/>
      <c r="C660" s="62"/>
      <c r="D660" s="62"/>
      <c r="E660" s="62"/>
      <c r="F660" s="62"/>
      <c r="G660" s="62"/>
      <c r="H660" s="62"/>
      <c r="I660" s="62"/>
      <c r="J660" s="62"/>
      <c r="K660" s="62"/>
      <c r="L660" s="62"/>
      <c r="M660" s="62"/>
      <c r="N660" s="62"/>
      <c r="O660" s="62"/>
      <c r="P660" s="62"/>
      <c r="Q660" s="62"/>
      <c r="R660" s="62"/>
      <c r="S660" s="62"/>
      <c r="T660" s="10">
        <f t="shared" si="1"/>
        <v>0</v>
      </c>
      <c r="U660" s="62"/>
      <c r="V660" s="62"/>
      <c r="W660" s="62"/>
      <c r="X660" s="62"/>
      <c r="Y660" s="62"/>
      <c r="Z660" s="62"/>
      <c r="AA660" s="62"/>
      <c r="AB660" s="62"/>
      <c r="AC660" s="62"/>
      <c r="AD660" s="62"/>
      <c r="AE660" s="62"/>
      <c r="AF660" s="62"/>
      <c r="AG660" s="62"/>
      <c r="AH660" s="62"/>
      <c r="AI660" s="62"/>
      <c r="AJ660" s="62"/>
      <c r="AK660" s="62"/>
      <c r="AL660" s="62"/>
      <c r="AM660" s="62"/>
      <c r="AN660" s="62"/>
      <c r="AO660" s="62"/>
      <c r="AP660" s="62"/>
      <c r="AQ660" s="62"/>
    </row>
    <row r="661">
      <c r="A661" s="62"/>
      <c r="B661" s="63"/>
      <c r="C661" s="62"/>
      <c r="D661" s="62"/>
      <c r="E661" s="62"/>
      <c r="F661" s="62"/>
      <c r="G661" s="62"/>
      <c r="H661" s="62"/>
      <c r="I661" s="62"/>
      <c r="J661" s="62"/>
      <c r="K661" s="62"/>
      <c r="L661" s="62"/>
      <c r="M661" s="62"/>
      <c r="N661" s="62"/>
      <c r="O661" s="62"/>
      <c r="P661" s="62"/>
      <c r="Q661" s="62"/>
      <c r="R661" s="62"/>
      <c r="S661" s="62"/>
      <c r="T661" s="10">
        <f t="shared" si="1"/>
        <v>0</v>
      </c>
      <c r="U661" s="62"/>
      <c r="V661" s="62"/>
      <c r="W661" s="62"/>
      <c r="X661" s="62"/>
      <c r="Y661" s="62"/>
      <c r="Z661" s="62"/>
      <c r="AA661" s="62"/>
      <c r="AB661" s="62"/>
      <c r="AC661" s="62"/>
      <c r="AD661" s="62"/>
      <c r="AE661" s="62"/>
      <c r="AF661" s="62"/>
      <c r="AG661" s="62"/>
      <c r="AH661" s="62"/>
      <c r="AI661" s="62"/>
      <c r="AJ661" s="62"/>
      <c r="AK661" s="62"/>
      <c r="AL661" s="62"/>
      <c r="AM661" s="62"/>
      <c r="AN661" s="62"/>
      <c r="AO661" s="62"/>
      <c r="AP661" s="62"/>
      <c r="AQ661" s="62"/>
    </row>
    <row r="662">
      <c r="A662" s="62"/>
      <c r="B662" s="63"/>
      <c r="C662" s="62"/>
      <c r="D662" s="62"/>
      <c r="E662" s="62"/>
      <c r="F662" s="62"/>
      <c r="G662" s="62"/>
      <c r="H662" s="62"/>
      <c r="I662" s="62"/>
      <c r="J662" s="62"/>
      <c r="K662" s="62"/>
      <c r="L662" s="62"/>
      <c r="M662" s="62"/>
      <c r="N662" s="62"/>
      <c r="O662" s="62"/>
      <c r="P662" s="62"/>
      <c r="Q662" s="62"/>
      <c r="R662" s="62"/>
      <c r="S662" s="62"/>
      <c r="T662" s="10">
        <f t="shared" si="1"/>
        <v>0</v>
      </c>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row>
    <row r="663">
      <c r="A663" s="62"/>
      <c r="B663" s="63"/>
      <c r="C663" s="62"/>
      <c r="D663" s="62"/>
      <c r="E663" s="62"/>
      <c r="F663" s="62"/>
      <c r="G663" s="62"/>
      <c r="H663" s="62"/>
      <c r="I663" s="62"/>
      <c r="J663" s="62"/>
      <c r="K663" s="62"/>
      <c r="L663" s="62"/>
      <c r="M663" s="62"/>
      <c r="N663" s="62"/>
      <c r="O663" s="62"/>
      <c r="P663" s="62"/>
      <c r="Q663" s="62"/>
      <c r="R663" s="62"/>
      <c r="S663" s="62"/>
      <c r="T663" s="10">
        <f t="shared" si="1"/>
        <v>0</v>
      </c>
      <c r="U663" s="62"/>
      <c r="V663" s="62"/>
      <c r="W663" s="62"/>
      <c r="X663" s="62"/>
      <c r="Y663" s="62"/>
      <c r="Z663" s="62"/>
      <c r="AA663" s="62"/>
      <c r="AB663" s="62"/>
      <c r="AC663" s="62"/>
      <c r="AD663" s="62"/>
      <c r="AE663" s="62"/>
      <c r="AF663" s="62"/>
      <c r="AG663" s="62"/>
      <c r="AH663" s="62"/>
      <c r="AI663" s="62"/>
      <c r="AJ663" s="62"/>
      <c r="AK663" s="62"/>
      <c r="AL663" s="62"/>
      <c r="AM663" s="62"/>
      <c r="AN663" s="62"/>
      <c r="AO663" s="62"/>
      <c r="AP663" s="62"/>
      <c r="AQ663" s="62"/>
    </row>
    <row r="664">
      <c r="A664" s="62"/>
      <c r="B664" s="63"/>
      <c r="C664" s="62"/>
      <c r="D664" s="62"/>
      <c r="E664" s="62"/>
      <c r="F664" s="62"/>
      <c r="G664" s="62"/>
      <c r="H664" s="62"/>
      <c r="I664" s="62"/>
      <c r="J664" s="62"/>
      <c r="K664" s="62"/>
      <c r="L664" s="62"/>
      <c r="M664" s="62"/>
      <c r="N664" s="62"/>
      <c r="O664" s="62"/>
      <c r="P664" s="62"/>
      <c r="Q664" s="62"/>
      <c r="R664" s="62"/>
      <c r="S664" s="62"/>
      <c r="T664" s="10">
        <f t="shared" si="1"/>
        <v>0</v>
      </c>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row>
    <row r="665">
      <c r="A665" s="62"/>
      <c r="B665" s="63"/>
      <c r="C665" s="62"/>
      <c r="D665" s="62"/>
      <c r="E665" s="62"/>
      <c r="F665" s="62"/>
      <c r="G665" s="62"/>
      <c r="H665" s="62"/>
      <c r="I665" s="62"/>
      <c r="J665" s="62"/>
      <c r="K665" s="62"/>
      <c r="L665" s="62"/>
      <c r="M665" s="62"/>
      <c r="N665" s="62"/>
      <c r="O665" s="62"/>
      <c r="P665" s="62"/>
      <c r="Q665" s="62"/>
      <c r="R665" s="62"/>
      <c r="S665" s="62"/>
      <c r="T665" s="10">
        <f t="shared" si="1"/>
        <v>0</v>
      </c>
      <c r="U665" s="62"/>
      <c r="V665" s="62"/>
      <c r="W665" s="62"/>
      <c r="X665" s="62"/>
      <c r="Y665" s="62"/>
      <c r="Z665" s="62"/>
      <c r="AA665" s="62"/>
      <c r="AB665" s="62"/>
      <c r="AC665" s="62"/>
      <c r="AD665" s="62"/>
      <c r="AE665" s="62"/>
      <c r="AF665" s="62"/>
      <c r="AG665" s="62"/>
      <c r="AH665" s="62"/>
      <c r="AI665" s="62"/>
      <c r="AJ665" s="62"/>
      <c r="AK665" s="62"/>
      <c r="AL665" s="62"/>
      <c r="AM665" s="62"/>
      <c r="AN665" s="62"/>
      <c r="AO665" s="62"/>
      <c r="AP665" s="62"/>
      <c r="AQ665" s="62"/>
    </row>
    <row r="666">
      <c r="A666" s="62"/>
      <c r="B666" s="63"/>
      <c r="C666" s="62"/>
      <c r="D666" s="62"/>
      <c r="E666" s="62"/>
      <c r="F666" s="62"/>
      <c r="G666" s="62"/>
      <c r="H666" s="62"/>
      <c r="I666" s="62"/>
      <c r="J666" s="62"/>
      <c r="K666" s="62"/>
      <c r="L666" s="62"/>
      <c r="M666" s="62"/>
      <c r="N666" s="62"/>
      <c r="O666" s="62"/>
      <c r="P666" s="62"/>
      <c r="Q666" s="62"/>
      <c r="R666" s="62"/>
      <c r="S666" s="62"/>
      <c r="T666" s="10">
        <f t="shared" si="1"/>
        <v>0</v>
      </c>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row>
    <row r="667">
      <c r="A667" s="62"/>
      <c r="B667" s="63"/>
      <c r="C667" s="62"/>
      <c r="D667" s="62"/>
      <c r="E667" s="62"/>
      <c r="F667" s="62"/>
      <c r="G667" s="62"/>
      <c r="H667" s="62"/>
      <c r="I667" s="62"/>
      <c r="J667" s="62"/>
      <c r="K667" s="62"/>
      <c r="L667" s="62"/>
      <c r="M667" s="62"/>
      <c r="N667" s="62"/>
      <c r="O667" s="62"/>
      <c r="P667" s="62"/>
      <c r="Q667" s="62"/>
      <c r="R667" s="62"/>
      <c r="S667" s="62"/>
      <c r="T667" s="10">
        <f t="shared" si="1"/>
        <v>0</v>
      </c>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row>
    <row r="668">
      <c r="A668" s="62"/>
      <c r="B668" s="63"/>
      <c r="C668" s="62"/>
      <c r="D668" s="62"/>
      <c r="E668" s="62"/>
      <c r="F668" s="62"/>
      <c r="G668" s="62"/>
      <c r="H668" s="62"/>
      <c r="I668" s="62"/>
      <c r="J668" s="62"/>
      <c r="K668" s="62"/>
      <c r="L668" s="62"/>
      <c r="M668" s="62"/>
      <c r="N668" s="62"/>
      <c r="O668" s="62"/>
      <c r="P668" s="62"/>
      <c r="Q668" s="62"/>
      <c r="R668" s="62"/>
      <c r="S668" s="62"/>
      <c r="T668" s="10">
        <f t="shared" si="1"/>
        <v>0</v>
      </c>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row>
    <row r="669">
      <c r="A669" s="62"/>
      <c r="B669" s="63"/>
      <c r="C669" s="62"/>
      <c r="D669" s="62"/>
      <c r="E669" s="62"/>
      <c r="F669" s="62"/>
      <c r="G669" s="62"/>
      <c r="H669" s="62"/>
      <c r="I669" s="62"/>
      <c r="J669" s="62"/>
      <c r="K669" s="62"/>
      <c r="L669" s="62"/>
      <c r="M669" s="62"/>
      <c r="N669" s="62"/>
      <c r="O669" s="62"/>
      <c r="P669" s="62"/>
      <c r="Q669" s="62"/>
      <c r="R669" s="62"/>
      <c r="S669" s="62"/>
      <c r="T669" s="10">
        <f t="shared" si="1"/>
        <v>0</v>
      </c>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row>
    <row r="670">
      <c r="A670" s="62"/>
      <c r="B670" s="63"/>
      <c r="C670" s="62"/>
      <c r="D670" s="62"/>
      <c r="E670" s="62"/>
      <c r="F670" s="62"/>
      <c r="G670" s="62"/>
      <c r="H670" s="62"/>
      <c r="I670" s="62"/>
      <c r="J670" s="62"/>
      <c r="K670" s="62"/>
      <c r="L670" s="62"/>
      <c r="M670" s="62"/>
      <c r="N670" s="62"/>
      <c r="O670" s="62"/>
      <c r="P670" s="62"/>
      <c r="Q670" s="62"/>
      <c r="R670" s="62"/>
      <c r="S670" s="62"/>
      <c r="T670" s="10">
        <f t="shared" si="1"/>
        <v>0</v>
      </c>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row>
    <row r="671">
      <c r="A671" s="62"/>
      <c r="B671" s="63"/>
      <c r="C671" s="62"/>
      <c r="D671" s="62"/>
      <c r="E671" s="62"/>
      <c r="F671" s="62"/>
      <c r="G671" s="62"/>
      <c r="H671" s="62"/>
      <c r="I671" s="62"/>
      <c r="J671" s="62"/>
      <c r="K671" s="62"/>
      <c r="L671" s="62"/>
      <c r="M671" s="62"/>
      <c r="N671" s="62"/>
      <c r="O671" s="62"/>
      <c r="P671" s="62"/>
      <c r="Q671" s="62"/>
      <c r="R671" s="62"/>
      <c r="S671" s="62"/>
      <c r="T671" s="10">
        <f t="shared" si="1"/>
        <v>0</v>
      </c>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row>
    <row r="672">
      <c r="A672" s="62"/>
      <c r="B672" s="63"/>
      <c r="C672" s="62"/>
      <c r="D672" s="62"/>
      <c r="E672" s="62"/>
      <c r="F672" s="62"/>
      <c r="G672" s="62"/>
      <c r="H672" s="62"/>
      <c r="I672" s="62"/>
      <c r="J672" s="62"/>
      <c r="K672" s="62"/>
      <c r="L672" s="62"/>
      <c r="M672" s="62"/>
      <c r="N672" s="62"/>
      <c r="O672" s="62"/>
      <c r="P672" s="62"/>
      <c r="Q672" s="62"/>
      <c r="R672" s="62"/>
      <c r="S672" s="62"/>
      <c r="T672" s="10">
        <f t="shared" si="1"/>
        <v>0</v>
      </c>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row>
    <row r="673">
      <c r="A673" s="62"/>
      <c r="B673" s="63"/>
      <c r="C673" s="62"/>
      <c r="D673" s="62"/>
      <c r="E673" s="62"/>
      <c r="F673" s="62"/>
      <c r="G673" s="62"/>
      <c r="H673" s="62"/>
      <c r="I673" s="62"/>
      <c r="J673" s="62"/>
      <c r="K673" s="62"/>
      <c r="L673" s="62"/>
      <c r="M673" s="62"/>
      <c r="N673" s="62"/>
      <c r="O673" s="62"/>
      <c r="P673" s="62"/>
      <c r="Q673" s="62"/>
      <c r="R673" s="62"/>
      <c r="S673" s="62"/>
      <c r="T673" s="10">
        <f t="shared" si="1"/>
        <v>0</v>
      </c>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row>
    <row r="674">
      <c r="A674" s="62"/>
      <c r="B674" s="63"/>
      <c r="C674" s="62"/>
      <c r="D674" s="62"/>
      <c r="E674" s="62"/>
      <c r="F674" s="62"/>
      <c r="G674" s="62"/>
      <c r="H674" s="62"/>
      <c r="I674" s="62"/>
      <c r="J674" s="62"/>
      <c r="K674" s="62"/>
      <c r="L674" s="62"/>
      <c r="M674" s="62"/>
      <c r="N674" s="62"/>
      <c r="O674" s="62"/>
      <c r="P674" s="62"/>
      <c r="Q674" s="62"/>
      <c r="R674" s="62"/>
      <c r="S674" s="62"/>
      <c r="T674" s="10">
        <f t="shared" si="1"/>
        <v>0</v>
      </c>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row>
    <row r="675">
      <c r="A675" s="62"/>
      <c r="B675" s="63"/>
      <c r="C675" s="62"/>
      <c r="D675" s="62"/>
      <c r="E675" s="62"/>
      <c r="F675" s="62"/>
      <c r="G675" s="62"/>
      <c r="H675" s="62"/>
      <c r="I675" s="62"/>
      <c r="J675" s="62"/>
      <c r="K675" s="62"/>
      <c r="L675" s="62"/>
      <c r="M675" s="62"/>
      <c r="N675" s="62"/>
      <c r="O675" s="62"/>
      <c r="P675" s="62"/>
      <c r="Q675" s="62"/>
      <c r="R675" s="62"/>
      <c r="S675" s="62"/>
      <c r="T675" s="10">
        <f t="shared" si="1"/>
        <v>0</v>
      </c>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row>
    <row r="676">
      <c r="A676" s="62"/>
      <c r="B676" s="63"/>
      <c r="C676" s="62"/>
      <c r="D676" s="62"/>
      <c r="E676" s="62"/>
      <c r="F676" s="62"/>
      <c r="G676" s="62"/>
      <c r="H676" s="62"/>
      <c r="I676" s="62"/>
      <c r="J676" s="62"/>
      <c r="K676" s="62"/>
      <c r="L676" s="62"/>
      <c r="M676" s="62"/>
      <c r="N676" s="62"/>
      <c r="O676" s="62"/>
      <c r="P676" s="62"/>
      <c r="Q676" s="62"/>
      <c r="R676" s="62"/>
      <c r="S676" s="62"/>
      <c r="T676" s="10">
        <f t="shared" si="1"/>
        <v>0</v>
      </c>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row>
    <row r="677">
      <c r="A677" s="62"/>
      <c r="B677" s="63"/>
      <c r="C677" s="62"/>
      <c r="D677" s="62"/>
      <c r="E677" s="62"/>
      <c r="F677" s="62"/>
      <c r="G677" s="62"/>
      <c r="H677" s="62"/>
      <c r="I677" s="62"/>
      <c r="J677" s="62"/>
      <c r="K677" s="62"/>
      <c r="L677" s="62"/>
      <c r="M677" s="62"/>
      <c r="N677" s="62"/>
      <c r="O677" s="62"/>
      <c r="P677" s="62"/>
      <c r="Q677" s="62"/>
      <c r="R677" s="62"/>
      <c r="S677" s="62"/>
      <c r="T677" s="10">
        <f t="shared" si="1"/>
        <v>0</v>
      </c>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row>
    <row r="678">
      <c r="A678" s="62"/>
      <c r="B678" s="63"/>
      <c r="C678" s="62"/>
      <c r="D678" s="62"/>
      <c r="E678" s="62"/>
      <c r="F678" s="62"/>
      <c r="G678" s="62"/>
      <c r="H678" s="62"/>
      <c r="I678" s="62"/>
      <c r="J678" s="62"/>
      <c r="K678" s="62"/>
      <c r="L678" s="62"/>
      <c r="M678" s="62"/>
      <c r="N678" s="62"/>
      <c r="O678" s="62"/>
      <c r="P678" s="62"/>
      <c r="Q678" s="62"/>
      <c r="R678" s="62"/>
      <c r="S678" s="62"/>
      <c r="T678" s="10">
        <f t="shared" si="1"/>
        <v>0</v>
      </c>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row>
    <row r="679">
      <c r="A679" s="62"/>
      <c r="B679" s="63"/>
      <c r="C679" s="62"/>
      <c r="D679" s="62"/>
      <c r="E679" s="62"/>
      <c r="F679" s="62"/>
      <c r="G679" s="62"/>
      <c r="H679" s="62"/>
      <c r="I679" s="62"/>
      <c r="J679" s="62"/>
      <c r="K679" s="62"/>
      <c r="L679" s="62"/>
      <c r="M679" s="62"/>
      <c r="N679" s="62"/>
      <c r="O679" s="62"/>
      <c r="P679" s="62"/>
      <c r="Q679" s="62"/>
      <c r="R679" s="62"/>
      <c r="S679" s="62"/>
      <c r="T679" s="10">
        <f t="shared" si="1"/>
        <v>0</v>
      </c>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row>
    <row r="680">
      <c r="A680" s="62"/>
      <c r="B680" s="63"/>
      <c r="C680" s="62"/>
      <c r="D680" s="62"/>
      <c r="E680" s="62"/>
      <c r="F680" s="62"/>
      <c r="G680" s="62"/>
      <c r="H680" s="62"/>
      <c r="I680" s="62"/>
      <c r="J680" s="62"/>
      <c r="K680" s="62"/>
      <c r="L680" s="62"/>
      <c r="M680" s="62"/>
      <c r="N680" s="62"/>
      <c r="O680" s="62"/>
      <c r="P680" s="62"/>
      <c r="Q680" s="62"/>
      <c r="R680" s="62"/>
      <c r="S680" s="62"/>
      <c r="T680" s="10">
        <f t="shared" si="1"/>
        <v>0</v>
      </c>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row>
    <row r="681">
      <c r="A681" s="62"/>
      <c r="B681" s="63"/>
      <c r="C681" s="62"/>
      <c r="D681" s="62"/>
      <c r="E681" s="62"/>
      <c r="F681" s="62"/>
      <c r="G681" s="62"/>
      <c r="H681" s="62"/>
      <c r="I681" s="62"/>
      <c r="J681" s="62"/>
      <c r="K681" s="62"/>
      <c r="L681" s="62"/>
      <c r="M681" s="62"/>
      <c r="N681" s="62"/>
      <c r="O681" s="62"/>
      <c r="P681" s="62"/>
      <c r="Q681" s="62"/>
      <c r="R681" s="62"/>
      <c r="S681" s="62"/>
      <c r="T681" s="10">
        <f t="shared" si="1"/>
        <v>0</v>
      </c>
      <c r="U681" s="62"/>
      <c r="V681" s="62"/>
      <c r="W681" s="62"/>
      <c r="X681" s="62"/>
      <c r="Y681" s="62"/>
      <c r="Z681" s="62"/>
      <c r="AA681" s="62"/>
      <c r="AB681" s="62"/>
      <c r="AC681" s="62"/>
      <c r="AD681" s="62"/>
      <c r="AE681" s="62"/>
      <c r="AF681" s="62"/>
      <c r="AG681" s="62"/>
      <c r="AH681" s="62"/>
      <c r="AI681" s="62"/>
      <c r="AJ681" s="62"/>
      <c r="AK681" s="62"/>
      <c r="AL681" s="62"/>
      <c r="AM681" s="62"/>
      <c r="AN681" s="62"/>
      <c r="AO681" s="62"/>
      <c r="AP681" s="62"/>
      <c r="AQ681" s="62"/>
    </row>
    <row r="682">
      <c r="A682" s="62"/>
      <c r="B682" s="63"/>
      <c r="C682" s="62"/>
      <c r="D682" s="62"/>
      <c r="E682" s="62"/>
      <c r="F682" s="62"/>
      <c r="G682" s="62"/>
      <c r="H682" s="62"/>
      <c r="I682" s="62"/>
      <c r="J682" s="62"/>
      <c r="K682" s="62"/>
      <c r="L682" s="62"/>
      <c r="M682" s="62"/>
      <c r="N682" s="62"/>
      <c r="O682" s="62"/>
      <c r="P682" s="62"/>
      <c r="Q682" s="62"/>
      <c r="R682" s="62"/>
      <c r="S682" s="62"/>
      <c r="T682" s="10">
        <f t="shared" si="1"/>
        <v>0</v>
      </c>
      <c r="U682" s="62"/>
      <c r="V682" s="62"/>
      <c r="W682" s="62"/>
      <c r="X682" s="62"/>
      <c r="Y682" s="62"/>
      <c r="Z682" s="62"/>
      <c r="AA682" s="62"/>
      <c r="AB682" s="62"/>
      <c r="AC682" s="62"/>
      <c r="AD682" s="62"/>
      <c r="AE682" s="62"/>
      <c r="AF682" s="62"/>
      <c r="AG682" s="62"/>
      <c r="AH682" s="62"/>
      <c r="AI682" s="62"/>
      <c r="AJ682" s="62"/>
      <c r="AK682" s="62"/>
      <c r="AL682" s="62"/>
      <c r="AM682" s="62"/>
      <c r="AN682" s="62"/>
      <c r="AO682" s="62"/>
      <c r="AP682" s="62"/>
      <c r="AQ682" s="62"/>
    </row>
    <row r="683">
      <c r="A683" s="62"/>
      <c r="B683" s="63"/>
      <c r="C683" s="62"/>
      <c r="D683" s="62"/>
      <c r="E683" s="62"/>
      <c r="F683" s="62"/>
      <c r="G683" s="62"/>
      <c r="H683" s="62"/>
      <c r="I683" s="62"/>
      <c r="J683" s="62"/>
      <c r="K683" s="62"/>
      <c r="L683" s="62"/>
      <c r="M683" s="62"/>
      <c r="N683" s="62"/>
      <c r="O683" s="62"/>
      <c r="P683" s="62"/>
      <c r="Q683" s="62"/>
      <c r="R683" s="62"/>
      <c r="S683" s="62"/>
      <c r="T683" s="10">
        <f t="shared" si="1"/>
        <v>0</v>
      </c>
      <c r="U683" s="62"/>
      <c r="V683" s="62"/>
      <c r="W683" s="62"/>
      <c r="X683" s="62"/>
      <c r="Y683" s="62"/>
      <c r="Z683" s="62"/>
      <c r="AA683" s="62"/>
      <c r="AB683" s="62"/>
      <c r="AC683" s="62"/>
      <c r="AD683" s="62"/>
      <c r="AE683" s="62"/>
      <c r="AF683" s="62"/>
      <c r="AG683" s="62"/>
      <c r="AH683" s="62"/>
      <c r="AI683" s="62"/>
      <c r="AJ683" s="62"/>
      <c r="AK683" s="62"/>
      <c r="AL683" s="62"/>
      <c r="AM683" s="62"/>
      <c r="AN683" s="62"/>
      <c r="AO683" s="62"/>
      <c r="AP683" s="62"/>
      <c r="AQ683" s="62"/>
    </row>
    <row r="684">
      <c r="A684" s="62"/>
      <c r="B684" s="63"/>
      <c r="C684" s="62"/>
      <c r="D684" s="62"/>
      <c r="E684" s="62"/>
      <c r="F684" s="62"/>
      <c r="G684" s="62"/>
      <c r="H684" s="62"/>
      <c r="I684" s="62"/>
      <c r="J684" s="62"/>
      <c r="K684" s="62"/>
      <c r="L684" s="62"/>
      <c r="M684" s="62"/>
      <c r="N684" s="62"/>
      <c r="O684" s="62"/>
      <c r="P684" s="62"/>
      <c r="Q684" s="62"/>
      <c r="R684" s="62"/>
      <c r="S684" s="62"/>
      <c r="T684" s="10">
        <f t="shared" si="1"/>
        <v>0</v>
      </c>
      <c r="U684" s="62"/>
      <c r="V684" s="62"/>
      <c r="W684" s="62"/>
      <c r="X684" s="62"/>
      <c r="Y684" s="62"/>
      <c r="Z684" s="62"/>
      <c r="AA684" s="62"/>
      <c r="AB684" s="62"/>
      <c r="AC684" s="62"/>
      <c r="AD684" s="62"/>
      <c r="AE684" s="62"/>
      <c r="AF684" s="62"/>
      <c r="AG684" s="62"/>
      <c r="AH684" s="62"/>
      <c r="AI684" s="62"/>
      <c r="AJ684" s="62"/>
      <c r="AK684" s="62"/>
      <c r="AL684" s="62"/>
      <c r="AM684" s="62"/>
      <c r="AN684" s="62"/>
      <c r="AO684" s="62"/>
      <c r="AP684" s="62"/>
      <c r="AQ684" s="62"/>
    </row>
    <row r="685">
      <c r="A685" s="62"/>
      <c r="B685" s="63"/>
      <c r="C685" s="62"/>
      <c r="D685" s="62"/>
      <c r="E685" s="62"/>
      <c r="F685" s="62"/>
      <c r="G685" s="62"/>
      <c r="H685" s="62"/>
      <c r="I685" s="62"/>
      <c r="J685" s="62"/>
      <c r="K685" s="62"/>
      <c r="L685" s="62"/>
      <c r="M685" s="62"/>
      <c r="N685" s="62"/>
      <c r="O685" s="62"/>
      <c r="P685" s="62"/>
      <c r="Q685" s="62"/>
      <c r="R685" s="62"/>
      <c r="S685" s="62"/>
      <c r="T685" s="10">
        <f t="shared" si="1"/>
        <v>0</v>
      </c>
      <c r="U685" s="62"/>
      <c r="V685" s="62"/>
      <c r="W685" s="62"/>
      <c r="X685" s="62"/>
      <c r="Y685" s="62"/>
      <c r="Z685" s="62"/>
      <c r="AA685" s="62"/>
      <c r="AB685" s="62"/>
      <c r="AC685" s="62"/>
      <c r="AD685" s="62"/>
      <c r="AE685" s="62"/>
      <c r="AF685" s="62"/>
      <c r="AG685" s="62"/>
      <c r="AH685" s="62"/>
      <c r="AI685" s="62"/>
      <c r="AJ685" s="62"/>
      <c r="AK685" s="62"/>
      <c r="AL685" s="62"/>
      <c r="AM685" s="62"/>
      <c r="AN685" s="62"/>
      <c r="AO685" s="62"/>
      <c r="AP685" s="62"/>
      <c r="AQ685" s="62"/>
    </row>
    <row r="686">
      <c r="A686" s="62"/>
      <c r="B686" s="63"/>
      <c r="C686" s="62"/>
      <c r="D686" s="62"/>
      <c r="E686" s="62"/>
      <c r="F686" s="62"/>
      <c r="G686" s="62"/>
      <c r="H686" s="62"/>
      <c r="I686" s="62"/>
      <c r="J686" s="62"/>
      <c r="K686" s="62"/>
      <c r="L686" s="62"/>
      <c r="M686" s="62"/>
      <c r="N686" s="62"/>
      <c r="O686" s="62"/>
      <c r="P686" s="62"/>
      <c r="Q686" s="62"/>
      <c r="R686" s="62"/>
      <c r="S686" s="62"/>
      <c r="T686" s="10">
        <f t="shared" si="1"/>
        <v>0</v>
      </c>
      <c r="U686" s="62"/>
      <c r="V686" s="62"/>
      <c r="W686" s="62"/>
      <c r="X686" s="62"/>
      <c r="Y686" s="62"/>
      <c r="Z686" s="62"/>
      <c r="AA686" s="62"/>
      <c r="AB686" s="62"/>
      <c r="AC686" s="62"/>
      <c r="AD686" s="62"/>
      <c r="AE686" s="62"/>
      <c r="AF686" s="62"/>
      <c r="AG686" s="62"/>
      <c r="AH686" s="62"/>
      <c r="AI686" s="62"/>
      <c r="AJ686" s="62"/>
      <c r="AK686" s="62"/>
      <c r="AL686" s="62"/>
      <c r="AM686" s="62"/>
      <c r="AN686" s="62"/>
      <c r="AO686" s="62"/>
      <c r="AP686" s="62"/>
      <c r="AQ686" s="62"/>
    </row>
    <row r="687">
      <c r="A687" s="62"/>
      <c r="B687" s="63"/>
      <c r="C687" s="62"/>
      <c r="D687" s="62"/>
      <c r="E687" s="62"/>
      <c r="F687" s="62"/>
      <c r="G687" s="62"/>
      <c r="H687" s="62"/>
      <c r="I687" s="62"/>
      <c r="J687" s="62"/>
      <c r="K687" s="62"/>
      <c r="L687" s="62"/>
      <c r="M687" s="62"/>
      <c r="N687" s="62"/>
      <c r="O687" s="62"/>
      <c r="P687" s="62"/>
      <c r="Q687" s="62"/>
      <c r="R687" s="62"/>
      <c r="S687" s="62"/>
      <c r="T687" s="10">
        <f t="shared" si="1"/>
        <v>0</v>
      </c>
      <c r="U687" s="62"/>
      <c r="V687" s="62"/>
      <c r="W687" s="62"/>
      <c r="X687" s="62"/>
      <c r="Y687" s="62"/>
      <c r="Z687" s="62"/>
      <c r="AA687" s="62"/>
      <c r="AB687" s="62"/>
      <c r="AC687" s="62"/>
      <c r="AD687" s="62"/>
      <c r="AE687" s="62"/>
      <c r="AF687" s="62"/>
      <c r="AG687" s="62"/>
      <c r="AH687" s="62"/>
      <c r="AI687" s="62"/>
      <c r="AJ687" s="62"/>
      <c r="AK687" s="62"/>
      <c r="AL687" s="62"/>
      <c r="AM687" s="62"/>
      <c r="AN687" s="62"/>
      <c r="AO687" s="62"/>
      <c r="AP687" s="62"/>
      <c r="AQ687" s="62"/>
    </row>
    <row r="688">
      <c r="A688" s="62"/>
      <c r="B688" s="63"/>
      <c r="C688" s="62"/>
      <c r="D688" s="62"/>
      <c r="E688" s="62"/>
      <c r="F688" s="62"/>
      <c r="G688" s="62"/>
      <c r="H688" s="62"/>
      <c r="I688" s="62"/>
      <c r="J688" s="62"/>
      <c r="K688" s="62"/>
      <c r="L688" s="62"/>
      <c r="M688" s="62"/>
      <c r="N688" s="62"/>
      <c r="O688" s="62"/>
      <c r="P688" s="62"/>
      <c r="Q688" s="62"/>
      <c r="R688" s="62"/>
      <c r="S688" s="62"/>
      <c r="T688" s="10">
        <f t="shared" si="1"/>
        <v>0</v>
      </c>
      <c r="U688" s="62"/>
      <c r="V688" s="62"/>
      <c r="W688" s="62"/>
      <c r="X688" s="62"/>
      <c r="Y688" s="62"/>
      <c r="Z688" s="62"/>
      <c r="AA688" s="62"/>
      <c r="AB688" s="62"/>
      <c r="AC688" s="62"/>
      <c r="AD688" s="62"/>
      <c r="AE688" s="62"/>
      <c r="AF688" s="62"/>
      <c r="AG688" s="62"/>
      <c r="AH688" s="62"/>
      <c r="AI688" s="62"/>
      <c r="AJ688" s="62"/>
      <c r="AK688" s="62"/>
      <c r="AL688" s="62"/>
      <c r="AM688" s="62"/>
      <c r="AN688" s="62"/>
      <c r="AO688" s="62"/>
      <c r="AP688" s="62"/>
      <c r="AQ688" s="62"/>
    </row>
    <row r="689">
      <c r="A689" s="62"/>
      <c r="B689" s="63"/>
      <c r="C689" s="62"/>
      <c r="D689" s="62"/>
      <c r="E689" s="62"/>
      <c r="F689" s="62"/>
      <c r="G689" s="62"/>
      <c r="H689" s="62"/>
      <c r="I689" s="62"/>
      <c r="J689" s="62"/>
      <c r="K689" s="62"/>
      <c r="L689" s="62"/>
      <c r="M689" s="62"/>
      <c r="N689" s="62"/>
      <c r="O689" s="62"/>
      <c r="P689" s="62"/>
      <c r="Q689" s="62"/>
      <c r="R689" s="62"/>
      <c r="S689" s="62"/>
      <c r="T689" s="10">
        <f t="shared" si="1"/>
        <v>0</v>
      </c>
      <c r="U689" s="62"/>
      <c r="V689" s="62"/>
      <c r="W689" s="62"/>
      <c r="X689" s="62"/>
      <c r="Y689" s="62"/>
      <c r="Z689" s="62"/>
      <c r="AA689" s="62"/>
      <c r="AB689" s="62"/>
      <c r="AC689" s="62"/>
      <c r="AD689" s="62"/>
      <c r="AE689" s="62"/>
      <c r="AF689" s="62"/>
      <c r="AG689" s="62"/>
      <c r="AH689" s="62"/>
      <c r="AI689" s="62"/>
      <c r="AJ689" s="62"/>
      <c r="AK689" s="62"/>
      <c r="AL689" s="62"/>
      <c r="AM689" s="62"/>
      <c r="AN689" s="62"/>
      <c r="AO689" s="62"/>
      <c r="AP689" s="62"/>
      <c r="AQ689" s="62"/>
    </row>
    <row r="690">
      <c r="A690" s="62"/>
      <c r="B690" s="63"/>
      <c r="C690" s="62"/>
      <c r="D690" s="62"/>
      <c r="E690" s="62"/>
      <c r="F690" s="62"/>
      <c r="G690" s="62"/>
      <c r="H690" s="62"/>
      <c r="I690" s="62"/>
      <c r="J690" s="62"/>
      <c r="K690" s="62"/>
      <c r="L690" s="62"/>
      <c r="M690" s="62"/>
      <c r="N690" s="62"/>
      <c r="O690" s="62"/>
      <c r="P690" s="62"/>
      <c r="Q690" s="62"/>
      <c r="R690" s="62"/>
      <c r="S690" s="62"/>
      <c r="T690" s="10">
        <f t="shared" si="1"/>
        <v>0</v>
      </c>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row>
    <row r="691">
      <c r="A691" s="62"/>
      <c r="B691" s="63"/>
      <c r="C691" s="62"/>
      <c r="D691" s="62"/>
      <c r="E691" s="62"/>
      <c r="F691" s="62"/>
      <c r="G691" s="62"/>
      <c r="H691" s="62"/>
      <c r="I691" s="62"/>
      <c r="J691" s="62"/>
      <c r="K691" s="62"/>
      <c r="L691" s="62"/>
      <c r="M691" s="62"/>
      <c r="N691" s="62"/>
      <c r="O691" s="62"/>
      <c r="P691" s="62"/>
      <c r="Q691" s="62"/>
      <c r="R691" s="62"/>
      <c r="S691" s="62"/>
      <c r="T691" s="10">
        <f t="shared" si="1"/>
        <v>0</v>
      </c>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row>
    <row r="692">
      <c r="A692" s="62"/>
      <c r="B692" s="63"/>
      <c r="C692" s="62"/>
      <c r="D692" s="62"/>
      <c r="E692" s="62"/>
      <c r="F692" s="62"/>
      <c r="G692" s="62"/>
      <c r="H692" s="62"/>
      <c r="I692" s="62"/>
      <c r="J692" s="62"/>
      <c r="K692" s="62"/>
      <c r="L692" s="62"/>
      <c r="M692" s="62"/>
      <c r="N692" s="62"/>
      <c r="O692" s="62"/>
      <c r="P692" s="62"/>
      <c r="Q692" s="62"/>
      <c r="R692" s="62"/>
      <c r="S692" s="62"/>
      <c r="T692" s="10">
        <f t="shared" si="1"/>
        <v>0</v>
      </c>
      <c r="U692" s="62"/>
      <c r="V692" s="62"/>
      <c r="W692" s="62"/>
      <c r="X692" s="62"/>
      <c r="Y692" s="62"/>
      <c r="Z692" s="62"/>
      <c r="AA692" s="62"/>
      <c r="AB692" s="62"/>
      <c r="AC692" s="62"/>
      <c r="AD692" s="62"/>
      <c r="AE692" s="62"/>
      <c r="AF692" s="62"/>
      <c r="AG692" s="62"/>
      <c r="AH692" s="62"/>
      <c r="AI692" s="62"/>
      <c r="AJ692" s="62"/>
      <c r="AK692" s="62"/>
      <c r="AL692" s="62"/>
      <c r="AM692" s="62"/>
      <c r="AN692" s="62"/>
      <c r="AO692" s="62"/>
      <c r="AP692" s="62"/>
      <c r="AQ692" s="62"/>
    </row>
    <row r="693">
      <c r="A693" s="62"/>
      <c r="B693" s="63"/>
      <c r="C693" s="62"/>
      <c r="D693" s="62"/>
      <c r="E693" s="62"/>
      <c r="F693" s="62"/>
      <c r="G693" s="62"/>
      <c r="H693" s="62"/>
      <c r="I693" s="62"/>
      <c r="J693" s="62"/>
      <c r="K693" s="62"/>
      <c r="L693" s="62"/>
      <c r="M693" s="62"/>
      <c r="N693" s="62"/>
      <c r="O693" s="62"/>
      <c r="P693" s="62"/>
      <c r="Q693" s="62"/>
      <c r="R693" s="62"/>
      <c r="S693" s="62"/>
      <c r="T693" s="10">
        <f t="shared" si="1"/>
        <v>0</v>
      </c>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row>
    <row r="694">
      <c r="A694" s="62"/>
      <c r="B694" s="63"/>
      <c r="C694" s="62"/>
      <c r="D694" s="62"/>
      <c r="E694" s="62"/>
      <c r="F694" s="62"/>
      <c r="G694" s="62"/>
      <c r="H694" s="62"/>
      <c r="I694" s="62"/>
      <c r="J694" s="62"/>
      <c r="K694" s="62"/>
      <c r="L694" s="62"/>
      <c r="M694" s="62"/>
      <c r="N694" s="62"/>
      <c r="O694" s="62"/>
      <c r="P694" s="62"/>
      <c r="Q694" s="62"/>
      <c r="R694" s="62"/>
      <c r="S694" s="62"/>
      <c r="T694" s="10">
        <f t="shared" si="1"/>
        <v>0</v>
      </c>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row>
    <row r="695">
      <c r="A695" s="62"/>
      <c r="B695" s="63"/>
      <c r="C695" s="62"/>
      <c r="D695" s="62"/>
      <c r="E695" s="62"/>
      <c r="F695" s="62"/>
      <c r="G695" s="62"/>
      <c r="H695" s="62"/>
      <c r="I695" s="62"/>
      <c r="J695" s="62"/>
      <c r="K695" s="62"/>
      <c r="L695" s="62"/>
      <c r="M695" s="62"/>
      <c r="N695" s="62"/>
      <c r="O695" s="62"/>
      <c r="P695" s="62"/>
      <c r="Q695" s="62"/>
      <c r="R695" s="62"/>
      <c r="S695" s="62"/>
      <c r="T695" s="10">
        <f t="shared" si="1"/>
        <v>0</v>
      </c>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row>
    <row r="696">
      <c r="A696" s="62"/>
      <c r="B696" s="63"/>
      <c r="C696" s="62"/>
      <c r="D696" s="62"/>
      <c r="E696" s="62"/>
      <c r="F696" s="62"/>
      <c r="G696" s="62"/>
      <c r="H696" s="62"/>
      <c r="I696" s="62"/>
      <c r="J696" s="62"/>
      <c r="K696" s="62"/>
      <c r="L696" s="62"/>
      <c r="M696" s="62"/>
      <c r="N696" s="62"/>
      <c r="O696" s="62"/>
      <c r="P696" s="62"/>
      <c r="Q696" s="62"/>
      <c r="R696" s="62"/>
      <c r="S696" s="62"/>
      <c r="T696" s="10">
        <f t="shared" si="1"/>
        <v>0</v>
      </c>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row>
    <row r="697">
      <c r="A697" s="62"/>
      <c r="B697" s="63"/>
      <c r="C697" s="62"/>
      <c r="D697" s="62"/>
      <c r="E697" s="62"/>
      <c r="F697" s="62"/>
      <c r="G697" s="62"/>
      <c r="H697" s="62"/>
      <c r="I697" s="62"/>
      <c r="J697" s="62"/>
      <c r="K697" s="62"/>
      <c r="L697" s="62"/>
      <c r="M697" s="62"/>
      <c r="N697" s="62"/>
      <c r="O697" s="62"/>
      <c r="P697" s="62"/>
      <c r="Q697" s="62"/>
      <c r="R697" s="62"/>
      <c r="S697" s="62"/>
      <c r="T697" s="10">
        <f t="shared" si="1"/>
        <v>0</v>
      </c>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row>
    <row r="698">
      <c r="A698" s="62"/>
      <c r="B698" s="63"/>
      <c r="C698" s="62"/>
      <c r="D698" s="62"/>
      <c r="E698" s="62"/>
      <c r="F698" s="62"/>
      <c r="G698" s="62"/>
      <c r="H698" s="62"/>
      <c r="I698" s="62"/>
      <c r="J698" s="62"/>
      <c r="K698" s="62"/>
      <c r="L698" s="62"/>
      <c r="M698" s="62"/>
      <c r="N698" s="62"/>
      <c r="O698" s="62"/>
      <c r="P698" s="62"/>
      <c r="Q698" s="62"/>
      <c r="R698" s="62"/>
      <c r="S698" s="62"/>
      <c r="T698" s="10">
        <f t="shared" si="1"/>
        <v>0</v>
      </c>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row>
    <row r="699">
      <c r="A699" s="62"/>
      <c r="B699" s="63"/>
      <c r="C699" s="62"/>
      <c r="D699" s="62"/>
      <c r="E699" s="62"/>
      <c r="F699" s="62"/>
      <c r="G699" s="62"/>
      <c r="H699" s="62"/>
      <c r="I699" s="62"/>
      <c r="J699" s="62"/>
      <c r="K699" s="62"/>
      <c r="L699" s="62"/>
      <c r="M699" s="62"/>
      <c r="N699" s="62"/>
      <c r="O699" s="62"/>
      <c r="P699" s="62"/>
      <c r="Q699" s="62"/>
      <c r="R699" s="62"/>
      <c r="S699" s="62"/>
      <c r="T699" s="10">
        <f t="shared" si="1"/>
        <v>0</v>
      </c>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row>
    <row r="700">
      <c r="A700" s="62"/>
      <c r="B700" s="63"/>
      <c r="C700" s="62"/>
      <c r="D700" s="62"/>
      <c r="E700" s="62"/>
      <c r="F700" s="62"/>
      <c r="G700" s="62"/>
      <c r="H700" s="62"/>
      <c r="I700" s="62"/>
      <c r="J700" s="62"/>
      <c r="K700" s="62"/>
      <c r="L700" s="62"/>
      <c r="M700" s="62"/>
      <c r="N700" s="62"/>
      <c r="O700" s="62"/>
      <c r="P700" s="62"/>
      <c r="Q700" s="62"/>
      <c r="R700" s="62"/>
      <c r="S700" s="62"/>
      <c r="T700" s="10">
        <f t="shared" si="1"/>
        <v>0</v>
      </c>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row>
    <row r="701">
      <c r="A701" s="62"/>
      <c r="B701" s="63"/>
      <c r="C701" s="62"/>
      <c r="D701" s="62"/>
      <c r="E701" s="62"/>
      <c r="F701" s="62"/>
      <c r="G701" s="62"/>
      <c r="H701" s="62"/>
      <c r="I701" s="62"/>
      <c r="J701" s="62"/>
      <c r="K701" s="62"/>
      <c r="L701" s="62"/>
      <c r="M701" s="62"/>
      <c r="N701" s="62"/>
      <c r="O701" s="62"/>
      <c r="P701" s="62"/>
      <c r="Q701" s="62"/>
      <c r="R701" s="62"/>
      <c r="S701" s="62"/>
      <c r="T701" s="10">
        <f t="shared" si="1"/>
        <v>0</v>
      </c>
      <c r="U701" s="62"/>
      <c r="V701" s="62"/>
      <c r="W701" s="62"/>
      <c r="X701" s="62"/>
      <c r="Y701" s="62"/>
      <c r="Z701" s="62"/>
      <c r="AA701" s="62"/>
      <c r="AB701" s="62"/>
      <c r="AC701" s="62"/>
      <c r="AD701" s="62"/>
      <c r="AE701" s="62"/>
      <c r="AF701" s="62"/>
      <c r="AG701" s="62"/>
      <c r="AH701" s="62"/>
      <c r="AI701" s="62"/>
      <c r="AJ701" s="62"/>
      <c r="AK701" s="62"/>
      <c r="AL701" s="62"/>
      <c r="AM701" s="62"/>
      <c r="AN701" s="62"/>
      <c r="AO701" s="62"/>
      <c r="AP701" s="62"/>
      <c r="AQ701" s="62"/>
    </row>
    <row r="702">
      <c r="A702" s="62"/>
      <c r="B702" s="63"/>
      <c r="C702" s="62"/>
      <c r="D702" s="62"/>
      <c r="E702" s="62"/>
      <c r="F702" s="62"/>
      <c r="G702" s="62"/>
      <c r="H702" s="62"/>
      <c r="I702" s="62"/>
      <c r="J702" s="62"/>
      <c r="K702" s="62"/>
      <c r="L702" s="62"/>
      <c r="M702" s="62"/>
      <c r="N702" s="62"/>
      <c r="O702" s="62"/>
      <c r="P702" s="62"/>
      <c r="Q702" s="62"/>
      <c r="R702" s="62"/>
      <c r="S702" s="62"/>
      <c r="T702" s="10">
        <f t="shared" si="1"/>
        <v>0</v>
      </c>
      <c r="U702" s="62"/>
      <c r="V702" s="62"/>
      <c r="W702" s="62"/>
      <c r="X702" s="62"/>
      <c r="Y702" s="62"/>
      <c r="Z702" s="62"/>
      <c r="AA702" s="62"/>
      <c r="AB702" s="62"/>
      <c r="AC702" s="62"/>
      <c r="AD702" s="62"/>
      <c r="AE702" s="62"/>
      <c r="AF702" s="62"/>
      <c r="AG702" s="62"/>
      <c r="AH702" s="62"/>
      <c r="AI702" s="62"/>
      <c r="AJ702" s="62"/>
      <c r="AK702" s="62"/>
      <c r="AL702" s="62"/>
      <c r="AM702" s="62"/>
      <c r="AN702" s="62"/>
      <c r="AO702" s="62"/>
      <c r="AP702" s="62"/>
      <c r="AQ702" s="62"/>
    </row>
    <row r="703">
      <c r="A703" s="62"/>
      <c r="B703" s="63"/>
      <c r="C703" s="62"/>
      <c r="D703" s="62"/>
      <c r="E703" s="62"/>
      <c r="F703" s="62"/>
      <c r="G703" s="62"/>
      <c r="H703" s="62"/>
      <c r="I703" s="62"/>
      <c r="J703" s="62"/>
      <c r="K703" s="62"/>
      <c r="L703" s="62"/>
      <c r="M703" s="62"/>
      <c r="N703" s="62"/>
      <c r="O703" s="62"/>
      <c r="P703" s="62"/>
      <c r="Q703" s="62"/>
      <c r="R703" s="62"/>
      <c r="S703" s="62"/>
      <c r="T703" s="10">
        <f t="shared" si="1"/>
        <v>0</v>
      </c>
      <c r="U703" s="62"/>
      <c r="V703" s="62"/>
      <c r="W703" s="62"/>
      <c r="X703" s="62"/>
      <c r="Y703" s="62"/>
      <c r="Z703" s="62"/>
      <c r="AA703" s="62"/>
      <c r="AB703" s="62"/>
      <c r="AC703" s="62"/>
      <c r="AD703" s="62"/>
      <c r="AE703" s="62"/>
      <c r="AF703" s="62"/>
      <c r="AG703" s="62"/>
      <c r="AH703" s="62"/>
      <c r="AI703" s="62"/>
      <c r="AJ703" s="62"/>
      <c r="AK703" s="62"/>
      <c r="AL703" s="62"/>
      <c r="AM703" s="62"/>
      <c r="AN703" s="62"/>
      <c r="AO703" s="62"/>
      <c r="AP703" s="62"/>
      <c r="AQ703" s="62"/>
    </row>
    <row r="704">
      <c r="A704" s="62"/>
      <c r="B704" s="63"/>
      <c r="C704" s="62"/>
      <c r="D704" s="62"/>
      <c r="E704" s="62"/>
      <c r="F704" s="62"/>
      <c r="G704" s="62"/>
      <c r="H704" s="62"/>
      <c r="I704" s="62"/>
      <c r="J704" s="62"/>
      <c r="K704" s="62"/>
      <c r="L704" s="62"/>
      <c r="M704" s="62"/>
      <c r="N704" s="62"/>
      <c r="O704" s="62"/>
      <c r="P704" s="62"/>
      <c r="Q704" s="62"/>
      <c r="R704" s="62"/>
      <c r="S704" s="62"/>
      <c r="T704" s="10">
        <f t="shared" si="1"/>
        <v>0</v>
      </c>
      <c r="U704" s="62"/>
      <c r="V704" s="62"/>
      <c r="W704" s="62"/>
      <c r="X704" s="62"/>
      <c r="Y704" s="62"/>
      <c r="Z704" s="62"/>
      <c r="AA704" s="62"/>
      <c r="AB704" s="62"/>
      <c r="AC704" s="62"/>
      <c r="AD704" s="62"/>
      <c r="AE704" s="62"/>
      <c r="AF704" s="62"/>
      <c r="AG704" s="62"/>
      <c r="AH704" s="62"/>
      <c r="AI704" s="62"/>
      <c r="AJ704" s="62"/>
      <c r="AK704" s="62"/>
      <c r="AL704" s="62"/>
      <c r="AM704" s="62"/>
      <c r="AN704" s="62"/>
      <c r="AO704" s="62"/>
      <c r="AP704" s="62"/>
      <c r="AQ704" s="62"/>
    </row>
    <row r="705">
      <c r="A705" s="62"/>
      <c r="B705" s="63"/>
      <c r="C705" s="62"/>
      <c r="D705" s="62"/>
      <c r="E705" s="62"/>
      <c r="F705" s="62"/>
      <c r="G705" s="62"/>
      <c r="H705" s="62"/>
      <c r="I705" s="62"/>
      <c r="J705" s="62"/>
      <c r="K705" s="62"/>
      <c r="L705" s="62"/>
      <c r="M705" s="62"/>
      <c r="N705" s="62"/>
      <c r="O705" s="62"/>
      <c r="P705" s="62"/>
      <c r="Q705" s="62"/>
      <c r="R705" s="62"/>
      <c r="S705" s="62"/>
      <c r="T705" s="10">
        <f t="shared" si="1"/>
        <v>0</v>
      </c>
      <c r="U705" s="62"/>
      <c r="V705" s="62"/>
      <c r="W705" s="62"/>
      <c r="X705" s="62"/>
      <c r="Y705" s="62"/>
      <c r="Z705" s="62"/>
      <c r="AA705" s="62"/>
      <c r="AB705" s="62"/>
      <c r="AC705" s="62"/>
      <c r="AD705" s="62"/>
      <c r="AE705" s="62"/>
      <c r="AF705" s="62"/>
      <c r="AG705" s="62"/>
      <c r="AH705" s="62"/>
      <c r="AI705" s="62"/>
      <c r="AJ705" s="62"/>
      <c r="AK705" s="62"/>
      <c r="AL705" s="62"/>
      <c r="AM705" s="62"/>
      <c r="AN705" s="62"/>
      <c r="AO705" s="62"/>
      <c r="AP705" s="62"/>
      <c r="AQ705" s="62"/>
    </row>
    <row r="706">
      <c r="A706" s="62"/>
      <c r="B706" s="63"/>
      <c r="C706" s="62"/>
      <c r="D706" s="62"/>
      <c r="E706" s="62"/>
      <c r="F706" s="62"/>
      <c r="G706" s="62"/>
      <c r="H706" s="62"/>
      <c r="I706" s="62"/>
      <c r="J706" s="62"/>
      <c r="K706" s="62"/>
      <c r="L706" s="62"/>
      <c r="M706" s="62"/>
      <c r="N706" s="62"/>
      <c r="O706" s="62"/>
      <c r="P706" s="62"/>
      <c r="Q706" s="62"/>
      <c r="R706" s="62"/>
      <c r="S706" s="62"/>
      <c r="T706" s="10">
        <f t="shared" si="1"/>
        <v>0</v>
      </c>
      <c r="U706" s="62"/>
      <c r="V706" s="62"/>
      <c r="W706" s="62"/>
      <c r="X706" s="62"/>
      <c r="Y706" s="62"/>
      <c r="Z706" s="62"/>
      <c r="AA706" s="62"/>
      <c r="AB706" s="62"/>
      <c r="AC706" s="62"/>
      <c r="AD706" s="62"/>
      <c r="AE706" s="62"/>
      <c r="AF706" s="62"/>
      <c r="AG706" s="62"/>
      <c r="AH706" s="62"/>
      <c r="AI706" s="62"/>
      <c r="AJ706" s="62"/>
      <c r="AK706" s="62"/>
      <c r="AL706" s="62"/>
      <c r="AM706" s="62"/>
      <c r="AN706" s="62"/>
      <c r="AO706" s="62"/>
      <c r="AP706" s="62"/>
      <c r="AQ706" s="62"/>
    </row>
    <row r="707">
      <c r="A707" s="62"/>
      <c r="B707" s="63"/>
      <c r="C707" s="62"/>
      <c r="D707" s="62"/>
      <c r="E707" s="62"/>
      <c r="F707" s="62"/>
      <c r="G707" s="62"/>
      <c r="H707" s="62"/>
      <c r="I707" s="62"/>
      <c r="J707" s="62"/>
      <c r="K707" s="62"/>
      <c r="L707" s="62"/>
      <c r="M707" s="62"/>
      <c r="N707" s="62"/>
      <c r="O707" s="62"/>
      <c r="P707" s="62"/>
      <c r="Q707" s="62"/>
      <c r="R707" s="62"/>
      <c r="S707" s="62"/>
      <c r="T707" s="10">
        <f t="shared" si="1"/>
        <v>0</v>
      </c>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row>
    <row r="708">
      <c r="A708" s="62"/>
      <c r="B708" s="63"/>
      <c r="C708" s="62"/>
      <c r="D708" s="62"/>
      <c r="E708" s="62"/>
      <c r="F708" s="62"/>
      <c r="G708" s="62"/>
      <c r="H708" s="62"/>
      <c r="I708" s="62"/>
      <c r="J708" s="62"/>
      <c r="K708" s="62"/>
      <c r="L708" s="62"/>
      <c r="M708" s="62"/>
      <c r="N708" s="62"/>
      <c r="O708" s="62"/>
      <c r="P708" s="62"/>
      <c r="Q708" s="62"/>
      <c r="R708" s="62"/>
      <c r="S708" s="62"/>
      <c r="T708" s="10">
        <f t="shared" si="1"/>
        <v>0</v>
      </c>
      <c r="U708" s="62"/>
      <c r="V708" s="62"/>
      <c r="W708" s="62"/>
      <c r="X708" s="62"/>
      <c r="Y708" s="62"/>
      <c r="Z708" s="62"/>
      <c r="AA708" s="62"/>
      <c r="AB708" s="62"/>
      <c r="AC708" s="62"/>
      <c r="AD708" s="62"/>
      <c r="AE708" s="62"/>
      <c r="AF708" s="62"/>
      <c r="AG708" s="62"/>
      <c r="AH708" s="62"/>
      <c r="AI708" s="62"/>
      <c r="AJ708" s="62"/>
      <c r="AK708" s="62"/>
      <c r="AL708" s="62"/>
      <c r="AM708" s="62"/>
      <c r="AN708" s="62"/>
      <c r="AO708" s="62"/>
      <c r="AP708" s="62"/>
      <c r="AQ708" s="62"/>
    </row>
    <row r="709">
      <c r="A709" s="62"/>
      <c r="B709" s="63"/>
      <c r="C709" s="62"/>
      <c r="D709" s="62"/>
      <c r="E709" s="62"/>
      <c r="F709" s="62"/>
      <c r="G709" s="62"/>
      <c r="H709" s="62"/>
      <c r="I709" s="62"/>
      <c r="J709" s="62"/>
      <c r="K709" s="62"/>
      <c r="L709" s="62"/>
      <c r="M709" s="62"/>
      <c r="N709" s="62"/>
      <c r="O709" s="62"/>
      <c r="P709" s="62"/>
      <c r="Q709" s="62"/>
      <c r="R709" s="62"/>
      <c r="S709" s="62"/>
      <c r="T709" s="10">
        <f t="shared" si="1"/>
        <v>0</v>
      </c>
      <c r="U709" s="62"/>
      <c r="V709" s="62"/>
      <c r="W709" s="62"/>
      <c r="X709" s="62"/>
      <c r="Y709" s="62"/>
      <c r="Z709" s="62"/>
      <c r="AA709" s="62"/>
      <c r="AB709" s="62"/>
      <c r="AC709" s="62"/>
      <c r="AD709" s="62"/>
      <c r="AE709" s="62"/>
      <c r="AF709" s="62"/>
      <c r="AG709" s="62"/>
      <c r="AH709" s="62"/>
      <c r="AI709" s="62"/>
      <c r="AJ709" s="62"/>
      <c r="AK709" s="62"/>
      <c r="AL709" s="62"/>
      <c r="AM709" s="62"/>
      <c r="AN709" s="62"/>
      <c r="AO709" s="62"/>
      <c r="AP709" s="62"/>
      <c r="AQ709" s="62"/>
    </row>
    <row r="710">
      <c r="A710" s="62"/>
      <c r="B710" s="63"/>
      <c r="C710" s="62"/>
      <c r="D710" s="62"/>
      <c r="E710" s="62"/>
      <c r="F710" s="62"/>
      <c r="G710" s="62"/>
      <c r="H710" s="62"/>
      <c r="I710" s="62"/>
      <c r="J710" s="62"/>
      <c r="K710" s="62"/>
      <c r="L710" s="62"/>
      <c r="M710" s="62"/>
      <c r="N710" s="62"/>
      <c r="O710" s="62"/>
      <c r="P710" s="62"/>
      <c r="Q710" s="62"/>
      <c r="R710" s="62"/>
      <c r="S710" s="62"/>
      <c r="T710" s="10">
        <f t="shared" si="1"/>
        <v>0</v>
      </c>
      <c r="U710" s="62"/>
      <c r="V710" s="62"/>
      <c r="W710" s="62"/>
      <c r="X710" s="62"/>
      <c r="Y710" s="62"/>
      <c r="Z710" s="62"/>
      <c r="AA710" s="62"/>
      <c r="AB710" s="62"/>
      <c r="AC710" s="62"/>
      <c r="AD710" s="62"/>
      <c r="AE710" s="62"/>
      <c r="AF710" s="62"/>
      <c r="AG710" s="62"/>
      <c r="AH710" s="62"/>
      <c r="AI710" s="62"/>
      <c r="AJ710" s="62"/>
      <c r="AK710" s="62"/>
      <c r="AL710" s="62"/>
      <c r="AM710" s="62"/>
      <c r="AN710" s="62"/>
      <c r="AO710" s="62"/>
      <c r="AP710" s="62"/>
      <c r="AQ710" s="62"/>
    </row>
    <row r="711">
      <c r="A711" s="62"/>
      <c r="B711" s="63"/>
      <c r="C711" s="62"/>
      <c r="D711" s="62"/>
      <c r="E711" s="62"/>
      <c r="F711" s="62"/>
      <c r="G711" s="62"/>
      <c r="H711" s="62"/>
      <c r="I711" s="62"/>
      <c r="J711" s="62"/>
      <c r="K711" s="62"/>
      <c r="L711" s="62"/>
      <c r="M711" s="62"/>
      <c r="N711" s="62"/>
      <c r="O711" s="62"/>
      <c r="P711" s="62"/>
      <c r="Q711" s="62"/>
      <c r="R711" s="62"/>
      <c r="S711" s="62"/>
      <c r="T711" s="10">
        <f t="shared" si="1"/>
        <v>0</v>
      </c>
      <c r="U711" s="62"/>
      <c r="V711" s="62"/>
      <c r="W711" s="62"/>
      <c r="X711" s="62"/>
      <c r="Y711" s="62"/>
      <c r="Z711" s="62"/>
      <c r="AA711" s="62"/>
      <c r="AB711" s="62"/>
      <c r="AC711" s="62"/>
      <c r="AD711" s="62"/>
      <c r="AE711" s="62"/>
      <c r="AF711" s="62"/>
      <c r="AG711" s="62"/>
      <c r="AH711" s="62"/>
      <c r="AI711" s="62"/>
      <c r="AJ711" s="62"/>
      <c r="AK711" s="62"/>
      <c r="AL711" s="62"/>
      <c r="AM711" s="62"/>
      <c r="AN711" s="62"/>
      <c r="AO711" s="62"/>
      <c r="AP711" s="62"/>
      <c r="AQ711" s="62"/>
    </row>
    <row r="712">
      <c r="A712" s="62"/>
      <c r="B712" s="63"/>
      <c r="C712" s="62"/>
      <c r="D712" s="62"/>
      <c r="E712" s="62"/>
      <c r="F712" s="62"/>
      <c r="G712" s="62"/>
      <c r="H712" s="62"/>
      <c r="I712" s="62"/>
      <c r="J712" s="62"/>
      <c r="K712" s="62"/>
      <c r="L712" s="62"/>
      <c r="M712" s="62"/>
      <c r="N712" s="62"/>
      <c r="O712" s="62"/>
      <c r="P712" s="62"/>
      <c r="Q712" s="62"/>
      <c r="R712" s="62"/>
      <c r="S712" s="62"/>
      <c r="T712" s="10">
        <f t="shared" si="1"/>
        <v>0</v>
      </c>
      <c r="U712" s="62"/>
      <c r="V712" s="62"/>
      <c r="W712" s="62"/>
      <c r="X712" s="62"/>
      <c r="Y712" s="62"/>
      <c r="Z712" s="62"/>
      <c r="AA712" s="62"/>
      <c r="AB712" s="62"/>
      <c r="AC712" s="62"/>
      <c r="AD712" s="62"/>
      <c r="AE712" s="62"/>
      <c r="AF712" s="62"/>
      <c r="AG712" s="62"/>
      <c r="AH712" s="62"/>
      <c r="AI712" s="62"/>
      <c r="AJ712" s="62"/>
      <c r="AK712" s="62"/>
      <c r="AL712" s="62"/>
      <c r="AM712" s="62"/>
      <c r="AN712" s="62"/>
      <c r="AO712" s="62"/>
      <c r="AP712" s="62"/>
      <c r="AQ712" s="62"/>
    </row>
    <row r="713">
      <c r="A713" s="62"/>
      <c r="B713" s="63"/>
      <c r="C713" s="62"/>
      <c r="D713" s="62"/>
      <c r="E713" s="62"/>
      <c r="F713" s="62"/>
      <c r="G713" s="62"/>
      <c r="H713" s="62"/>
      <c r="I713" s="62"/>
      <c r="J713" s="62"/>
      <c r="K713" s="62"/>
      <c r="L713" s="62"/>
      <c r="M713" s="62"/>
      <c r="N713" s="62"/>
      <c r="O713" s="62"/>
      <c r="P713" s="62"/>
      <c r="Q713" s="62"/>
      <c r="R713" s="62"/>
      <c r="S713" s="62"/>
      <c r="T713" s="10">
        <f t="shared" si="1"/>
        <v>0</v>
      </c>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row>
    <row r="714">
      <c r="A714" s="62"/>
      <c r="B714" s="63"/>
      <c r="C714" s="62"/>
      <c r="D714" s="62"/>
      <c r="E714" s="62"/>
      <c r="F714" s="62"/>
      <c r="G714" s="62"/>
      <c r="H714" s="62"/>
      <c r="I714" s="62"/>
      <c r="J714" s="62"/>
      <c r="K714" s="62"/>
      <c r="L714" s="62"/>
      <c r="M714" s="62"/>
      <c r="N714" s="62"/>
      <c r="O714" s="62"/>
      <c r="P714" s="62"/>
      <c r="Q714" s="62"/>
      <c r="R714" s="62"/>
      <c r="S714" s="62"/>
      <c r="T714" s="10">
        <f t="shared" si="1"/>
        <v>0</v>
      </c>
      <c r="U714" s="62"/>
      <c r="V714" s="62"/>
      <c r="W714" s="62"/>
      <c r="X714" s="62"/>
      <c r="Y714" s="62"/>
      <c r="Z714" s="62"/>
      <c r="AA714" s="62"/>
      <c r="AB714" s="62"/>
      <c r="AC714" s="62"/>
      <c r="AD714" s="62"/>
      <c r="AE714" s="62"/>
      <c r="AF714" s="62"/>
      <c r="AG714" s="62"/>
      <c r="AH714" s="62"/>
      <c r="AI714" s="62"/>
      <c r="AJ714" s="62"/>
      <c r="AK714" s="62"/>
      <c r="AL714" s="62"/>
      <c r="AM714" s="62"/>
      <c r="AN714" s="62"/>
      <c r="AO714" s="62"/>
      <c r="AP714" s="62"/>
      <c r="AQ714" s="62"/>
    </row>
    <row r="715">
      <c r="A715" s="62"/>
      <c r="B715" s="63"/>
      <c r="C715" s="62"/>
      <c r="D715" s="62"/>
      <c r="E715" s="62"/>
      <c r="F715" s="62"/>
      <c r="G715" s="62"/>
      <c r="H715" s="62"/>
      <c r="I715" s="62"/>
      <c r="J715" s="62"/>
      <c r="K715" s="62"/>
      <c r="L715" s="62"/>
      <c r="M715" s="62"/>
      <c r="N715" s="62"/>
      <c r="O715" s="62"/>
      <c r="P715" s="62"/>
      <c r="Q715" s="62"/>
      <c r="R715" s="62"/>
      <c r="S715" s="62"/>
      <c r="T715" s="10">
        <f t="shared" si="1"/>
        <v>0</v>
      </c>
      <c r="U715" s="62"/>
      <c r="V715" s="62"/>
      <c r="W715" s="62"/>
      <c r="X715" s="62"/>
      <c r="Y715" s="62"/>
      <c r="Z715" s="62"/>
      <c r="AA715" s="62"/>
      <c r="AB715" s="62"/>
      <c r="AC715" s="62"/>
      <c r="AD715" s="62"/>
      <c r="AE715" s="62"/>
      <c r="AF715" s="62"/>
      <c r="AG715" s="62"/>
      <c r="AH715" s="62"/>
      <c r="AI715" s="62"/>
      <c r="AJ715" s="62"/>
      <c r="AK715" s="62"/>
      <c r="AL715" s="62"/>
      <c r="AM715" s="62"/>
      <c r="AN715" s="62"/>
      <c r="AO715" s="62"/>
      <c r="AP715" s="62"/>
      <c r="AQ715" s="62"/>
    </row>
    <row r="716">
      <c r="A716" s="62"/>
      <c r="B716" s="63"/>
      <c r="C716" s="62"/>
      <c r="D716" s="62"/>
      <c r="E716" s="62"/>
      <c r="F716" s="62"/>
      <c r="G716" s="62"/>
      <c r="H716" s="62"/>
      <c r="I716" s="62"/>
      <c r="J716" s="62"/>
      <c r="K716" s="62"/>
      <c r="L716" s="62"/>
      <c r="M716" s="62"/>
      <c r="N716" s="62"/>
      <c r="O716" s="62"/>
      <c r="P716" s="62"/>
      <c r="Q716" s="62"/>
      <c r="R716" s="62"/>
      <c r="S716" s="62"/>
      <c r="T716" s="10">
        <f t="shared" si="1"/>
        <v>0</v>
      </c>
      <c r="U716" s="62"/>
      <c r="V716" s="62"/>
      <c r="W716" s="62"/>
      <c r="X716" s="62"/>
      <c r="Y716" s="62"/>
      <c r="Z716" s="62"/>
      <c r="AA716" s="62"/>
      <c r="AB716" s="62"/>
      <c r="AC716" s="62"/>
      <c r="AD716" s="62"/>
      <c r="AE716" s="62"/>
      <c r="AF716" s="62"/>
      <c r="AG716" s="62"/>
      <c r="AH716" s="62"/>
      <c r="AI716" s="62"/>
      <c r="AJ716" s="62"/>
      <c r="AK716" s="62"/>
      <c r="AL716" s="62"/>
      <c r="AM716" s="62"/>
      <c r="AN716" s="62"/>
      <c r="AO716" s="62"/>
      <c r="AP716" s="62"/>
      <c r="AQ716" s="62"/>
    </row>
    <row r="717">
      <c r="A717" s="62"/>
      <c r="B717" s="63"/>
      <c r="C717" s="62"/>
      <c r="D717" s="62"/>
      <c r="E717" s="62"/>
      <c r="F717" s="62"/>
      <c r="G717" s="62"/>
      <c r="H717" s="62"/>
      <c r="I717" s="62"/>
      <c r="J717" s="62"/>
      <c r="K717" s="62"/>
      <c r="L717" s="62"/>
      <c r="M717" s="62"/>
      <c r="N717" s="62"/>
      <c r="O717" s="62"/>
      <c r="P717" s="62"/>
      <c r="Q717" s="62"/>
      <c r="R717" s="62"/>
      <c r="S717" s="62"/>
      <c r="T717" s="10">
        <f t="shared" si="1"/>
        <v>0</v>
      </c>
      <c r="U717" s="62"/>
      <c r="V717" s="62"/>
      <c r="W717" s="62"/>
      <c r="X717" s="62"/>
      <c r="Y717" s="62"/>
      <c r="Z717" s="62"/>
      <c r="AA717" s="62"/>
      <c r="AB717" s="62"/>
      <c r="AC717" s="62"/>
      <c r="AD717" s="62"/>
      <c r="AE717" s="62"/>
      <c r="AF717" s="62"/>
      <c r="AG717" s="62"/>
      <c r="AH717" s="62"/>
      <c r="AI717" s="62"/>
      <c r="AJ717" s="62"/>
      <c r="AK717" s="62"/>
      <c r="AL717" s="62"/>
      <c r="AM717" s="62"/>
      <c r="AN717" s="62"/>
      <c r="AO717" s="62"/>
      <c r="AP717" s="62"/>
      <c r="AQ717" s="62"/>
    </row>
    <row r="718">
      <c r="A718" s="62"/>
      <c r="B718" s="63"/>
      <c r="C718" s="62"/>
      <c r="D718" s="62"/>
      <c r="E718" s="62"/>
      <c r="F718" s="62"/>
      <c r="G718" s="62"/>
      <c r="H718" s="62"/>
      <c r="I718" s="62"/>
      <c r="J718" s="62"/>
      <c r="K718" s="62"/>
      <c r="L718" s="62"/>
      <c r="M718" s="62"/>
      <c r="N718" s="62"/>
      <c r="O718" s="62"/>
      <c r="P718" s="62"/>
      <c r="Q718" s="62"/>
      <c r="R718" s="62"/>
      <c r="S718" s="62"/>
      <c r="T718" s="10">
        <f t="shared" si="1"/>
        <v>0</v>
      </c>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row>
    <row r="719">
      <c r="A719" s="62"/>
      <c r="B719" s="63"/>
      <c r="C719" s="62"/>
      <c r="D719" s="62"/>
      <c r="E719" s="62"/>
      <c r="F719" s="62"/>
      <c r="G719" s="62"/>
      <c r="H719" s="62"/>
      <c r="I719" s="62"/>
      <c r="J719" s="62"/>
      <c r="K719" s="62"/>
      <c r="L719" s="62"/>
      <c r="M719" s="62"/>
      <c r="N719" s="62"/>
      <c r="O719" s="62"/>
      <c r="P719" s="62"/>
      <c r="Q719" s="62"/>
      <c r="R719" s="62"/>
      <c r="S719" s="62"/>
      <c r="T719" s="10">
        <f t="shared" si="1"/>
        <v>0</v>
      </c>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row>
    <row r="720">
      <c r="A720" s="62"/>
      <c r="B720" s="63"/>
      <c r="C720" s="62"/>
      <c r="D720" s="62"/>
      <c r="E720" s="62"/>
      <c r="F720" s="62"/>
      <c r="G720" s="62"/>
      <c r="H720" s="62"/>
      <c r="I720" s="62"/>
      <c r="J720" s="62"/>
      <c r="K720" s="62"/>
      <c r="L720" s="62"/>
      <c r="M720" s="62"/>
      <c r="N720" s="62"/>
      <c r="O720" s="62"/>
      <c r="P720" s="62"/>
      <c r="Q720" s="62"/>
      <c r="R720" s="62"/>
      <c r="S720" s="62"/>
      <c r="T720" s="10">
        <f t="shared" si="1"/>
        <v>0</v>
      </c>
      <c r="U720" s="62"/>
      <c r="V720" s="62"/>
      <c r="W720" s="62"/>
      <c r="X720" s="62"/>
      <c r="Y720" s="62"/>
      <c r="Z720" s="62"/>
      <c r="AA720" s="62"/>
      <c r="AB720" s="62"/>
      <c r="AC720" s="62"/>
      <c r="AD720" s="62"/>
      <c r="AE720" s="62"/>
      <c r="AF720" s="62"/>
      <c r="AG720" s="62"/>
      <c r="AH720" s="62"/>
      <c r="AI720" s="62"/>
      <c r="AJ720" s="62"/>
      <c r="AK720" s="62"/>
      <c r="AL720" s="62"/>
      <c r="AM720" s="62"/>
      <c r="AN720" s="62"/>
      <c r="AO720" s="62"/>
      <c r="AP720" s="62"/>
      <c r="AQ720" s="62"/>
    </row>
    <row r="721">
      <c r="A721" s="62"/>
      <c r="B721" s="63"/>
      <c r="C721" s="62"/>
      <c r="D721" s="62"/>
      <c r="E721" s="62"/>
      <c r="F721" s="62"/>
      <c r="G721" s="62"/>
      <c r="H721" s="62"/>
      <c r="I721" s="62"/>
      <c r="J721" s="62"/>
      <c r="K721" s="62"/>
      <c r="L721" s="62"/>
      <c r="M721" s="62"/>
      <c r="N721" s="62"/>
      <c r="O721" s="62"/>
      <c r="P721" s="62"/>
      <c r="Q721" s="62"/>
      <c r="R721" s="62"/>
      <c r="S721" s="62"/>
      <c r="T721" s="10">
        <f t="shared" si="1"/>
        <v>0</v>
      </c>
      <c r="U721" s="62"/>
      <c r="V721" s="62"/>
      <c r="W721" s="62"/>
      <c r="X721" s="62"/>
      <c r="Y721" s="62"/>
      <c r="Z721" s="62"/>
      <c r="AA721" s="62"/>
      <c r="AB721" s="62"/>
      <c r="AC721" s="62"/>
      <c r="AD721" s="62"/>
      <c r="AE721" s="62"/>
      <c r="AF721" s="62"/>
      <c r="AG721" s="62"/>
      <c r="AH721" s="62"/>
      <c r="AI721" s="62"/>
      <c r="AJ721" s="62"/>
      <c r="AK721" s="62"/>
      <c r="AL721" s="62"/>
      <c r="AM721" s="62"/>
      <c r="AN721" s="62"/>
      <c r="AO721" s="62"/>
      <c r="AP721" s="62"/>
      <c r="AQ721" s="62"/>
    </row>
    <row r="722">
      <c r="A722" s="62"/>
      <c r="B722" s="63"/>
      <c r="C722" s="62"/>
      <c r="D722" s="62"/>
      <c r="E722" s="62"/>
      <c r="F722" s="62"/>
      <c r="G722" s="62"/>
      <c r="H722" s="62"/>
      <c r="I722" s="62"/>
      <c r="J722" s="62"/>
      <c r="K722" s="62"/>
      <c r="L722" s="62"/>
      <c r="M722" s="62"/>
      <c r="N722" s="62"/>
      <c r="O722" s="62"/>
      <c r="P722" s="62"/>
      <c r="Q722" s="62"/>
      <c r="R722" s="62"/>
      <c r="S722" s="62"/>
      <c r="T722" s="10">
        <f t="shared" si="1"/>
        <v>0</v>
      </c>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row>
    <row r="723">
      <c r="A723" s="62"/>
      <c r="B723" s="63"/>
      <c r="C723" s="62"/>
      <c r="D723" s="62"/>
      <c r="E723" s="62"/>
      <c r="F723" s="62"/>
      <c r="G723" s="62"/>
      <c r="H723" s="62"/>
      <c r="I723" s="62"/>
      <c r="J723" s="62"/>
      <c r="K723" s="62"/>
      <c r="L723" s="62"/>
      <c r="M723" s="62"/>
      <c r="N723" s="62"/>
      <c r="O723" s="62"/>
      <c r="P723" s="62"/>
      <c r="Q723" s="62"/>
      <c r="R723" s="62"/>
      <c r="S723" s="62"/>
      <c r="T723" s="10">
        <f t="shared" si="1"/>
        <v>0</v>
      </c>
      <c r="U723" s="62"/>
      <c r="V723" s="62"/>
      <c r="W723" s="62"/>
      <c r="X723" s="62"/>
      <c r="Y723" s="62"/>
      <c r="Z723" s="62"/>
      <c r="AA723" s="62"/>
      <c r="AB723" s="62"/>
      <c r="AC723" s="62"/>
      <c r="AD723" s="62"/>
      <c r="AE723" s="62"/>
      <c r="AF723" s="62"/>
      <c r="AG723" s="62"/>
      <c r="AH723" s="62"/>
      <c r="AI723" s="62"/>
      <c r="AJ723" s="62"/>
      <c r="AK723" s="62"/>
      <c r="AL723" s="62"/>
      <c r="AM723" s="62"/>
      <c r="AN723" s="62"/>
      <c r="AO723" s="62"/>
      <c r="AP723" s="62"/>
      <c r="AQ723" s="62"/>
    </row>
    <row r="724">
      <c r="A724" s="62"/>
      <c r="B724" s="63"/>
      <c r="C724" s="62"/>
      <c r="D724" s="62"/>
      <c r="E724" s="62"/>
      <c r="F724" s="62"/>
      <c r="G724" s="62"/>
      <c r="H724" s="62"/>
      <c r="I724" s="62"/>
      <c r="J724" s="62"/>
      <c r="K724" s="62"/>
      <c r="L724" s="62"/>
      <c r="M724" s="62"/>
      <c r="N724" s="62"/>
      <c r="O724" s="62"/>
      <c r="P724" s="62"/>
      <c r="Q724" s="62"/>
      <c r="R724" s="62"/>
      <c r="S724" s="62"/>
      <c r="T724" s="10">
        <f t="shared" si="1"/>
        <v>0</v>
      </c>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row>
    <row r="725">
      <c r="A725" s="62"/>
      <c r="B725" s="63"/>
      <c r="C725" s="62"/>
      <c r="D725" s="62"/>
      <c r="E725" s="62"/>
      <c r="F725" s="62"/>
      <c r="G725" s="62"/>
      <c r="H725" s="62"/>
      <c r="I725" s="62"/>
      <c r="J725" s="62"/>
      <c r="K725" s="62"/>
      <c r="L725" s="62"/>
      <c r="M725" s="62"/>
      <c r="N725" s="62"/>
      <c r="O725" s="62"/>
      <c r="P725" s="62"/>
      <c r="Q725" s="62"/>
      <c r="R725" s="62"/>
      <c r="S725" s="62"/>
      <c r="T725" s="10">
        <f t="shared" si="1"/>
        <v>0</v>
      </c>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row>
    <row r="726">
      <c r="A726" s="62"/>
      <c r="B726" s="63"/>
      <c r="C726" s="62"/>
      <c r="D726" s="62"/>
      <c r="E726" s="62"/>
      <c r="F726" s="62"/>
      <c r="G726" s="62"/>
      <c r="H726" s="62"/>
      <c r="I726" s="62"/>
      <c r="J726" s="62"/>
      <c r="K726" s="62"/>
      <c r="L726" s="62"/>
      <c r="M726" s="62"/>
      <c r="N726" s="62"/>
      <c r="O726" s="62"/>
      <c r="P726" s="62"/>
      <c r="Q726" s="62"/>
      <c r="R726" s="62"/>
      <c r="S726" s="62"/>
      <c r="T726" s="10">
        <f t="shared" si="1"/>
        <v>0</v>
      </c>
      <c r="U726" s="62"/>
      <c r="V726" s="62"/>
      <c r="W726" s="62"/>
      <c r="X726" s="62"/>
      <c r="Y726" s="62"/>
      <c r="Z726" s="62"/>
      <c r="AA726" s="62"/>
      <c r="AB726" s="62"/>
      <c r="AC726" s="62"/>
      <c r="AD726" s="62"/>
      <c r="AE726" s="62"/>
      <c r="AF726" s="62"/>
      <c r="AG726" s="62"/>
      <c r="AH726" s="62"/>
      <c r="AI726" s="62"/>
      <c r="AJ726" s="62"/>
      <c r="AK726" s="62"/>
      <c r="AL726" s="62"/>
      <c r="AM726" s="62"/>
      <c r="AN726" s="62"/>
      <c r="AO726" s="62"/>
      <c r="AP726" s="62"/>
      <c r="AQ726" s="62"/>
    </row>
    <row r="727">
      <c r="A727" s="62"/>
      <c r="B727" s="63"/>
      <c r="C727" s="62"/>
      <c r="D727" s="62"/>
      <c r="E727" s="62"/>
      <c r="F727" s="62"/>
      <c r="G727" s="62"/>
      <c r="H727" s="62"/>
      <c r="I727" s="62"/>
      <c r="J727" s="62"/>
      <c r="K727" s="62"/>
      <c r="L727" s="62"/>
      <c r="M727" s="62"/>
      <c r="N727" s="62"/>
      <c r="O727" s="62"/>
      <c r="P727" s="62"/>
      <c r="Q727" s="62"/>
      <c r="R727" s="62"/>
      <c r="S727" s="62"/>
      <c r="T727" s="10">
        <f t="shared" si="1"/>
        <v>0</v>
      </c>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row>
    <row r="728">
      <c r="A728" s="62"/>
      <c r="B728" s="63"/>
      <c r="C728" s="62"/>
      <c r="D728" s="62"/>
      <c r="E728" s="62"/>
      <c r="F728" s="62"/>
      <c r="G728" s="62"/>
      <c r="H728" s="62"/>
      <c r="I728" s="62"/>
      <c r="J728" s="62"/>
      <c r="K728" s="62"/>
      <c r="L728" s="62"/>
      <c r="M728" s="62"/>
      <c r="N728" s="62"/>
      <c r="O728" s="62"/>
      <c r="P728" s="62"/>
      <c r="Q728" s="62"/>
      <c r="R728" s="62"/>
      <c r="S728" s="62"/>
      <c r="T728" s="10">
        <f t="shared" si="1"/>
        <v>0</v>
      </c>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row>
    <row r="729">
      <c r="A729" s="62"/>
      <c r="B729" s="63"/>
      <c r="C729" s="62"/>
      <c r="D729" s="62"/>
      <c r="E729" s="62"/>
      <c r="F729" s="62"/>
      <c r="G729" s="62"/>
      <c r="H729" s="62"/>
      <c r="I729" s="62"/>
      <c r="J729" s="62"/>
      <c r="K729" s="62"/>
      <c r="L729" s="62"/>
      <c r="M729" s="62"/>
      <c r="N729" s="62"/>
      <c r="O729" s="62"/>
      <c r="P729" s="62"/>
      <c r="Q729" s="62"/>
      <c r="R729" s="62"/>
      <c r="S729" s="62"/>
      <c r="T729" s="10">
        <f t="shared" si="1"/>
        <v>0</v>
      </c>
      <c r="U729" s="62"/>
      <c r="V729" s="62"/>
      <c r="W729" s="62"/>
      <c r="X729" s="62"/>
      <c r="Y729" s="62"/>
      <c r="Z729" s="62"/>
      <c r="AA729" s="62"/>
      <c r="AB729" s="62"/>
      <c r="AC729" s="62"/>
      <c r="AD729" s="62"/>
      <c r="AE729" s="62"/>
      <c r="AF729" s="62"/>
      <c r="AG729" s="62"/>
      <c r="AH729" s="62"/>
      <c r="AI729" s="62"/>
      <c r="AJ729" s="62"/>
      <c r="AK729" s="62"/>
      <c r="AL729" s="62"/>
      <c r="AM729" s="62"/>
      <c r="AN729" s="62"/>
      <c r="AO729" s="62"/>
      <c r="AP729" s="62"/>
      <c r="AQ729" s="62"/>
    </row>
    <row r="730">
      <c r="A730" s="62"/>
      <c r="B730" s="63"/>
      <c r="C730" s="62"/>
      <c r="D730" s="62"/>
      <c r="E730" s="62"/>
      <c r="F730" s="62"/>
      <c r="G730" s="62"/>
      <c r="H730" s="62"/>
      <c r="I730" s="62"/>
      <c r="J730" s="62"/>
      <c r="K730" s="62"/>
      <c r="L730" s="62"/>
      <c r="M730" s="62"/>
      <c r="N730" s="62"/>
      <c r="O730" s="62"/>
      <c r="P730" s="62"/>
      <c r="Q730" s="62"/>
      <c r="R730" s="62"/>
      <c r="S730" s="62"/>
      <c r="T730" s="10">
        <f t="shared" si="1"/>
        <v>0</v>
      </c>
      <c r="U730" s="62"/>
      <c r="V730" s="62"/>
      <c r="W730" s="62"/>
      <c r="X730" s="62"/>
      <c r="Y730" s="62"/>
      <c r="Z730" s="62"/>
      <c r="AA730" s="62"/>
      <c r="AB730" s="62"/>
      <c r="AC730" s="62"/>
      <c r="AD730" s="62"/>
      <c r="AE730" s="62"/>
      <c r="AF730" s="62"/>
      <c r="AG730" s="62"/>
      <c r="AH730" s="62"/>
      <c r="AI730" s="62"/>
      <c r="AJ730" s="62"/>
      <c r="AK730" s="62"/>
      <c r="AL730" s="62"/>
      <c r="AM730" s="62"/>
      <c r="AN730" s="62"/>
      <c r="AO730" s="62"/>
      <c r="AP730" s="62"/>
      <c r="AQ730" s="62"/>
    </row>
    <row r="731">
      <c r="A731" s="62"/>
      <c r="B731" s="63"/>
      <c r="C731" s="62"/>
      <c r="D731" s="62"/>
      <c r="E731" s="62"/>
      <c r="F731" s="62"/>
      <c r="G731" s="62"/>
      <c r="H731" s="62"/>
      <c r="I731" s="62"/>
      <c r="J731" s="62"/>
      <c r="K731" s="62"/>
      <c r="L731" s="62"/>
      <c r="M731" s="62"/>
      <c r="N731" s="62"/>
      <c r="O731" s="62"/>
      <c r="P731" s="62"/>
      <c r="Q731" s="62"/>
      <c r="R731" s="62"/>
      <c r="S731" s="62"/>
      <c r="T731" s="10">
        <f t="shared" si="1"/>
        <v>0</v>
      </c>
      <c r="U731" s="62"/>
      <c r="V731" s="62"/>
      <c r="W731" s="62"/>
      <c r="X731" s="62"/>
      <c r="Y731" s="62"/>
      <c r="Z731" s="62"/>
      <c r="AA731" s="62"/>
      <c r="AB731" s="62"/>
      <c r="AC731" s="62"/>
      <c r="AD731" s="62"/>
      <c r="AE731" s="62"/>
      <c r="AF731" s="62"/>
      <c r="AG731" s="62"/>
      <c r="AH731" s="62"/>
      <c r="AI731" s="62"/>
      <c r="AJ731" s="62"/>
      <c r="AK731" s="62"/>
      <c r="AL731" s="62"/>
      <c r="AM731" s="62"/>
      <c r="AN731" s="62"/>
      <c r="AO731" s="62"/>
      <c r="AP731" s="62"/>
      <c r="AQ731" s="62"/>
    </row>
    <row r="732">
      <c r="A732" s="62"/>
      <c r="B732" s="63"/>
      <c r="C732" s="62"/>
      <c r="D732" s="62"/>
      <c r="E732" s="62"/>
      <c r="F732" s="62"/>
      <c r="G732" s="62"/>
      <c r="H732" s="62"/>
      <c r="I732" s="62"/>
      <c r="J732" s="62"/>
      <c r="K732" s="62"/>
      <c r="L732" s="62"/>
      <c r="M732" s="62"/>
      <c r="N732" s="62"/>
      <c r="O732" s="62"/>
      <c r="P732" s="62"/>
      <c r="Q732" s="62"/>
      <c r="R732" s="62"/>
      <c r="S732" s="62"/>
      <c r="T732" s="10">
        <f t="shared" si="1"/>
        <v>0</v>
      </c>
      <c r="U732" s="62"/>
      <c r="V732" s="62"/>
      <c r="W732" s="62"/>
      <c r="X732" s="62"/>
      <c r="Y732" s="62"/>
      <c r="Z732" s="62"/>
      <c r="AA732" s="62"/>
      <c r="AB732" s="62"/>
      <c r="AC732" s="62"/>
      <c r="AD732" s="62"/>
      <c r="AE732" s="62"/>
      <c r="AF732" s="62"/>
      <c r="AG732" s="62"/>
      <c r="AH732" s="62"/>
      <c r="AI732" s="62"/>
      <c r="AJ732" s="62"/>
      <c r="AK732" s="62"/>
      <c r="AL732" s="62"/>
      <c r="AM732" s="62"/>
      <c r="AN732" s="62"/>
      <c r="AO732" s="62"/>
      <c r="AP732" s="62"/>
      <c r="AQ732" s="62"/>
    </row>
    <row r="733">
      <c r="A733" s="62"/>
      <c r="B733" s="63"/>
      <c r="C733" s="62"/>
      <c r="D733" s="62"/>
      <c r="E733" s="62"/>
      <c r="F733" s="62"/>
      <c r="G733" s="62"/>
      <c r="H733" s="62"/>
      <c r="I733" s="62"/>
      <c r="J733" s="62"/>
      <c r="K733" s="62"/>
      <c r="L733" s="62"/>
      <c r="M733" s="62"/>
      <c r="N733" s="62"/>
      <c r="O733" s="62"/>
      <c r="P733" s="62"/>
      <c r="Q733" s="62"/>
      <c r="R733" s="62"/>
      <c r="S733" s="62"/>
      <c r="T733" s="10">
        <f t="shared" si="1"/>
        <v>0</v>
      </c>
      <c r="U733" s="62"/>
      <c r="V733" s="62"/>
      <c r="W733" s="62"/>
      <c r="X733" s="62"/>
      <c r="Y733" s="62"/>
      <c r="Z733" s="62"/>
      <c r="AA733" s="62"/>
      <c r="AB733" s="62"/>
      <c r="AC733" s="62"/>
      <c r="AD733" s="62"/>
      <c r="AE733" s="62"/>
      <c r="AF733" s="62"/>
      <c r="AG733" s="62"/>
      <c r="AH733" s="62"/>
      <c r="AI733" s="62"/>
      <c r="AJ733" s="62"/>
      <c r="AK733" s="62"/>
      <c r="AL733" s="62"/>
      <c r="AM733" s="62"/>
      <c r="AN733" s="62"/>
      <c r="AO733" s="62"/>
      <c r="AP733" s="62"/>
      <c r="AQ733" s="62"/>
    </row>
    <row r="734">
      <c r="A734" s="62"/>
      <c r="B734" s="63"/>
      <c r="C734" s="62"/>
      <c r="D734" s="62"/>
      <c r="E734" s="62"/>
      <c r="F734" s="62"/>
      <c r="G734" s="62"/>
      <c r="H734" s="62"/>
      <c r="I734" s="62"/>
      <c r="J734" s="62"/>
      <c r="K734" s="62"/>
      <c r="L734" s="62"/>
      <c r="M734" s="62"/>
      <c r="N734" s="62"/>
      <c r="O734" s="62"/>
      <c r="P734" s="62"/>
      <c r="Q734" s="62"/>
      <c r="R734" s="62"/>
      <c r="S734" s="62"/>
      <c r="T734" s="10">
        <f t="shared" si="1"/>
        <v>0</v>
      </c>
      <c r="U734" s="62"/>
      <c r="V734" s="62"/>
      <c r="W734" s="62"/>
      <c r="X734" s="62"/>
      <c r="Y734" s="62"/>
      <c r="Z734" s="62"/>
      <c r="AA734" s="62"/>
      <c r="AB734" s="62"/>
      <c r="AC734" s="62"/>
      <c r="AD734" s="62"/>
      <c r="AE734" s="62"/>
      <c r="AF734" s="62"/>
      <c r="AG734" s="62"/>
      <c r="AH734" s="62"/>
      <c r="AI734" s="62"/>
      <c r="AJ734" s="62"/>
      <c r="AK734" s="62"/>
      <c r="AL734" s="62"/>
      <c r="AM734" s="62"/>
      <c r="AN734" s="62"/>
      <c r="AO734" s="62"/>
      <c r="AP734" s="62"/>
      <c r="AQ734" s="62"/>
    </row>
    <row r="735">
      <c r="A735" s="62"/>
      <c r="B735" s="63"/>
      <c r="C735" s="62"/>
      <c r="D735" s="62"/>
      <c r="E735" s="62"/>
      <c r="F735" s="62"/>
      <c r="G735" s="62"/>
      <c r="H735" s="62"/>
      <c r="I735" s="62"/>
      <c r="J735" s="62"/>
      <c r="K735" s="62"/>
      <c r="L735" s="62"/>
      <c r="M735" s="62"/>
      <c r="N735" s="62"/>
      <c r="O735" s="62"/>
      <c r="P735" s="62"/>
      <c r="Q735" s="62"/>
      <c r="R735" s="62"/>
      <c r="S735" s="62"/>
      <c r="T735" s="10">
        <f t="shared" si="1"/>
        <v>0</v>
      </c>
      <c r="U735" s="62"/>
      <c r="V735" s="62"/>
      <c r="W735" s="62"/>
      <c r="X735" s="62"/>
      <c r="Y735" s="62"/>
      <c r="Z735" s="62"/>
      <c r="AA735" s="62"/>
      <c r="AB735" s="62"/>
      <c r="AC735" s="62"/>
      <c r="AD735" s="62"/>
      <c r="AE735" s="62"/>
      <c r="AF735" s="62"/>
      <c r="AG735" s="62"/>
      <c r="AH735" s="62"/>
      <c r="AI735" s="62"/>
      <c r="AJ735" s="62"/>
      <c r="AK735" s="62"/>
      <c r="AL735" s="62"/>
      <c r="AM735" s="62"/>
      <c r="AN735" s="62"/>
      <c r="AO735" s="62"/>
      <c r="AP735" s="62"/>
      <c r="AQ735" s="62"/>
    </row>
    <row r="736">
      <c r="A736" s="62"/>
      <c r="B736" s="63"/>
      <c r="C736" s="62"/>
      <c r="D736" s="62"/>
      <c r="E736" s="62"/>
      <c r="F736" s="62"/>
      <c r="G736" s="62"/>
      <c r="H736" s="62"/>
      <c r="I736" s="62"/>
      <c r="J736" s="62"/>
      <c r="K736" s="62"/>
      <c r="L736" s="62"/>
      <c r="M736" s="62"/>
      <c r="N736" s="62"/>
      <c r="O736" s="62"/>
      <c r="P736" s="62"/>
      <c r="Q736" s="62"/>
      <c r="R736" s="62"/>
      <c r="S736" s="62"/>
      <c r="T736" s="10">
        <f t="shared" si="1"/>
        <v>0</v>
      </c>
      <c r="U736" s="62"/>
      <c r="V736" s="62"/>
      <c r="W736" s="62"/>
      <c r="X736" s="62"/>
      <c r="Y736" s="62"/>
      <c r="Z736" s="62"/>
      <c r="AA736" s="62"/>
      <c r="AB736" s="62"/>
      <c r="AC736" s="62"/>
      <c r="AD736" s="62"/>
      <c r="AE736" s="62"/>
      <c r="AF736" s="62"/>
      <c r="AG736" s="62"/>
      <c r="AH736" s="62"/>
      <c r="AI736" s="62"/>
      <c r="AJ736" s="62"/>
      <c r="AK736" s="62"/>
      <c r="AL736" s="62"/>
      <c r="AM736" s="62"/>
      <c r="AN736" s="62"/>
      <c r="AO736" s="62"/>
      <c r="AP736" s="62"/>
      <c r="AQ736" s="62"/>
    </row>
    <row r="737">
      <c r="A737" s="62"/>
      <c r="B737" s="63"/>
      <c r="C737" s="62"/>
      <c r="D737" s="62"/>
      <c r="E737" s="62"/>
      <c r="F737" s="62"/>
      <c r="G737" s="62"/>
      <c r="H737" s="62"/>
      <c r="I737" s="62"/>
      <c r="J737" s="62"/>
      <c r="K737" s="62"/>
      <c r="L737" s="62"/>
      <c r="M737" s="62"/>
      <c r="N737" s="62"/>
      <c r="O737" s="62"/>
      <c r="P737" s="62"/>
      <c r="Q737" s="62"/>
      <c r="R737" s="62"/>
      <c r="S737" s="62"/>
      <c r="T737" s="10">
        <f t="shared" si="1"/>
        <v>0</v>
      </c>
      <c r="U737" s="62"/>
      <c r="V737" s="62"/>
      <c r="W737" s="62"/>
      <c r="X737" s="62"/>
      <c r="Y737" s="62"/>
      <c r="Z737" s="62"/>
      <c r="AA737" s="62"/>
      <c r="AB737" s="62"/>
      <c r="AC737" s="62"/>
      <c r="AD737" s="62"/>
      <c r="AE737" s="62"/>
      <c r="AF737" s="62"/>
      <c r="AG737" s="62"/>
      <c r="AH737" s="62"/>
      <c r="AI737" s="62"/>
      <c r="AJ737" s="62"/>
      <c r="AK737" s="62"/>
      <c r="AL737" s="62"/>
      <c r="AM737" s="62"/>
      <c r="AN737" s="62"/>
      <c r="AO737" s="62"/>
      <c r="AP737" s="62"/>
      <c r="AQ737" s="62"/>
    </row>
    <row r="738">
      <c r="A738" s="62"/>
      <c r="B738" s="63"/>
      <c r="C738" s="62"/>
      <c r="D738" s="62"/>
      <c r="E738" s="62"/>
      <c r="F738" s="62"/>
      <c r="G738" s="62"/>
      <c r="H738" s="62"/>
      <c r="I738" s="62"/>
      <c r="J738" s="62"/>
      <c r="K738" s="62"/>
      <c r="L738" s="62"/>
      <c r="M738" s="62"/>
      <c r="N738" s="62"/>
      <c r="O738" s="62"/>
      <c r="P738" s="62"/>
      <c r="Q738" s="62"/>
      <c r="R738" s="62"/>
      <c r="S738" s="62"/>
      <c r="T738" s="10">
        <f t="shared" si="1"/>
        <v>0</v>
      </c>
      <c r="U738" s="62"/>
      <c r="V738" s="62"/>
      <c r="W738" s="62"/>
      <c r="X738" s="62"/>
      <c r="Y738" s="62"/>
      <c r="Z738" s="62"/>
      <c r="AA738" s="62"/>
      <c r="AB738" s="62"/>
      <c r="AC738" s="62"/>
      <c r="AD738" s="62"/>
      <c r="AE738" s="62"/>
      <c r="AF738" s="62"/>
      <c r="AG738" s="62"/>
      <c r="AH738" s="62"/>
      <c r="AI738" s="62"/>
      <c r="AJ738" s="62"/>
      <c r="AK738" s="62"/>
      <c r="AL738" s="62"/>
      <c r="AM738" s="62"/>
      <c r="AN738" s="62"/>
      <c r="AO738" s="62"/>
      <c r="AP738" s="62"/>
      <c r="AQ738" s="62"/>
    </row>
    <row r="739">
      <c r="A739" s="62"/>
      <c r="B739" s="63"/>
      <c r="C739" s="62"/>
      <c r="D739" s="62"/>
      <c r="E739" s="62"/>
      <c r="F739" s="62"/>
      <c r="G739" s="62"/>
      <c r="H739" s="62"/>
      <c r="I739" s="62"/>
      <c r="J739" s="62"/>
      <c r="K739" s="62"/>
      <c r="L739" s="62"/>
      <c r="M739" s="62"/>
      <c r="N739" s="62"/>
      <c r="O739" s="62"/>
      <c r="P739" s="62"/>
      <c r="Q739" s="62"/>
      <c r="R739" s="62"/>
      <c r="S739" s="62"/>
      <c r="T739" s="10">
        <f t="shared" si="1"/>
        <v>0</v>
      </c>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row>
    <row r="740">
      <c r="A740" s="62"/>
      <c r="B740" s="63"/>
      <c r="C740" s="62"/>
      <c r="D740" s="62"/>
      <c r="E740" s="62"/>
      <c r="F740" s="62"/>
      <c r="G740" s="62"/>
      <c r="H740" s="62"/>
      <c r="I740" s="62"/>
      <c r="J740" s="62"/>
      <c r="K740" s="62"/>
      <c r="L740" s="62"/>
      <c r="M740" s="62"/>
      <c r="N740" s="62"/>
      <c r="O740" s="62"/>
      <c r="P740" s="62"/>
      <c r="Q740" s="62"/>
      <c r="R740" s="62"/>
      <c r="S740" s="62"/>
      <c r="T740" s="10">
        <f t="shared" si="1"/>
        <v>0</v>
      </c>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row>
    <row r="741">
      <c r="A741" s="62"/>
      <c r="B741" s="63"/>
      <c r="C741" s="62"/>
      <c r="D741" s="62"/>
      <c r="E741" s="62"/>
      <c r="F741" s="62"/>
      <c r="G741" s="62"/>
      <c r="H741" s="62"/>
      <c r="I741" s="62"/>
      <c r="J741" s="62"/>
      <c r="K741" s="62"/>
      <c r="L741" s="62"/>
      <c r="M741" s="62"/>
      <c r="N741" s="62"/>
      <c r="O741" s="62"/>
      <c r="P741" s="62"/>
      <c r="Q741" s="62"/>
      <c r="R741" s="62"/>
      <c r="S741" s="62"/>
      <c r="T741" s="10">
        <f t="shared" si="1"/>
        <v>0</v>
      </c>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row>
    <row r="742">
      <c r="A742" s="62"/>
      <c r="B742" s="63"/>
      <c r="C742" s="62"/>
      <c r="D742" s="62"/>
      <c r="E742" s="62"/>
      <c r="F742" s="62"/>
      <c r="G742" s="62"/>
      <c r="H742" s="62"/>
      <c r="I742" s="62"/>
      <c r="J742" s="62"/>
      <c r="K742" s="62"/>
      <c r="L742" s="62"/>
      <c r="M742" s="62"/>
      <c r="N742" s="62"/>
      <c r="O742" s="62"/>
      <c r="P742" s="62"/>
      <c r="Q742" s="62"/>
      <c r="R742" s="62"/>
      <c r="S742" s="62"/>
      <c r="T742" s="10">
        <f t="shared" si="1"/>
        <v>0</v>
      </c>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row>
    <row r="743">
      <c r="A743" s="62"/>
      <c r="B743" s="63"/>
      <c r="C743" s="62"/>
      <c r="D743" s="62"/>
      <c r="E743" s="62"/>
      <c r="F743" s="62"/>
      <c r="G743" s="62"/>
      <c r="H743" s="62"/>
      <c r="I743" s="62"/>
      <c r="J743" s="62"/>
      <c r="K743" s="62"/>
      <c r="L743" s="62"/>
      <c r="M743" s="62"/>
      <c r="N743" s="62"/>
      <c r="O743" s="62"/>
      <c r="P743" s="62"/>
      <c r="Q743" s="62"/>
      <c r="R743" s="62"/>
      <c r="S743" s="62"/>
      <c r="T743" s="10">
        <f t="shared" si="1"/>
        <v>0</v>
      </c>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row>
    <row r="744">
      <c r="A744" s="62"/>
      <c r="B744" s="63"/>
      <c r="C744" s="62"/>
      <c r="D744" s="62"/>
      <c r="E744" s="62"/>
      <c r="F744" s="62"/>
      <c r="G744" s="62"/>
      <c r="H744" s="62"/>
      <c r="I744" s="62"/>
      <c r="J744" s="62"/>
      <c r="K744" s="62"/>
      <c r="L744" s="62"/>
      <c r="M744" s="62"/>
      <c r="N744" s="62"/>
      <c r="O744" s="62"/>
      <c r="P744" s="62"/>
      <c r="Q744" s="62"/>
      <c r="R744" s="62"/>
      <c r="S744" s="62"/>
      <c r="T744" s="10">
        <f t="shared" si="1"/>
        <v>0</v>
      </c>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row>
    <row r="745">
      <c r="A745" s="62"/>
      <c r="B745" s="63"/>
      <c r="C745" s="62"/>
      <c r="D745" s="62"/>
      <c r="E745" s="62"/>
      <c r="F745" s="62"/>
      <c r="G745" s="62"/>
      <c r="H745" s="62"/>
      <c r="I745" s="62"/>
      <c r="J745" s="62"/>
      <c r="K745" s="62"/>
      <c r="L745" s="62"/>
      <c r="M745" s="62"/>
      <c r="N745" s="62"/>
      <c r="O745" s="62"/>
      <c r="P745" s="62"/>
      <c r="Q745" s="62"/>
      <c r="R745" s="62"/>
      <c r="S745" s="62"/>
      <c r="T745" s="10">
        <f t="shared" si="1"/>
        <v>0</v>
      </c>
      <c r="U745" s="62"/>
      <c r="V745" s="62"/>
      <c r="W745" s="62"/>
      <c r="X745" s="62"/>
      <c r="Y745" s="62"/>
      <c r="Z745" s="62"/>
      <c r="AA745" s="62"/>
      <c r="AB745" s="62"/>
      <c r="AC745" s="62"/>
      <c r="AD745" s="62"/>
      <c r="AE745" s="62"/>
      <c r="AF745" s="62"/>
      <c r="AG745" s="62"/>
      <c r="AH745" s="62"/>
      <c r="AI745" s="62"/>
      <c r="AJ745" s="62"/>
      <c r="AK745" s="62"/>
      <c r="AL745" s="62"/>
      <c r="AM745" s="62"/>
      <c r="AN745" s="62"/>
      <c r="AO745" s="62"/>
      <c r="AP745" s="62"/>
      <c r="AQ745" s="62"/>
    </row>
    <row r="746">
      <c r="A746" s="62"/>
      <c r="B746" s="63"/>
      <c r="C746" s="62"/>
      <c r="D746" s="62"/>
      <c r="E746" s="62"/>
      <c r="F746" s="62"/>
      <c r="G746" s="62"/>
      <c r="H746" s="62"/>
      <c r="I746" s="62"/>
      <c r="J746" s="62"/>
      <c r="K746" s="62"/>
      <c r="L746" s="62"/>
      <c r="M746" s="62"/>
      <c r="N746" s="62"/>
      <c r="O746" s="62"/>
      <c r="P746" s="62"/>
      <c r="Q746" s="62"/>
      <c r="R746" s="62"/>
      <c r="S746" s="62"/>
      <c r="T746" s="10">
        <f t="shared" si="1"/>
        <v>0</v>
      </c>
      <c r="U746" s="62"/>
      <c r="V746" s="62"/>
      <c r="W746" s="62"/>
      <c r="X746" s="62"/>
      <c r="Y746" s="62"/>
      <c r="Z746" s="62"/>
      <c r="AA746" s="62"/>
      <c r="AB746" s="62"/>
      <c r="AC746" s="62"/>
      <c r="AD746" s="62"/>
      <c r="AE746" s="62"/>
      <c r="AF746" s="62"/>
      <c r="AG746" s="62"/>
      <c r="AH746" s="62"/>
      <c r="AI746" s="62"/>
      <c r="AJ746" s="62"/>
      <c r="AK746" s="62"/>
      <c r="AL746" s="62"/>
      <c r="AM746" s="62"/>
      <c r="AN746" s="62"/>
      <c r="AO746" s="62"/>
      <c r="AP746" s="62"/>
      <c r="AQ746" s="62"/>
    </row>
    <row r="747">
      <c r="A747" s="62"/>
      <c r="B747" s="63"/>
      <c r="C747" s="62"/>
      <c r="D747" s="62"/>
      <c r="E747" s="62"/>
      <c r="F747" s="62"/>
      <c r="G747" s="62"/>
      <c r="H747" s="62"/>
      <c r="I747" s="62"/>
      <c r="J747" s="62"/>
      <c r="K747" s="62"/>
      <c r="L747" s="62"/>
      <c r="M747" s="62"/>
      <c r="N747" s="62"/>
      <c r="O747" s="62"/>
      <c r="P747" s="62"/>
      <c r="Q747" s="62"/>
      <c r="R747" s="62"/>
      <c r="S747" s="62"/>
      <c r="T747" s="10">
        <f t="shared" si="1"/>
        <v>0</v>
      </c>
      <c r="U747" s="62"/>
      <c r="V747" s="62"/>
      <c r="W747" s="62"/>
      <c r="X747" s="62"/>
      <c r="Y747" s="62"/>
      <c r="Z747" s="62"/>
      <c r="AA747" s="62"/>
      <c r="AB747" s="62"/>
      <c r="AC747" s="62"/>
      <c r="AD747" s="62"/>
      <c r="AE747" s="62"/>
      <c r="AF747" s="62"/>
      <c r="AG747" s="62"/>
      <c r="AH747" s="62"/>
      <c r="AI747" s="62"/>
      <c r="AJ747" s="62"/>
      <c r="AK747" s="62"/>
      <c r="AL747" s="62"/>
      <c r="AM747" s="62"/>
      <c r="AN747" s="62"/>
      <c r="AO747" s="62"/>
      <c r="AP747" s="62"/>
      <c r="AQ747" s="62"/>
    </row>
    <row r="748">
      <c r="A748" s="62"/>
      <c r="B748" s="63"/>
      <c r="C748" s="62"/>
      <c r="D748" s="62"/>
      <c r="E748" s="62"/>
      <c r="F748" s="62"/>
      <c r="G748" s="62"/>
      <c r="H748" s="62"/>
      <c r="I748" s="62"/>
      <c r="J748" s="62"/>
      <c r="K748" s="62"/>
      <c r="L748" s="62"/>
      <c r="M748" s="62"/>
      <c r="N748" s="62"/>
      <c r="O748" s="62"/>
      <c r="P748" s="62"/>
      <c r="Q748" s="62"/>
      <c r="R748" s="62"/>
      <c r="S748" s="62"/>
      <c r="T748" s="10">
        <f t="shared" si="1"/>
        <v>0</v>
      </c>
      <c r="U748" s="62"/>
      <c r="V748" s="62"/>
      <c r="W748" s="62"/>
      <c r="X748" s="62"/>
      <c r="Y748" s="62"/>
      <c r="Z748" s="62"/>
      <c r="AA748" s="62"/>
      <c r="AB748" s="62"/>
      <c r="AC748" s="62"/>
      <c r="AD748" s="62"/>
      <c r="AE748" s="62"/>
      <c r="AF748" s="62"/>
      <c r="AG748" s="62"/>
      <c r="AH748" s="62"/>
      <c r="AI748" s="62"/>
      <c r="AJ748" s="62"/>
      <c r="AK748" s="62"/>
      <c r="AL748" s="62"/>
      <c r="AM748" s="62"/>
      <c r="AN748" s="62"/>
      <c r="AO748" s="62"/>
      <c r="AP748" s="62"/>
      <c r="AQ748" s="62"/>
    </row>
    <row r="749">
      <c r="A749" s="62"/>
      <c r="B749" s="63"/>
      <c r="C749" s="62"/>
      <c r="D749" s="62"/>
      <c r="E749" s="62"/>
      <c r="F749" s="62"/>
      <c r="G749" s="62"/>
      <c r="H749" s="62"/>
      <c r="I749" s="62"/>
      <c r="J749" s="62"/>
      <c r="K749" s="62"/>
      <c r="L749" s="62"/>
      <c r="M749" s="62"/>
      <c r="N749" s="62"/>
      <c r="O749" s="62"/>
      <c r="P749" s="62"/>
      <c r="Q749" s="62"/>
      <c r="R749" s="62"/>
      <c r="S749" s="62"/>
      <c r="T749" s="10">
        <f t="shared" si="1"/>
        <v>0</v>
      </c>
      <c r="U749" s="62"/>
      <c r="V749" s="62"/>
      <c r="W749" s="62"/>
      <c r="X749" s="62"/>
      <c r="Y749" s="62"/>
      <c r="Z749" s="62"/>
      <c r="AA749" s="62"/>
      <c r="AB749" s="62"/>
      <c r="AC749" s="62"/>
      <c r="AD749" s="62"/>
      <c r="AE749" s="62"/>
      <c r="AF749" s="62"/>
      <c r="AG749" s="62"/>
      <c r="AH749" s="62"/>
      <c r="AI749" s="62"/>
      <c r="AJ749" s="62"/>
      <c r="AK749" s="62"/>
      <c r="AL749" s="62"/>
      <c r="AM749" s="62"/>
      <c r="AN749" s="62"/>
      <c r="AO749" s="62"/>
      <c r="AP749" s="62"/>
      <c r="AQ749" s="62"/>
    </row>
    <row r="750">
      <c r="A750" s="62"/>
      <c r="B750" s="63"/>
      <c r="C750" s="62"/>
      <c r="D750" s="62"/>
      <c r="E750" s="62"/>
      <c r="F750" s="62"/>
      <c r="G750" s="62"/>
      <c r="H750" s="62"/>
      <c r="I750" s="62"/>
      <c r="J750" s="62"/>
      <c r="K750" s="62"/>
      <c r="L750" s="62"/>
      <c r="M750" s="62"/>
      <c r="N750" s="62"/>
      <c r="O750" s="62"/>
      <c r="P750" s="62"/>
      <c r="Q750" s="62"/>
      <c r="R750" s="62"/>
      <c r="S750" s="62"/>
      <c r="T750" s="10">
        <f t="shared" si="1"/>
        <v>0</v>
      </c>
      <c r="U750" s="62"/>
      <c r="V750" s="62"/>
      <c r="W750" s="62"/>
      <c r="X750" s="62"/>
      <c r="Y750" s="62"/>
      <c r="Z750" s="62"/>
      <c r="AA750" s="62"/>
      <c r="AB750" s="62"/>
      <c r="AC750" s="62"/>
      <c r="AD750" s="62"/>
      <c r="AE750" s="62"/>
      <c r="AF750" s="62"/>
      <c r="AG750" s="62"/>
      <c r="AH750" s="62"/>
      <c r="AI750" s="62"/>
      <c r="AJ750" s="62"/>
      <c r="AK750" s="62"/>
      <c r="AL750" s="62"/>
      <c r="AM750" s="62"/>
      <c r="AN750" s="62"/>
      <c r="AO750" s="62"/>
      <c r="AP750" s="62"/>
      <c r="AQ750" s="62"/>
    </row>
    <row r="751">
      <c r="A751" s="62"/>
      <c r="B751" s="63"/>
      <c r="C751" s="62"/>
      <c r="D751" s="62"/>
      <c r="E751" s="62"/>
      <c r="F751" s="62"/>
      <c r="G751" s="62"/>
      <c r="H751" s="62"/>
      <c r="I751" s="62"/>
      <c r="J751" s="62"/>
      <c r="K751" s="62"/>
      <c r="L751" s="62"/>
      <c r="M751" s="62"/>
      <c r="N751" s="62"/>
      <c r="O751" s="62"/>
      <c r="P751" s="62"/>
      <c r="Q751" s="62"/>
      <c r="R751" s="62"/>
      <c r="S751" s="62"/>
      <c r="T751" s="10">
        <f t="shared" si="1"/>
        <v>0</v>
      </c>
      <c r="U751" s="62"/>
      <c r="V751" s="62"/>
      <c r="W751" s="62"/>
      <c r="X751" s="62"/>
      <c r="Y751" s="62"/>
      <c r="Z751" s="62"/>
      <c r="AA751" s="62"/>
      <c r="AB751" s="62"/>
      <c r="AC751" s="62"/>
      <c r="AD751" s="62"/>
      <c r="AE751" s="62"/>
      <c r="AF751" s="62"/>
      <c r="AG751" s="62"/>
      <c r="AH751" s="62"/>
      <c r="AI751" s="62"/>
      <c r="AJ751" s="62"/>
      <c r="AK751" s="62"/>
      <c r="AL751" s="62"/>
      <c r="AM751" s="62"/>
      <c r="AN751" s="62"/>
      <c r="AO751" s="62"/>
      <c r="AP751" s="62"/>
      <c r="AQ751" s="62"/>
    </row>
    <row r="752">
      <c r="A752" s="62"/>
      <c r="B752" s="63"/>
      <c r="C752" s="62"/>
      <c r="D752" s="62"/>
      <c r="E752" s="62"/>
      <c r="F752" s="62"/>
      <c r="G752" s="62"/>
      <c r="H752" s="62"/>
      <c r="I752" s="62"/>
      <c r="J752" s="62"/>
      <c r="K752" s="62"/>
      <c r="L752" s="62"/>
      <c r="M752" s="62"/>
      <c r="N752" s="62"/>
      <c r="O752" s="62"/>
      <c r="P752" s="62"/>
      <c r="Q752" s="62"/>
      <c r="R752" s="62"/>
      <c r="S752" s="62"/>
      <c r="T752" s="10">
        <f t="shared" si="1"/>
        <v>0</v>
      </c>
      <c r="U752" s="62"/>
      <c r="V752" s="62"/>
      <c r="W752" s="62"/>
      <c r="X752" s="62"/>
      <c r="Y752" s="62"/>
      <c r="Z752" s="62"/>
      <c r="AA752" s="62"/>
      <c r="AB752" s="62"/>
      <c r="AC752" s="62"/>
      <c r="AD752" s="62"/>
      <c r="AE752" s="62"/>
      <c r="AF752" s="62"/>
      <c r="AG752" s="62"/>
      <c r="AH752" s="62"/>
      <c r="AI752" s="62"/>
      <c r="AJ752" s="62"/>
      <c r="AK752" s="62"/>
      <c r="AL752" s="62"/>
      <c r="AM752" s="62"/>
      <c r="AN752" s="62"/>
      <c r="AO752" s="62"/>
      <c r="AP752" s="62"/>
      <c r="AQ752" s="62"/>
    </row>
    <row r="753">
      <c r="A753" s="62"/>
      <c r="B753" s="63"/>
      <c r="C753" s="62"/>
      <c r="D753" s="62"/>
      <c r="E753" s="62"/>
      <c r="F753" s="62"/>
      <c r="G753" s="62"/>
      <c r="H753" s="62"/>
      <c r="I753" s="62"/>
      <c r="J753" s="62"/>
      <c r="K753" s="62"/>
      <c r="L753" s="62"/>
      <c r="M753" s="62"/>
      <c r="N753" s="62"/>
      <c r="O753" s="62"/>
      <c r="P753" s="62"/>
      <c r="Q753" s="62"/>
      <c r="R753" s="62"/>
      <c r="S753" s="62"/>
      <c r="T753" s="10">
        <f t="shared" si="1"/>
        <v>0</v>
      </c>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row>
    <row r="754">
      <c r="A754" s="62"/>
      <c r="B754" s="63"/>
      <c r="C754" s="62"/>
      <c r="D754" s="62"/>
      <c r="E754" s="62"/>
      <c r="F754" s="62"/>
      <c r="G754" s="62"/>
      <c r="H754" s="62"/>
      <c r="I754" s="62"/>
      <c r="J754" s="62"/>
      <c r="K754" s="62"/>
      <c r="L754" s="62"/>
      <c r="M754" s="62"/>
      <c r="N754" s="62"/>
      <c r="O754" s="62"/>
      <c r="P754" s="62"/>
      <c r="Q754" s="62"/>
      <c r="R754" s="62"/>
      <c r="S754" s="62"/>
      <c r="T754" s="10">
        <f t="shared" si="1"/>
        <v>0</v>
      </c>
      <c r="U754" s="62"/>
      <c r="V754" s="62"/>
      <c r="W754" s="62"/>
      <c r="X754" s="62"/>
      <c r="Y754" s="62"/>
      <c r="Z754" s="62"/>
      <c r="AA754" s="62"/>
      <c r="AB754" s="62"/>
      <c r="AC754" s="62"/>
      <c r="AD754" s="62"/>
      <c r="AE754" s="62"/>
      <c r="AF754" s="62"/>
      <c r="AG754" s="62"/>
      <c r="AH754" s="62"/>
      <c r="AI754" s="62"/>
      <c r="AJ754" s="62"/>
      <c r="AK754" s="62"/>
      <c r="AL754" s="62"/>
      <c r="AM754" s="62"/>
      <c r="AN754" s="62"/>
      <c r="AO754" s="62"/>
      <c r="AP754" s="62"/>
      <c r="AQ754" s="62"/>
    </row>
    <row r="755">
      <c r="A755" s="62"/>
      <c r="B755" s="63"/>
      <c r="C755" s="62"/>
      <c r="D755" s="62"/>
      <c r="E755" s="62"/>
      <c r="F755" s="62"/>
      <c r="G755" s="62"/>
      <c r="H755" s="62"/>
      <c r="I755" s="62"/>
      <c r="J755" s="62"/>
      <c r="K755" s="62"/>
      <c r="L755" s="62"/>
      <c r="M755" s="62"/>
      <c r="N755" s="62"/>
      <c r="O755" s="62"/>
      <c r="P755" s="62"/>
      <c r="Q755" s="62"/>
      <c r="R755" s="62"/>
      <c r="S755" s="62"/>
      <c r="T755" s="10">
        <f t="shared" si="1"/>
        <v>0</v>
      </c>
      <c r="U755" s="62"/>
      <c r="V755" s="62"/>
      <c r="W755" s="62"/>
      <c r="X755" s="62"/>
      <c r="Y755" s="62"/>
      <c r="Z755" s="62"/>
      <c r="AA755" s="62"/>
      <c r="AB755" s="62"/>
      <c r="AC755" s="62"/>
      <c r="AD755" s="62"/>
      <c r="AE755" s="62"/>
      <c r="AF755" s="62"/>
      <c r="AG755" s="62"/>
      <c r="AH755" s="62"/>
      <c r="AI755" s="62"/>
      <c r="AJ755" s="62"/>
      <c r="AK755" s="62"/>
      <c r="AL755" s="62"/>
      <c r="AM755" s="62"/>
      <c r="AN755" s="62"/>
      <c r="AO755" s="62"/>
      <c r="AP755" s="62"/>
      <c r="AQ755" s="62"/>
    </row>
    <row r="756">
      <c r="A756" s="62"/>
      <c r="B756" s="63"/>
      <c r="C756" s="62"/>
      <c r="D756" s="62"/>
      <c r="E756" s="62"/>
      <c r="F756" s="62"/>
      <c r="G756" s="62"/>
      <c r="H756" s="62"/>
      <c r="I756" s="62"/>
      <c r="J756" s="62"/>
      <c r="K756" s="62"/>
      <c r="L756" s="62"/>
      <c r="M756" s="62"/>
      <c r="N756" s="62"/>
      <c r="O756" s="62"/>
      <c r="P756" s="62"/>
      <c r="Q756" s="62"/>
      <c r="R756" s="62"/>
      <c r="S756" s="62"/>
      <c r="T756" s="10">
        <f t="shared" si="1"/>
        <v>0</v>
      </c>
      <c r="U756" s="62"/>
      <c r="V756" s="62"/>
      <c r="W756" s="62"/>
      <c r="X756" s="62"/>
      <c r="Y756" s="62"/>
      <c r="Z756" s="62"/>
      <c r="AA756" s="62"/>
      <c r="AB756" s="62"/>
      <c r="AC756" s="62"/>
      <c r="AD756" s="62"/>
      <c r="AE756" s="62"/>
      <c r="AF756" s="62"/>
      <c r="AG756" s="62"/>
      <c r="AH756" s="62"/>
      <c r="AI756" s="62"/>
      <c r="AJ756" s="62"/>
      <c r="AK756" s="62"/>
      <c r="AL756" s="62"/>
      <c r="AM756" s="62"/>
      <c r="AN756" s="62"/>
      <c r="AO756" s="62"/>
      <c r="AP756" s="62"/>
      <c r="AQ756" s="62"/>
    </row>
    <row r="757">
      <c r="A757" s="62"/>
      <c r="B757" s="63"/>
      <c r="C757" s="62"/>
      <c r="D757" s="62"/>
      <c r="E757" s="62"/>
      <c r="F757" s="62"/>
      <c r="G757" s="62"/>
      <c r="H757" s="62"/>
      <c r="I757" s="62"/>
      <c r="J757" s="62"/>
      <c r="K757" s="62"/>
      <c r="L757" s="62"/>
      <c r="M757" s="62"/>
      <c r="N757" s="62"/>
      <c r="O757" s="62"/>
      <c r="P757" s="62"/>
      <c r="Q757" s="62"/>
      <c r="R757" s="62"/>
      <c r="S757" s="62"/>
      <c r="T757" s="10">
        <f t="shared" si="1"/>
        <v>0</v>
      </c>
      <c r="U757" s="62"/>
      <c r="V757" s="62"/>
      <c r="W757" s="62"/>
      <c r="X757" s="62"/>
      <c r="Y757" s="62"/>
      <c r="Z757" s="62"/>
      <c r="AA757" s="62"/>
      <c r="AB757" s="62"/>
      <c r="AC757" s="62"/>
      <c r="AD757" s="62"/>
      <c r="AE757" s="62"/>
      <c r="AF757" s="62"/>
      <c r="AG757" s="62"/>
      <c r="AH757" s="62"/>
      <c r="AI757" s="62"/>
      <c r="AJ757" s="62"/>
      <c r="AK757" s="62"/>
      <c r="AL757" s="62"/>
      <c r="AM757" s="62"/>
      <c r="AN757" s="62"/>
      <c r="AO757" s="62"/>
      <c r="AP757" s="62"/>
      <c r="AQ757" s="62"/>
    </row>
    <row r="758">
      <c r="A758" s="62"/>
      <c r="B758" s="63"/>
      <c r="C758" s="62"/>
      <c r="D758" s="62"/>
      <c r="E758" s="62"/>
      <c r="F758" s="62"/>
      <c r="G758" s="62"/>
      <c r="H758" s="62"/>
      <c r="I758" s="62"/>
      <c r="J758" s="62"/>
      <c r="K758" s="62"/>
      <c r="L758" s="62"/>
      <c r="M758" s="62"/>
      <c r="N758" s="62"/>
      <c r="O758" s="62"/>
      <c r="P758" s="62"/>
      <c r="Q758" s="62"/>
      <c r="R758" s="62"/>
      <c r="S758" s="62"/>
      <c r="T758" s="10">
        <f t="shared" si="1"/>
        <v>0</v>
      </c>
      <c r="U758" s="62"/>
      <c r="V758" s="62"/>
      <c r="W758" s="62"/>
      <c r="X758" s="62"/>
      <c r="Y758" s="62"/>
      <c r="Z758" s="62"/>
      <c r="AA758" s="62"/>
      <c r="AB758" s="62"/>
      <c r="AC758" s="62"/>
      <c r="AD758" s="62"/>
      <c r="AE758" s="62"/>
      <c r="AF758" s="62"/>
      <c r="AG758" s="62"/>
      <c r="AH758" s="62"/>
      <c r="AI758" s="62"/>
      <c r="AJ758" s="62"/>
      <c r="AK758" s="62"/>
      <c r="AL758" s="62"/>
      <c r="AM758" s="62"/>
      <c r="AN758" s="62"/>
      <c r="AO758" s="62"/>
      <c r="AP758" s="62"/>
      <c r="AQ758" s="62"/>
    </row>
    <row r="759">
      <c r="A759" s="62"/>
      <c r="B759" s="63"/>
      <c r="C759" s="62"/>
      <c r="D759" s="62"/>
      <c r="E759" s="62"/>
      <c r="F759" s="62"/>
      <c r="G759" s="62"/>
      <c r="H759" s="62"/>
      <c r="I759" s="62"/>
      <c r="J759" s="62"/>
      <c r="K759" s="62"/>
      <c r="L759" s="62"/>
      <c r="M759" s="62"/>
      <c r="N759" s="62"/>
      <c r="O759" s="62"/>
      <c r="P759" s="62"/>
      <c r="Q759" s="62"/>
      <c r="R759" s="62"/>
      <c r="S759" s="62"/>
      <c r="T759" s="10">
        <f t="shared" si="1"/>
        <v>0</v>
      </c>
      <c r="U759" s="62"/>
      <c r="V759" s="62"/>
      <c r="W759" s="62"/>
      <c r="X759" s="62"/>
      <c r="Y759" s="62"/>
      <c r="Z759" s="62"/>
      <c r="AA759" s="62"/>
      <c r="AB759" s="62"/>
      <c r="AC759" s="62"/>
      <c r="AD759" s="62"/>
      <c r="AE759" s="62"/>
      <c r="AF759" s="62"/>
      <c r="AG759" s="62"/>
      <c r="AH759" s="62"/>
      <c r="AI759" s="62"/>
      <c r="AJ759" s="62"/>
      <c r="AK759" s="62"/>
      <c r="AL759" s="62"/>
      <c r="AM759" s="62"/>
      <c r="AN759" s="62"/>
      <c r="AO759" s="62"/>
      <c r="AP759" s="62"/>
      <c r="AQ759" s="62"/>
    </row>
    <row r="760">
      <c r="A760" s="62"/>
      <c r="B760" s="63"/>
      <c r="C760" s="62"/>
      <c r="D760" s="62"/>
      <c r="E760" s="62"/>
      <c r="F760" s="62"/>
      <c r="G760" s="62"/>
      <c r="H760" s="62"/>
      <c r="I760" s="62"/>
      <c r="J760" s="62"/>
      <c r="K760" s="62"/>
      <c r="L760" s="62"/>
      <c r="M760" s="62"/>
      <c r="N760" s="62"/>
      <c r="O760" s="62"/>
      <c r="P760" s="62"/>
      <c r="Q760" s="62"/>
      <c r="R760" s="62"/>
      <c r="S760" s="62"/>
      <c r="T760" s="10">
        <f t="shared" si="1"/>
        <v>0</v>
      </c>
      <c r="U760" s="62"/>
      <c r="V760" s="62"/>
      <c r="W760" s="62"/>
      <c r="X760" s="62"/>
      <c r="Y760" s="62"/>
      <c r="Z760" s="62"/>
      <c r="AA760" s="62"/>
      <c r="AB760" s="62"/>
      <c r="AC760" s="62"/>
      <c r="AD760" s="62"/>
      <c r="AE760" s="62"/>
      <c r="AF760" s="62"/>
      <c r="AG760" s="62"/>
      <c r="AH760" s="62"/>
      <c r="AI760" s="62"/>
      <c r="AJ760" s="62"/>
      <c r="AK760" s="62"/>
      <c r="AL760" s="62"/>
      <c r="AM760" s="62"/>
      <c r="AN760" s="62"/>
      <c r="AO760" s="62"/>
      <c r="AP760" s="62"/>
      <c r="AQ760" s="62"/>
    </row>
    <row r="761">
      <c r="A761" s="62"/>
      <c r="B761" s="63"/>
      <c r="C761" s="62"/>
      <c r="D761" s="62"/>
      <c r="E761" s="62"/>
      <c r="F761" s="62"/>
      <c r="G761" s="62"/>
      <c r="H761" s="62"/>
      <c r="I761" s="62"/>
      <c r="J761" s="62"/>
      <c r="K761" s="62"/>
      <c r="L761" s="62"/>
      <c r="M761" s="62"/>
      <c r="N761" s="62"/>
      <c r="O761" s="62"/>
      <c r="P761" s="62"/>
      <c r="Q761" s="62"/>
      <c r="R761" s="62"/>
      <c r="S761" s="62"/>
      <c r="T761" s="10">
        <f t="shared" si="1"/>
        <v>0</v>
      </c>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row>
    <row r="762">
      <c r="A762" s="62"/>
      <c r="B762" s="63"/>
      <c r="C762" s="62"/>
      <c r="D762" s="62"/>
      <c r="E762" s="62"/>
      <c r="F762" s="62"/>
      <c r="G762" s="62"/>
      <c r="H762" s="62"/>
      <c r="I762" s="62"/>
      <c r="J762" s="62"/>
      <c r="K762" s="62"/>
      <c r="L762" s="62"/>
      <c r="M762" s="62"/>
      <c r="N762" s="62"/>
      <c r="O762" s="62"/>
      <c r="P762" s="62"/>
      <c r="Q762" s="62"/>
      <c r="R762" s="62"/>
      <c r="S762" s="62"/>
      <c r="T762" s="10">
        <f t="shared" si="1"/>
        <v>0</v>
      </c>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row>
    <row r="763">
      <c r="A763" s="62"/>
      <c r="B763" s="63"/>
      <c r="C763" s="62"/>
      <c r="D763" s="62"/>
      <c r="E763" s="62"/>
      <c r="F763" s="62"/>
      <c r="G763" s="62"/>
      <c r="H763" s="62"/>
      <c r="I763" s="62"/>
      <c r="J763" s="62"/>
      <c r="K763" s="62"/>
      <c r="L763" s="62"/>
      <c r="M763" s="62"/>
      <c r="N763" s="62"/>
      <c r="O763" s="62"/>
      <c r="P763" s="62"/>
      <c r="Q763" s="62"/>
      <c r="R763" s="62"/>
      <c r="S763" s="62"/>
      <c r="T763" s="10">
        <f t="shared" si="1"/>
        <v>0</v>
      </c>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row>
    <row r="764">
      <c r="A764" s="62"/>
      <c r="B764" s="63"/>
      <c r="C764" s="62"/>
      <c r="D764" s="62"/>
      <c r="E764" s="62"/>
      <c r="F764" s="62"/>
      <c r="G764" s="62"/>
      <c r="H764" s="62"/>
      <c r="I764" s="62"/>
      <c r="J764" s="62"/>
      <c r="K764" s="62"/>
      <c r="L764" s="62"/>
      <c r="M764" s="62"/>
      <c r="N764" s="62"/>
      <c r="O764" s="62"/>
      <c r="P764" s="62"/>
      <c r="Q764" s="62"/>
      <c r="R764" s="62"/>
      <c r="S764" s="62"/>
      <c r="T764" s="10">
        <f t="shared" si="1"/>
        <v>0</v>
      </c>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row>
    <row r="765">
      <c r="A765" s="62"/>
      <c r="B765" s="63"/>
      <c r="C765" s="62"/>
      <c r="D765" s="62"/>
      <c r="E765" s="62"/>
      <c r="F765" s="62"/>
      <c r="G765" s="62"/>
      <c r="H765" s="62"/>
      <c r="I765" s="62"/>
      <c r="J765" s="62"/>
      <c r="K765" s="62"/>
      <c r="L765" s="62"/>
      <c r="M765" s="62"/>
      <c r="N765" s="62"/>
      <c r="O765" s="62"/>
      <c r="P765" s="62"/>
      <c r="Q765" s="62"/>
      <c r="R765" s="62"/>
      <c r="S765" s="62"/>
      <c r="T765" s="10">
        <f t="shared" si="1"/>
        <v>0</v>
      </c>
      <c r="U765" s="62"/>
      <c r="V765" s="62"/>
      <c r="W765" s="62"/>
      <c r="X765" s="62"/>
      <c r="Y765" s="62"/>
      <c r="Z765" s="62"/>
      <c r="AA765" s="62"/>
      <c r="AB765" s="62"/>
      <c r="AC765" s="62"/>
      <c r="AD765" s="62"/>
      <c r="AE765" s="62"/>
      <c r="AF765" s="62"/>
      <c r="AG765" s="62"/>
      <c r="AH765" s="62"/>
      <c r="AI765" s="62"/>
      <c r="AJ765" s="62"/>
      <c r="AK765" s="62"/>
      <c r="AL765" s="62"/>
      <c r="AM765" s="62"/>
      <c r="AN765" s="62"/>
      <c r="AO765" s="62"/>
      <c r="AP765" s="62"/>
      <c r="AQ765" s="62"/>
    </row>
    <row r="766">
      <c r="A766" s="62"/>
      <c r="B766" s="63"/>
      <c r="C766" s="62"/>
      <c r="D766" s="62"/>
      <c r="E766" s="62"/>
      <c r="F766" s="62"/>
      <c r="G766" s="62"/>
      <c r="H766" s="62"/>
      <c r="I766" s="62"/>
      <c r="J766" s="62"/>
      <c r="K766" s="62"/>
      <c r="L766" s="62"/>
      <c r="M766" s="62"/>
      <c r="N766" s="62"/>
      <c r="O766" s="62"/>
      <c r="P766" s="62"/>
      <c r="Q766" s="62"/>
      <c r="R766" s="62"/>
      <c r="S766" s="62"/>
      <c r="T766" s="10">
        <f t="shared" si="1"/>
        <v>0</v>
      </c>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row>
    <row r="767">
      <c r="A767" s="62"/>
      <c r="B767" s="63"/>
      <c r="C767" s="62"/>
      <c r="D767" s="62"/>
      <c r="E767" s="62"/>
      <c r="F767" s="62"/>
      <c r="G767" s="62"/>
      <c r="H767" s="62"/>
      <c r="I767" s="62"/>
      <c r="J767" s="62"/>
      <c r="K767" s="62"/>
      <c r="L767" s="62"/>
      <c r="M767" s="62"/>
      <c r="N767" s="62"/>
      <c r="O767" s="62"/>
      <c r="P767" s="62"/>
      <c r="Q767" s="62"/>
      <c r="R767" s="62"/>
      <c r="S767" s="62"/>
      <c r="T767" s="10">
        <f t="shared" si="1"/>
        <v>0</v>
      </c>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row>
    <row r="768">
      <c r="A768" s="62"/>
      <c r="B768" s="63"/>
      <c r="C768" s="62"/>
      <c r="D768" s="62"/>
      <c r="E768" s="62"/>
      <c r="F768" s="62"/>
      <c r="G768" s="62"/>
      <c r="H768" s="62"/>
      <c r="I768" s="62"/>
      <c r="J768" s="62"/>
      <c r="K768" s="62"/>
      <c r="L768" s="62"/>
      <c r="M768" s="62"/>
      <c r="N768" s="62"/>
      <c r="O768" s="62"/>
      <c r="P768" s="62"/>
      <c r="Q768" s="62"/>
      <c r="R768" s="62"/>
      <c r="S768" s="62"/>
      <c r="T768" s="10">
        <f t="shared" si="1"/>
        <v>0</v>
      </c>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row>
    <row r="769">
      <c r="A769" s="62"/>
      <c r="B769" s="63"/>
      <c r="C769" s="62"/>
      <c r="D769" s="62"/>
      <c r="E769" s="62"/>
      <c r="F769" s="62"/>
      <c r="G769" s="62"/>
      <c r="H769" s="62"/>
      <c r="I769" s="62"/>
      <c r="J769" s="62"/>
      <c r="K769" s="62"/>
      <c r="L769" s="62"/>
      <c r="M769" s="62"/>
      <c r="N769" s="62"/>
      <c r="O769" s="62"/>
      <c r="P769" s="62"/>
      <c r="Q769" s="62"/>
      <c r="R769" s="62"/>
      <c r="S769" s="62"/>
      <c r="T769" s="10">
        <f t="shared" si="1"/>
        <v>0</v>
      </c>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row>
    <row r="770">
      <c r="A770" s="62"/>
      <c r="B770" s="63"/>
      <c r="C770" s="62"/>
      <c r="D770" s="62"/>
      <c r="E770" s="62"/>
      <c r="F770" s="62"/>
      <c r="G770" s="62"/>
      <c r="H770" s="62"/>
      <c r="I770" s="62"/>
      <c r="J770" s="62"/>
      <c r="K770" s="62"/>
      <c r="L770" s="62"/>
      <c r="M770" s="62"/>
      <c r="N770" s="62"/>
      <c r="O770" s="62"/>
      <c r="P770" s="62"/>
      <c r="Q770" s="62"/>
      <c r="R770" s="62"/>
      <c r="S770" s="62"/>
      <c r="T770" s="10">
        <f t="shared" si="1"/>
        <v>0</v>
      </c>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row>
    <row r="771">
      <c r="A771" s="62"/>
      <c r="B771" s="63"/>
      <c r="C771" s="62"/>
      <c r="D771" s="62"/>
      <c r="E771" s="62"/>
      <c r="F771" s="62"/>
      <c r="G771" s="62"/>
      <c r="H771" s="62"/>
      <c r="I771" s="62"/>
      <c r="J771" s="62"/>
      <c r="K771" s="62"/>
      <c r="L771" s="62"/>
      <c r="M771" s="62"/>
      <c r="N771" s="62"/>
      <c r="O771" s="62"/>
      <c r="P771" s="62"/>
      <c r="Q771" s="62"/>
      <c r="R771" s="62"/>
      <c r="S771" s="62"/>
      <c r="T771" s="10">
        <f t="shared" si="1"/>
        <v>0</v>
      </c>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row>
    <row r="772">
      <c r="A772" s="62"/>
      <c r="B772" s="63"/>
      <c r="C772" s="62"/>
      <c r="D772" s="62"/>
      <c r="E772" s="62"/>
      <c r="F772" s="62"/>
      <c r="G772" s="62"/>
      <c r="H772" s="62"/>
      <c r="I772" s="62"/>
      <c r="J772" s="62"/>
      <c r="K772" s="62"/>
      <c r="L772" s="62"/>
      <c r="M772" s="62"/>
      <c r="N772" s="62"/>
      <c r="O772" s="62"/>
      <c r="P772" s="62"/>
      <c r="Q772" s="62"/>
      <c r="R772" s="62"/>
      <c r="S772" s="62"/>
      <c r="T772" s="10">
        <f t="shared" si="1"/>
        <v>0</v>
      </c>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row>
    <row r="773">
      <c r="A773" s="62"/>
      <c r="B773" s="63"/>
      <c r="C773" s="62"/>
      <c r="D773" s="62"/>
      <c r="E773" s="62"/>
      <c r="F773" s="62"/>
      <c r="G773" s="62"/>
      <c r="H773" s="62"/>
      <c r="I773" s="62"/>
      <c r="J773" s="62"/>
      <c r="K773" s="62"/>
      <c r="L773" s="62"/>
      <c r="M773" s="62"/>
      <c r="N773" s="62"/>
      <c r="O773" s="62"/>
      <c r="P773" s="62"/>
      <c r="Q773" s="62"/>
      <c r="R773" s="62"/>
      <c r="S773" s="62"/>
      <c r="T773" s="10">
        <f t="shared" si="1"/>
        <v>0</v>
      </c>
      <c r="U773" s="62"/>
      <c r="V773" s="62"/>
      <c r="W773" s="62"/>
      <c r="X773" s="62"/>
      <c r="Y773" s="62"/>
      <c r="Z773" s="62"/>
      <c r="AA773" s="62"/>
      <c r="AB773" s="62"/>
      <c r="AC773" s="62"/>
      <c r="AD773" s="62"/>
      <c r="AE773" s="62"/>
      <c r="AF773" s="62"/>
      <c r="AG773" s="62"/>
      <c r="AH773" s="62"/>
      <c r="AI773" s="62"/>
      <c r="AJ773" s="62"/>
      <c r="AK773" s="62"/>
      <c r="AL773" s="62"/>
      <c r="AM773" s="62"/>
      <c r="AN773" s="62"/>
      <c r="AO773" s="62"/>
      <c r="AP773" s="62"/>
      <c r="AQ773" s="62"/>
    </row>
    <row r="774">
      <c r="A774" s="62"/>
      <c r="B774" s="63"/>
      <c r="C774" s="62"/>
      <c r="D774" s="62"/>
      <c r="E774" s="62"/>
      <c r="F774" s="62"/>
      <c r="G774" s="62"/>
      <c r="H774" s="62"/>
      <c r="I774" s="62"/>
      <c r="J774" s="62"/>
      <c r="K774" s="62"/>
      <c r="L774" s="62"/>
      <c r="M774" s="62"/>
      <c r="N774" s="62"/>
      <c r="O774" s="62"/>
      <c r="P774" s="62"/>
      <c r="Q774" s="62"/>
      <c r="R774" s="62"/>
      <c r="S774" s="62"/>
      <c r="T774" s="10">
        <f t="shared" si="1"/>
        <v>0</v>
      </c>
      <c r="U774" s="62"/>
      <c r="V774" s="62"/>
      <c r="W774" s="62"/>
      <c r="X774" s="62"/>
      <c r="Y774" s="62"/>
      <c r="Z774" s="62"/>
      <c r="AA774" s="62"/>
      <c r="AB774" s="62"/>
      <c r="AC774" s="62"/>
      <c r="AD774" s="62"/>
      <c r="AE774" s="62"/>
      <c r="AF774" s="62"/>
      <c r="AG774" s="62"/>
      <c r="AH774" s="62"/>
      <c r="AI774" s="62"/>
      <c r="AJ774" s="62"/>
      <c r="AK774" s="62"/>
      <c r="AL774" s="62"/>
      <c r="AM774" s="62"/>
      <c r="AN774" s="62"/>
      <c r="AO774" s="62"/>
      <c r="AP774" s="62"/>
      <c r="AQ774" s="62"/>
    </row>
    <row r="775">
      <c r="A775" s="62"/>
      <c r="B775" s="63"/>
      <c r="C775" s="62"/>
      <c r="D775" s="62"/>
      <c r="E775" s="62"/>
      <c r="F775" s="62"/>
      <c r="G775" s="62"/>
      <c r="H775" s="62"/>
      <c r="I775" s="62"/>
      <c r="J775" s="62"/>
      <c r="K775" s="62"/>
      <c r="L775" s="62"/>
      <c r="M775" s="62"/>
      <c r="N775" s="62"/>
      <c r="O775" s="62"/>
      <c r="P775" s="62"/>
      <c r="Q775" s="62"/>
      <c r="R775" s="62"/>
      <c r="S775" s="62"/>
      <c r="T775" s="10">
        <f t="shared" si="1"/>
        <v>0</v>
      </c>
      <c r="U775" s="62"/>
      <c r="V775" s="62"/>
      <c r="W775" s="62"/>
      <c r="X775" s="62"/>
      <c r="Y775" s="62"/>
      <c r="Z775" s="62"/>
      <c r="AA775" s="62"/>
      <c r="AB775" s="62"/>
      <c r="AC775" s="62"/>
      <c r="AD775" s="62"/>
      <c r="AE775" s="62"/>
      <c r="AF775" s="62"/>
      <c r="AG775" s="62"/>
      <c r="AH775" s="62"/>
      <c r="AI775" s="62"/>
      <c r="AJ775" s="62"/>
      <c r="AK775" s="62"/>
      <c r="AL775" s="62"/>
      <c r="AM775" s="62"/>
      <c r="AN775" s="62"/>
      <c r="AO775" s="62"/>
      <c r="AP775" s="62"/>
      <c r="AQ775" s="62"/>
    </row>
    <row r="776">
      <c r="A776" s="62"/>
      <c r="B776" s="63"/>
      <c r="C776" s="62"/>
      <c r="D776" s="62"/>
      <c r="E776" s="62"/>
      <c r="F776" s="62"/>
      <c r="G776" s="62"/>
      <c r="H776" s="62"/>
      <c r="I776" s="62"/>
      <c r="J776" s="62"/>
      <c r="K776" s="62"/>
      <c r="L776" s="62"/>
      <c r="M776" s="62"/>
      <c r="N776" s="62"/>
      <c r="O776" s="62"/>
      <c r="P776" s="62"/>
      <c r="Q776" s="62"/>
      <c r="R776" s="62"/>
      <c r="S776" s="62"/>
      <c r="T776" s="10">
        <f t="shared" si="1"/>
        <v>0</v>
      </c>
      <c r="U776" s="62"/>
      <c r="V776" s="62"/>
      <c r="W776" s="62"/>
      <c r="X776" s="62"/>
      <c r="Y776" s="62"/>
      <c r="Z776" s="62"/>
      <c r="AA776" s="62"/>
      <c r="AB776" s="62"/>
      <c r="AC776" s="62"/>
      <c r="AD776" s="62"/>
      <c r="AE776" s="62"/>
      <c r="AF776" s="62"/>
      <c r="AG776" s="62"/>
      <c r="AH776" s="62"/>
      <c r="AI776" s="62"/>
      <c r="AJ776" s="62"/>
      <c r="AK776" s="62"/>
      <c r="AL776" s="62"/>
      <c r="AM776" s="62"/>
      <c r="AN776" s="62"/>
      <c r="AO776" s="62"/>
      <c r="AP776" s="62"/>
      <c r="AQ776" s="62"/>
    </row>
    <row r="777">
      <c r="A777" s="62"/>
      <c r="B777" s="63"/>
      <c r="C777" s="62"/>
      <c r="D777" s="62"/>
      <c r="E777" s="62"/>
      <c r="F777" s="62"/>
      <c r="G777" s="62"/>
      <c r="H777" s="62"/>
      <c r="I777" s="62"/>
      <c r="J777" s="62"/>
      <c r="K777" s="62"/>
      <c r="L777" s="62"/>
      <c r="M777" s="62"/>
      <c r="N777" s="62"/>
      <c r="O777" s="62"/>
      <c r="P777" s="62"/>
      <c r="Q777" s="62"/>
      <c r="R777" s="62"/>
      <c r="S777" s="62"/>
      <c r="T777" s="10">
        <f t="shared" si="1"/>
        <v>0</v>
      </c>
      <c r="U777" s="62"/>
      <c r="V777" s="62"/>
      <c r="W777" s="62"/>
      <c r="X777" s="62"/>
      <c r="Y777" s="62"/>
      <c r="Z777" s="62"/>
      <c r="AA777" s="62"/>
      <c r="AB777" s="62"/>
      <c r="AC777" s="62"/>
      <c r="AD777" s="62"/>
      <c r="AE777" s="62"/>
      <c r="AF777" s="62"/>
      <c r="AG777" s="62"/>
      <c r="AH777" s="62"/>
      <c r="AI777" s="62"/>
      <c r="AJ777" s="62"/>
      <c r="AK777" s="62"/>
      <c r="AL777" s="62"/>
      <c r="AM777" s="62"/>
      <c r="AN777" s="62"/>
      <c r="AO777" s="62"/>
      <c r="AP777" s="62"/>
      <c r="AQ777" s="62"/>
    </row>
    <row r="778">
      <c r="A778" s="62"/>
      <c r="B778" s="63"/>
      <c r="C778" s="62"/>
      <c r="D778" s="62"/>
      <c r="E778" s="62"/>
      <c r="F778" s="62"/>
      <c r="G778" s="62"/>
      <c r="H778" s="62"/>
      <c r="I778" s="62"/>
      <c r="J778" s="62"/>
      <c r="K778" s="62"/>
      <c r="L778" s="62"/>
      <c r="M778" s="62"/>
      <c r="N778" s="62"/>
      <c r="O778" s="62"/>
      <c r="P778" s="62"/>
      <c r="Q778" s="62"/>
      <c r="R778" s="62"/>
      <c r="S778" s="62"/>
      <c r="T778" s="10">
        <f t="shared" si="1"/>
        <v>0</v>
      </c>
      <c r="U778" s="62"/>
      <c r="V778" s="62"/>
      <c r="W778" s="62"/>
      <c r="X778" s="62"/>
      <c r="Y778" s="62"/>
      <c r="Z778" s="62"/>
      <c r="AA778" s="62"/>
      <c r="AB778" s="62"/>
      <c r="AC778" s="62"/>
      <c r="AD778" s="62"/>
      <c r="AE778" s="62"/>
      <c r="AF778" s="62"/>
      <c r="AG778" s="62"/>
      <c r="AH778" s="62"/>
      <c r="AI778" s="62"/>
      <c r="AJ778" s="62"/>
      <c r="AK778" s="62"/>
      <c r="AL778" s="62"/>
      <c r="AM778" s="62"/>
      <c r="AN778" s="62"/>
      <c r="AO778" s="62"/>
      <c r="AP778" s="62"/>
      <c r="AQ778" s="62"/>
    </row>
    <row r="779">
      <c r="A779" s="62"/>
      <c r="B779" s="63"/>
      <c r="C779" s="62"/>
      <c r="D779" s="62"/>
      <c r="E779" s="62"/>
      <c r="F779" s="62"/>
      <c r="G779" s="62"/>
      <c r="H779" s="62"/>
      <c r="I779" s="62"/>
      <c r="J779" s="62"/>
      <c r="K779" s="62"/>
      <c r="L779" s="62"/>
      <c r="M779" s="62"/>
      <c r="N779" s="62"/>
      <c r="O779" s="62"/>
      <c r="P779" s="62"/>
      <c r="Q779" s="62"/>
      <c r="R779" s="62"/>
      <c r="S779" s="62"/>
      <c r="T779" s="10">
        <f t="shared" si="1"/>
        <v>0</v>
      </c>
      <c r="U779" s="62"/>
      <c r="V779" s="62"/>
      <c r="W779" s="62"/>
      <c r="X779" s="62"/>
      <c r="Y779" s="62"/>
      <c r="Z779" s="62"/>
      <c r="AA779" s="62"/>
      <c r="AB779" s="62"/>
      <c r="AC779" s="62"/>
      <c r="AD779" s="62"/>
      <c r="AE779" s="62"/>
      <c r="AF779" s="62"/>
      <c r="AG779" s="62"/>
      <c r="AH779" s="62"/>
      <c r="AI779" s="62"/>
      <c r="AJ779" s="62"/>
      <c r="AK779" s="62"/>
      <c r="AL779" s="62"/>
      <c r="AM779" s="62"/>
      <c r="AN779" s="62"/>
      <c r="AO779" s="62"/>
      <c r="AP779" s="62"/>
      <c r="AQ779" s="62"/>
    </row>
    <row r="780">
      <c r="A780" s="62"/>
      <c r="B780" s="63"/>
      <c r="C780" s="62"/>
      <c r="D780" s="62"/>
      <c r="E780" s="62"/>
      <c r="F780" s="62"/>
      <c r="G780" s="62"/>
      <c r="H780" s="62"/>
      <c r="I780" s="62"/>
      <c r="J780" s="62"/>
      <c r="K780" s="62"/>
      <c r="L780" s="62"/>
      <c r="M780" s="62"/>
      <c r="N780" s="62"/>
      <c r="O780" s="62"/>
      <c r="P780" s="62"/>
      <c r="Q780" s="62"/>
      <c r="R780" s="62"/>
      <c r="S780" s="62"/>
      <c r="T780" s="10">
        <f t="shared" si="1"/>
        <v>0</v>
      </c>
      <c r="U780" s="62"/>
      <c r="V780" s="62"/>
      <c r="W780" s="62"/>
      <c r="X780" s="62"/>
      <c r="Y780" s="62"/>
      <c r="Z780" s="62"/>
      <c r="AA780" s="62"/>
      <c r="AB780" s="62"/>
      <c r="AC780" s="62"/>
      <c r="AD780" s="62"/>
      <c r="AE780" s="62"/>
      <c r="AF780" s="62"/>
      <c r="AG780" s="62"/>
      <c r="AH780" s="62"/>
      <c r="AI780" s="62"/>
      <c r="AJ780" s="62"/>
      <c r="AK780" s="62"/>
      <c r="AL780" s="62"/>
      <c r="AM780" s="62"/>
      <c r="AN780" s="62"/>
      <c r="AO780" s="62"/>
      <c r="AP780" s="62"/>
      <c r="AQ780" s="62"/>
    </row>
    <row r="781">
      <c r="A781" s="62"/>
      <c r="B781" s="63"/>
      <c r="C781" s="62"/>
      <c r="D781" s="62"/>
      <c r="E781" s="62"/>
      <c r="F781" s="62"/>
      <c r="G781" s="62"/>
      <c r="H781" s="62"/>
      <c r="I781" s="62"/>
      <c r="J781" s="62"/>
      <c r="K781" s="62"/>
      <c r="L781" s="62"/>
      <c r="M781" s="62"/>
      <c r="N781" s="62"/>
      <c r="O781" s="62"/>
      <c r="P781" s="62"/>
      <c r="Q781" s="62"/>
      <c r="R781" s="62"/>
      <c r="S781" s="62"/>
      <c r="T781" s="10">
        <f t="shared" si="1"/>
        <v>0</v>
      </c>
      <c r="U781" s="62"/>
      <c r="V781" s="62"/>
      <c r="W781" s="62"/>
      <c r="X781" s="62"/>
      <c r="Y781" s="62"/>
      <c r="Z781" s="62"/>
      <c r="AA781" s="62"/>
      <c r="AB781" s="62"/>
      <c r="AC781" s="62"/>
      <c r="AD781" s="62"/>
      <c r="AE781" s="62"/>
      <c r="AF781" s="62"/>
      <c r="AG781" s="62"/>
      <c r="AH781" s="62"/>
      <c r="AI781" s="62"/>
      <c r="AJ781" s="62"/>
      <c r="AK781" s="62"/>
      <c r="AL781" s="62"/>
      <c r="AM781" s="62"/>
      <c r="AN781" s="62"/>
      <c r="AO781" s="62"/>
      <c r="AP781" s="62"/>
      <c r="AQ781" s="62"/>
    </row>
    <row r="782">
      <c r="A782" s="62"/>
      <c r="B782" s="63"/>
      <c r="C782" s="62"/>
      <c r="D782" s="62"/>
      <c r="E782" s="62"/>
      <c r="F782" s="62"/>
      <c r="G782" s="62"/>
      <c r="H782" s="62"/>
      <c r="I782" s="62"/>
      <c r="J782" s="62"/>
      <c r="K782" s="62"/>
      <c r="L782" s="62"/>
      <c r="M782" s="62"/>
      <c r="N782" s="62"/>
      <c r="O782" s="62"/>
      <c r="P782" s="62"/>
      <c r="Q782" s="62"/>
      <c r="R782" s="62"/>
      <c r="S782" s="62"/>
      <c r="T782" s="10">
        <f t="shared" si="1"/>
        <v>0</v>
      </c>
      <c r="U782" s="62"/>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row>
    <row r="783">
      <c r="A783" s="62"/>
      <c r="B783" s="63"/>
      <c r="C783" s="62"/>
      <c r="D783" s="62"/>
      <c r="E783" s="62"/>
      <c r="F783" s="62"/>
      <c r="G783" s="62"/>
      <c r="H783" s="62"/>
      <c r="I783" s="62"/>
      <c r="J783" s="62"/>
      <c r="K783" s="62"/>
      <c r="L783" s="62"/>
      <c r="M783" s="62"/>
      <c r="N783" s="62"/>
      <c r="O783" s="62"/>
      <c r="P783" s="62"/>
      <c r="Q783" s="62"/>
      <c r="R783" s="62"/>
      <c r="S783" s="62"/>
      <c r="T783" s="10">
        <f t="shared" si="1"/>
        <v>0</v>
      </c>
      <c r="U783" s="62"/>
      <c r="V783" s="62"/>
      <c r="W783" s="62"/>
      <c r="X783" s="62"/>
      <c r="Y783" s="62"/>
      <c r="Z783" s="62"/>
      <c r="AA783" s="62"/>
      <c r="AB783" s="62"/>
      <c r="AC783" s="62"/>
      <c r="AD783" s="62"/>
      <c r="AE783" s="62"/>
      <c r="AF783" s="62"/>
      <c r="AG783" s="62"/>
      <c r="AH783" s="62"/>
      <c r="AI783" s="62"/>
      <c r="AJ783" s="62"/>
      <c r="AK783" s="62"/>
      <c r="AL783" s="62"/>
      <c r="AM783" s="62"/>
      <c r="AN783" s="62"/>
      <c r="AO783" s="62"/>
      <c r="AP783" s="62"/>
      <c r="AQ783" s="62"/>
    </row>
    <row r="784">
      <c r="A784" s="62"/>
      <c r="B784" s="63"/>
      <c r="C784" s="62"/>
      <c r="D784" s="62"/>
      <c r="E784" s="62"/>
      <c r="F784" s="62"/>
      <c r="G784" s="62"/>
      <c r="H784" s="62"/>
      <c r="I784" s="62"/>
      <c r="J784" s="62"/>
      <c r="K784" s="62"/>
      <c r="L784" s="62"/>
      <c r="M784" s="62"/>
      <c r="N784" s="62"/>
      <c r="O784" s="62"/>
      <c r="P784" s="62"/>
      <c r="Q784" s="62"/>
      <c r="R784" s="62"/>
      <c r="S784" s="62"/>
      <c r="T784" s="10">
        <f t="shared" si="1"/>
        <v>0</v>
      </c>
      <c r="U784" s="62"/>
      <c r="V784" s="62"/>
      <c r="W784" s="62"/>
      <c r="X784" s="62"/>
      <c r="Y784" s="62"/>
      <c r="Z784" s="62"/>
      <c r="AA784" s="62"/>
      <c r="AB784" s="62"/>
      <c r="AC784" s="62"/>
      <c r="AD784" s="62"/>
      <c r="AE784" s="62"/>
      <c r="AF784" s="62"/>
      <c r="AG784" s="62"/>
      <c r="AH784" s="62"/>
      <c r="AI784" s="62"/>
      <c r="AJ784" s="62"/>
      <c r="AK784" s="62"/>
      <c r="AL784" s="62"/>
      <c r="AM784" s="62"/>
      <c r="AN784" s="62"/>
      <c r="AO784" s="62"/>
      <c r="AP784" s="62"/>
      <c r="AQ784" s="62"/>
    </row>
    <row r="785">
      <c r="A785" s="62"/>
      <c r="B785" s="63"/>
      <c r="C785" s="62"/>
      <c r="D785" s="62"/>
      <c r="E785" s="62"/>
      <c r="F785" s="62"/>
      <c r="G785" s="62"/>
      <c r="H785" s="62"/>
      <c r="I785" s="62"/>
      <c r="J785" s="62"/>
      <c r="K785" s="62"/>
      <c r="L785" s="62"/>
      <c r="M785" s="62"/>
      <c r="N785" s="62"/>
      <c r="O785" s="62"/>
      <c r="P785" s="62"/>
      <c r="Q785" s="62"/>
      <c r="R785" s="62"/>
      <c r="S785" s="62"/>
      <c r="T785" s="10">
        <f t="shared" si="1"/>
        <v>0</v>
      </c>
      <c r="U785" s="62"/>
      <c r="V785" s="62"/>
      <c r="W785" s="62"/>
      <c r="X785" s="62"/>
      <c r="Y785" s="62"/>
      <c r="Z785" s="62"/>
      <c r="AA785" s="62"/>
      <c r="AB785" s="62"/>
      <c r="AC785" s="62"/>
      <c r="AD785" s="62"/>
      <c r="AE785" s="62"/>
      <c r="AF785" s="62"/>
      <c r="AG785" s="62"/>
      <c r="AH785" s="62"/>
      <c r="AI785" s="62"/>
      <c r="AJ785" s="62"/>
      <c r="AK785" s="62"/>
      <c r="AL785" s="62"/>
      <c r="AM785" s="62"/>
      <c r="AN785" s="62"/>
      <c r="AO785" s="62"/>
      <c r="AP785" s="62"/>
      <c r="AQ785" s="62"/>
    </row>
    <row r="786">
      <c r="A786" s="62"/>
      <c r="B786" s="63"/>
      <c r="C786" s="62"/>
      <c r="D786" s="62"/>
      <c r="E786" s="62"/>
      <c r="F786" s="62"/>
      <c r="G786" s="62"/>
      <c r="H786" s="62"/>
      <c r="I786" s="62"/>
      <c r="J786" s="62"/>
      <c r="K786" s="62"/>
      <c r="L786" s="62"/>
      <c r="M786" s="62"/>
      <c r="N786" s="62"/>
      <c r="O786" s="62"/>
      <c r="P786" s="62"/>
      <c r="Q786" s="62"/>
      <c r="R786" s="62"/>
      <c r="S786" s="62"/>
      <c r="T786" s="10">
        <f t="shared" si="1"/>
        <v>0</v>
      </c>
      <c r="U786" s="62"/>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row>
    <row r="787">
      <c r="A787" s="62"/>
      <c r="B787" s="63"/>
      <c r="C787" s="62"/>
      <c r="D787" s="62"/>
      <c r="E787" s="62"/>
      <c r="F787" s="62"/>
      <c r="G787" s="62"/>
      <c r="H787" s="62"/>
      <c r="I787" s="62"/>
      <c r="J787" s="62"/>
      <c r="K787" s="62"/>
      <c r="L787" s="62"/>
      <c r="M787" s="62"/>
      <c r="N787" s="62"/>
      <c r="O787" s="62"/>
      <c r="P787" s="62"/>
      <c r="Q787" s="62"/>
      <c r="R787" s="62"/>
      <c r="S787" s="62"/>
      <c r="T787" s="10">
        <f t="shared" si="1"/>
        <v>0</v>
      </c>
      <c r="U787" s="62"/>
      <c r="V787" s="62"/>
      <c r="W787" s="62"/>
      <c r="X787" s="62"/>
      <c r="Y787" s="62"/>
      <c r="Z787" s="62"/>
      <c r="AA787" s="62"/>
      <c r="AB787" s="62"/>
      <c r="AC787" s="62"/>
      <c r="AD787" s="62"/>
      <c r="AE787" s="62"/>
      <c r="AF787" s="62"/>
      <c r="AG787" s="62"/>
      <c r="AH787" s="62"/>
      <c r="AI787" s="62"/>
      <c r="AJ787" s="62"/>
      <c r="AK787" s="62"/>
      <c r="AL787" s="62"/>
      <c r="AM787" s="62"/>
      <c r="AN787" s="62"/>
      <c r="AO787" s="62"/>
      <c r="AP787" s="62"/>
      <c r="AQ787" s="62"/>
    </row>
    <row r="788">
      <c r="A788" s="62"/>
      <c r="B788" s="63"/>
      <c r="C788" s="62"/>
      <c r="D788" s="62"/>
      <c r="E788" s="62"/>
      <c r="F788" s="62"/>
      <c r="G788" s="62"/>
      <c r="H788" s="62"/>
      <c r="I788" s="62"/>
      <c r="J788" s="62"/>
      <c r="K788" s="62"/>
      <c r="L788" s="62"/>
      <c r="M788" s="62"/>
      <c r="N788" s="62"/>
      <c r="O788" s="62"/>
      <c r="P788" s="62"/>
      <c r="Q788" s="62"/>
      <c r="R788" s="62"/>
      <c r="S788" s="62"/>
      <c r="T788" s="10">
        <f t="shared" si="1"/>
        <v>0</v>
      </c>
      <c r="U788" s="62"/>
      <c r="V788" s="62"/>
      <c r="W788" s="62"/>
      <c r="X788" s="62"/>
      <c r="Y788" s="62"/>
      <c r="Z788" s="62"/>
      <c r="AA788" s="62"/>
      <c r="AB788" s="62"/>
      <c r="AC788" s="62"/>
      <c r="AD788" s="62"/>
      <c r="AE788" s="62"/>
      <c r="AF788" s="62"/>
      <c r="AG788" s="62"/>
      <c r="AH788" s="62"/>
      <c r="AI788" s="62"/>
      <c r="AJ788" s="62"/>
      <c r="AK788" s="62"/>
      <c r="AL788" s="62"/>
      <c r="AM788" s="62"/>
      <c r="AN788" s="62"/>
      <c r="AO788" s="62"/>
      <c r="AP788" s="62"/>
      <c r="AQ788" s="62"/>
    </row>
    <row r="789">
      <c r="A789" s="62"/>
      <c r="B789" s="63"/>
      <c r="C789" s="62"/>
      <c r="D789" s="62"/>
      <c r="E789" s="62"/>
      <c r="F789" s="62"/>
      <c r="G789" s="62"/>
      <c r="H789" s="62"/>
      <c r="I789" s="62"/>
      <c r="J789" s="62"/>
      <c r="K789" s="62"/>
      <c r="L789" s="62"/>
      <c r="M789" s="62"/>
      <c r="N789" s="62"/>
      <c r="O789" s="62"/>
      <c r="P789" s="62"/>
      <c r="Q789" s="62"/>
      <c r="R789" s="62"/>
      <c r="S789" s="62"/>
      <c r="T789" s="10">
        <f t="shared" si="1"/>
        <v>0</v>
      </c>
      <c r="U789" s="62"/>
      <c r="V789" s="62"/>
      <c r="W789" s="62"/>
      <c r="X789" s="62"/>
      <c r="Y789" s="62"/>
      <c r="Z789" s="62"/>
      <c r="AA789" s="62"/>
      <c r="AB789" s="62"/>
      <c r="AC789" s="62"/>
      <c r="AD789" s="62"/>
      <c r="AE789" s="62"/>
      <c r="AF789" s="62"/>
      <c r="AG789" s="62"/>
      <c r="AH789" s="62"/>
      <c r="AI789" s="62"/>
      <c r="AJ789" s="62"/>
      <c r="AK789" s="62"/>
      <c r="AL789" s="62"/>
      <c r="AM789" s="62"/>
      <c r="AN789" s="62"/>
      <c r="AO789" s="62"/>
      <c r="AP789" s="62"/>
      <c r="AQ789" s="62"/>
    </row>
    <row r="790">
      <c r="A790" s="62"/>
      <c r="B790" s="63"/>
      <c r="C790" s="62"/>
      <c r="D790" s="62"/>
      <c r="E790" s="62"/>
      <c r="F790" s="62"/>
      <c r="G790" s="62"/>
      <c r="H790" s="62"/>
      <c r="I790" s="62"/>
      <c r="J790" s="62"/>
      <c r="K790" s="62"/>
      <c r="L790" s="62"/>
      <c r="M790" s="62"/>
      <c r="N790" s="62"/>
      <c r="O790" s="62"/>
      <c r="P790" s="62"/>
      <c r="Q790" s="62"/>
      <c r="R790" s="62"/>
      <c r="S790" s="62"/>
      <c r="T790" s="10">
        <f t="shared" si="1"/>
        <v>0</v>
      </c>
      <c r="U790" s="62"/>
      <c r="V790" s="62"/>
      <c r="W790" s="62"/>
      <c r="X790" s="62"/>
      <c r="Y790" s="62"/>
      <c r="Z790" s="62"/>
      <c r="AA790" s="62"/>
      <c r="AB790" s="62"/>
      <c r="AC790" s="62"/>
      <c r="AD790" s="62"/>
      <c r="AE790" s="62"/>
      <c r="AF790" s="62"/>
      <c r="AG790" s="62"/>
      <c r="AH790" s="62"/>
      <c r="AI790" s="62"/>
      <c r="AJ790" s="62"/>
      <c r="AK790" s="62"/>
      <c r="AL790" s="62"/>
      <c r="AM790" s="62"/>
      <c r="AN790" s="62"/>
      <c r="AO790" s="62"/>
      <c r="AP790" s="62"/>
      <c r="AQ790" s="62"/>
    </row>
    <row r="791">
      <c r="A791" s="62"/>
      <c r="B791" s="63"/>
      <c r="C791" s="62"/>
      <c r="D791" s="62"/>
      <c r="E791" s="62"/>
      <c r="F791" s="62"/>
      <c r="G791" s="62"/>
      <c r="H791" s="62"/>
      <c r="I791" s="62"/>
      <c r="J791" s="62"/>
      <c r="K791" s="62"/>
      <c r="L791" s="62"/>
      <c r="M791" s="62"/>
      <c r="N791" s="62"/>
      <c r="O791" s="62"/>
      <c r="P791" s="62"/>
      <c r="Q791" s="62"/>
      <c r="R791" s="62"/>
      <c r="S791" s="62"/>
      <c r="T791" s="10">
        <f t="shared" si="1"/>
        <v>0</v>
      </c>
      <c r="U791" s="62"/>
      <c r="V791" s="62"/>
      <c r="W791" s="62"/>
      <c r="X791" s="62"/>
      <c r="Y791" s="62"/>
      <c r="Z791" s="62"/>
      <c r="AA791" s="62"/>
      <c r="AB791" s="62"/>
      <c r="AC791" s="62"/>
      <c r="AD791" s="62"/>
      <c r="AE791" s="62"/>
      <c r="AF791" s="62"/>
      <c r="AG791" s="62"/>
      <c r="AH791" s="62"/>
      <c r="AI791" s="62"/>
      <c r="AJ791" s="62"/>
      <c r="AK791" s="62"/>
      <c r="AL791" s="62"/>
      <c r="AM791" s="62"/>
      <c r="AN791" s="62"/>
      <c r="AO791" s="62"/>
      <c r="AP791" s="62"/>
      <c r="AQ791" s="62"/>
    </row>
    <row r="792">
      <c r="A792" s="62"/>
      <c r="B792" s="63"/>
      <c r="C792" s="62"/>
      <c r="D792" s="62"/>
      <c r="E792" s="62"/>
      <c r="F792" s="62"/>
      <c r="G792" s="62"/>
      <c r="H792" s="62"/>
      <c r="I792" s="62"/>
      <c r="J792" s="62"/>
      <c r="K792" s="62"/>
      <c r="L792" s="62"/>
      <c r="M792" s="62"/>
      <c r="N792" s="62"/>
      <c r="O792" s="62"/>
      <c r="P792" s="62"/>
      <c r="Q792" s="62"/>
      <c r="R792" s="62"/>
      <c r="S792" s="62"/>
      <c r="T792" s="10">
        <f t="shared" si="1"/>
        <v>0</v>
      </c>
      <c r="U792" s="62"/>
      <c r="V792" s="62"/>
      <c r="W792" s="62"/>
      <c r="X792" s="62"/>
      <c r="Y792" s="62"/>
      <c r="Z792" s="62"/>
      <c r="AA792" s="62"/>
      <c r="AB792" s="62"/>
      <c r="AC792" s="62"/>
      <c r="AD792" s="62"/>
      <c r="AE792" s="62"/>
      <c r="AF792" s="62"/>
      <c r="AG792" s="62"/>
      <c r="AH792" s="62"/>
      <c r="AI792" s="62"/>
      <c r="AJ792" s="62"/>
      <c r="AK792" s="62"/>
      <c r="AL792" s="62"/>
      <c r="AM792" s="62"/>
      <c r="AN792" s="62"/>
      <c r="AO792" s="62"/>
      <c r="AP792" s="62"/>
      <c r="AQ792" s="62"/>
    </row>
    <row r="793">
      <c r="A793" s="62"/>
      <c r="B793" s="63"/>
      <c r="C793" s="62"/>
      <c r="D793" s="62"/>
      <c r="E793" s="62"/>
      <c r="F793" s="62"/>
      <c r="G793" s="62"/>
      <c r="H793" s="62"/>
      <c r="I793" s="62"/>
      <c r="J793" s="62"/>
      <c r="K793" s="62"/>
      <c r="L793" s="62"/>
      <c r="M793" s="62"/>
      <c r="N793" s="62"/>
      <c r="O793" s="62"/>
      <c r="P793" s="62"/>
      <c r="Q793" s="62"/>
      <c r="R793" s="62"/>
      <c r="S793" s="62"/>
      <c r="T793" s="10">
        <f t="shared" si="1"/>
        <v>0</v>
      </c>
      <c r="U793" s="62"/>
      <c r="V793" s="62"/>
      <c r="W793" s="62"/>
      <c r="X793" s="62"/>
      <c r="Y793" s="62"/>
      <c r="Z793" s="62"/>
      <c r="AA793" s="62"/>
      <c r="AB793" s="62"/>
      <c r="AC793" s="62"/>
      <c r="AD793" s="62"/>
      <c r="AE793" s="62"/>
      <c r="AF793" s="62"/>
      <c r="AG793" s="62"/>
      <c r="AH793" s="62"/>
      <c r="AI793" s="62"/>
      <c r="AJ793" s="62"/>
      <c r="AK793" s="62"/>
      <c r="AL793" s="62"/>
      <c r="AM793" s="62"/>
      <c r="AN793" s="62"/>
      <c r="AO793" s="62"/>
      <c r="AP793" s="62"/>
      <c r="AQ793" s="62"/>
    </row>
    <row r="794">
      <c r="A794" s="62"/>
      <c r="B794" s="63"/>
      <c r="C794" s="62"/>
      <c r="D794" s="62"/>
      <c r="E794" s="62"/>
      <c r="F794" s="62"/>
      <c r="G794" s="62"/>
      <c r="H794" s="62"/>
      <c r="I794" s="62"/>
      <c r="J794" s="62"/>
      <c r="K794" s="62"/>
      <c r="L794" s="62"/>
      <c r="M794" s="62"/>
      <c r="N794" s="62"/>
      <c r="O794" s="62"/>
      <c r="P794" s="62"/>
      <c r="Q794" s="62"/>
      <c r="R794" s="62"/>
      <c r="S794" s="62"/>
      <c r="T794" s="10">
        <f t="shared" si="1"/>
        <v>0</v>
      </c>
      <c r="U794" s="62"/>
      <c r="V794" s="62"/>
      <c r="W794" s="62"/>
      <c r="X794" s="62"/>
      <c r="Y794" s="62"/>
      <c r="Z794" s="62"/>
      <c r="AA794" s="62"/>
      <c r="AB794" s="62"/>
      <c r="AC794" s="62"/>
      <c r="AD794" s="62"/>
      <c r="AE794" s="62"/>
      <c r="AF794" s="62"/>
      <c r="AG794" s="62"/>
      <c r="AH794" s="62"/>
      <c r="AI794" s="62"/>
      <c r="AJ794" s="62"/>
      <c r="AK794" s="62"/>
      <c r="AL794" s="62"/>
      <c r="AM794" s="62"/>
      <c r="AN794" s="62"/>
      <c r="AO794" s="62"/>
      <c r="AP794" s="62"/>
      <c r="AQ794" s="62"/>
    </row>
    <row r="795">
      <c r="A795" s="62"/>
      <c r="B795" s="63"/>
      <c r="C795" s="62"/>
      <c r="D795" s="62"/>
      <c r="E795" s="62"/>
      <c r="F795" s="62"/>
      <c r="G795" s="62"/>
      <c r="H795" s="62"/>
      <c r="I795" s="62"/>
      <c r="J795" s="62"/>
      <c r="K795" s="62"/>
      <c r="L795" s="62"/>
      <c r="M795" s="62"/>
      <c r="N795" s="62"/>
      <c r="O795" s="62"/>
      <c r="P795" s="62"/>
      <c r="Q795" s="62"/>
      <c r="R795" s="62"/>
      <c r="S795" s="62"/>
      <c r="T795" s="10">
        <f t="shared" si="1"/>
        <v>0</v>
      </c>
      <c r="U795" s="62"/>
      <c r="V795" s="62"/>
      <c r="W795" s="62"/>
      <c r="X795" s="62"/>
      <c r="Y795" s="62"/>
      <c r="Z795" s="62"/>
      <c r="AA795" s="62"/>
      <c r="AB795" s="62"/>
      <c r="AC795" s="62"/>
      <c r="AD795" s="62"/>
      <c r="AE795" s="62"/>
      <c r="AF795" s="62"/>
      <c r="AG795" s="62"/>
      <c r="AH795" s="62"/>
      <c r="AI795" s="62"/>
      <c r="AJ795" s="62"/>
      <c r="AK795" s="62"/>
      <c r="AL795" s="62"/>
      <c r="AM795" s="62"/>
      <c r="AN795" s="62"/>
      <c r="AO795" s="62"/>
      <c r="AP795" s="62"/>
      <c r="AQ795" s="62"/>
    </row>
    <row r="796">
      <c r="A796" s="62"/>
      <c r="B796" s="63"/>
      <c r="C796" s="62"/>
      <c r="D796" s="62"/>
      <c r="E796" s="62"/>
      <c r="F796" s="62"/>
      <c r="G796" s="62"/>
      <c r="H796" s="62"/>
      <c r="I796" s="62"/>
      <c r="J796" s="62"/>
      <c r="K796" s="62"/>
      <c r="L796" s="62"/>
      <c r="M796" s="62"/>
      <c r="N796" s="62"/>
      <c r="O796" s="62"/>
      <c r="P796" s="62"/>
      <c r="Q796" s="62"/>
      <c r="R796" s="62"/>
      <c r="S796" s="62"/>
      <c r="T796" s="10">
        <f t="shared" si="1"/>
        <v>0</v>
      </c>
      <c r="U796" s="62"/>
      <c r="V796" s="62"/>
      <c r="W796" s="62"/>
      <c r="X796" s="62"/>
      <c r="Y796" s="62"/>
      <c r="Z796" s="62"/>
      <c r="AA796" s="62"/>
      <c r="AB796" s="62"/>
      <c r="AC796" s="62"/>
      <c r="AD796" s="62"/>
      <c r="AE796" s="62"/>
      <c r="AF796" s="62"/>
      <c r="AG796" s="62"/>
      <c r="AH796" s="62"/>
      <c r="AI796" s="62"/>
      <c r="AJ796" s="62"/>
      <c r="AK796" s="62"/>
      <c r="AL796" s="62"/>
      <c r="AM796" s="62"/>
      <c r="AN796" s="62"/>
      <c r="AO796" s="62"/>
      <c r="AP796" s="62"/>
      <c r="AQ796" s="62"/>
    </row>
    <row r="797">
      <c r="A797" s="62"/>
      <c r="B797" s="63"/>
      <c r="C797" s="62"/>
      <c r="D797" s="62"/>
      <c r="E797" s="62"/>
      <c r="F797" s="62"/>
      <c r="G797" s="62"/>
      <c r="H797" s="62"/>
      <c r="I797" s="62"/>
      <c r="J797" s="62"/>
      <c r="K797" s="62"/>
      <c r="L797" s="62"/>
      <c r="M797" s="62"/>
      <c r="N797" s="62"/>
      <c r="O797" s="62"/>
      <c r="P797" s="62"/>
      <c r="Q797" s="62"/>
      <c r="R797" s="62"/>
      <c r="S797" s="62"/>
      <c r="T797" s="10">
        <f t="shared" si="1"/>
        <v>0</v>
      </c>
      <c r="U797" s="62"/>
      <c r="V797" s="62"/>
      <c r="W797" s="62"/>
      <c r="X797" s="62"/>
      <c r="Y797" s="62"/>
      <c r="Z797" s="62"/>
      <c r="AA797" s="62"/>
      <c r="AB797" s="62"/>
      <c r="AC797" s="62"/>
      <c r="AD797" s="62"/>
      <c r="AE797" s="62"/>
      <c r="AF797" s="62"/>
      <c r="AG797" s="62"/>
      <c r="AH797" s="62"/>
      <c r="AI797" s="62"/>
      <c r="AJ797" s="62"/>
      <c r="AK797" s="62"/>
      <c r="AL797" s="62"/>
      <c r="AM797" s="62"/>
      <c r="AN797" s="62"/>
      <c r="AO797" s="62"/>
      <c r="AP797" s="62"/>
      <c r="AQ797" s="62"/>
    </row>
    <row r="798">
      <c r="A798" s="62"/>
      <c r="B798" s="63"/>
      <c r="C798" s="62"/>
      <c r="D798" s="62"/>
      <c r="E798" s="62"/>
      <c r="F798" s="62"/>
      <c r="G798" s="62"/>
      <c r="H798" s="62"/>
      <c r="I798" s="62"/>
      <c r="J798" s="62"/>
      <c r="K798" s="62"/>
      <c r="L798" s="62"/>
      <c r="M798" s="62"/>
      <c r="N798" s="62"/>
      <c r="O798" s="62"/>
      <c r="P798" s="62"/>
      <c r="Q798" s="62"/>
      <c r="R798" s="62"/>
      <c r="S798" s="62"/>
      <c r="T798" s="10">
        <f t="shared" si="1"/>
        <v>0</v>
      </c>
      <c r="U798" s="62"/>
      <c r="V798" s="62"/>
      <c r="W798" s="62"/>
      <c r="X798" s="62"/>
      <c r="Y798" s="62"/>
      <c r="Z798" s="62"/>
      <c r="AA798" s="62"/>
      <c r="AB798" s="62"/>
      <c r="AC798" s="62"/>
      <c r="AD798" s="62"/>
      <c r="AE798" s="62"/>
      <c r="AF798" s="62"/>
      <c r="AG798" s="62"/>
      <c r="AH798" s="62"/>
      <c r="AI798" s="62"/>
      <c r="AJ798" s="62"/>
      <c r="AK798" s="62"/>
      <c r="AL798" s="62"/>
      <c r="AM798" s="62"/>
      <c r="AN798" s="62"/>
      <c r="AO798" s="62"/>
      <c r="AP798" s="62"/>
      <c r="AQ798" s="62"/>
    </row>
    <row r="799">
      <c r="A799" s="62"/>
      <c r="B799" s="63"/>
      <c r="C799" s="62"/>
      <c r="D799" s="62"/>
      <c r="E799" s="62"/>
      <c r="F799" s="62"/>
      <c r="G799" s="62"/>
      <c r="H799" s="62"/>
      <c r="I799" s="62"/>
      <c r="J799" s="62"/>
      <c r="K799" s="62"/>
      <c r="L799" s="62"/>
      <c r="M799" s="62"/>
      <c r="N799" s="62"/>
      <c r="O799" s="62"/>
      <c r="P799" s="62"/>
      <c r="Q799" s="62"/>
      <c r="R799" s="62"/>
      <c r="S799" s="62"/>
      <c r="T799" s="10">
        <f t="shared" si="1"/>
        <v>0</v>
      </c>
      <c r="U799" s="62"/>
      <c r="V799" s="62"/>
      <c r="W799" s="62"/>
      <c r="X799" s="62"/>
      <c r="Y799" s="62"/>
      <c r="Z799" s="62"/>
      <c r="AA799" s="62"/>
      <c r="AB799" s="62"/>
      <c r="AC799" s="62"/>
      <c r="AD799" s="62"/>
      <c r="AE799" s="62"/>
      <c r="AF799" s="62"/>
      <c r="AG799" s="62"/>
      <c r="AH799" s="62"/>
      <c r="AI799" s="62"/>
      <c r="AJ799" s="62"/>
      <c r="AK799" s="62"/>
      <c r="AL799" s="62"/>
      <c r="AM799" s="62"/>
      <c r="AN799" s="62"/>
      <c r="AO799" s="62"/>
      <c r="AP799" s="62"/>
      <c r="AQ799" s="62"/>
    </row>
    <row r="800">
      <c r="A800" s="62"/>
      <c r="B800" s="63"/>
      <c r="C800" s="62"/>
      <c r="D800" s="62"/>
      <c r="E800" s="62"/>
      <c r="F800" s="62"/>
      <c r="G800" s="62"/>
      <c r="H800" s="62"/>
      <c r="I800" s="62"/>
      <c r="J800" s="62"/>
      <c r="K800" s="62"/>
      <c r="L800" s="62"/>
      <c r="M800" s="62"/>
      <c r="N800" s="62"/>
      <c r="O800" s="62"/>
      <c r="P800" s="62"/>
      <c r="Q800" s="62"/>
      <c r="R800" s="62"/>
      <c r="S800" s="62"/>
      <c r="T800" s="10">
        <f t="shared" si="1"/>
        <v>0</v>
      </c>
      <c r="U800" s="62"/>
      <c r="V800" s="62"/>
      <c r="W800" s="62"/>
      <c r="X800" s="62"/>
      <c r="Y800" s="62"/>
      <c r="Z800" s="62"/>
      <c r="AA800" s="62"/>
      <c r="AB800" s="62"/>
      <c r="AC800" s="62"/>
      <c r="AD800" s="62"/>
      <c r="AE800" s="62"/>
      <c r="AF800" s="62"/>
      <c r="AG800" s="62"/>
      <c r="AH800" s="62"/>
      <c r="AI800" s="62"/>
      <c r="AJ800" s="62"/>
      <c r="AK800" s="62"/>
      <c r="AL800" s="62"/>
      <c r="AM800" s="62"/>
      <c r="AN800" s="62"/>
      <c r="AO800" s="62"/>
      <c r="AP800" s="62"/>
      <c r="AQ800" s="62"/>
    </row>
    <row r="801">
      <c r="A801" s="62"/>
      <c r="B801" s="63"/>
      <c r="C801" s="62"/>
      <c r="D801" s="62"/>
      <c r="E801" s="62"/>
      <c r="F801" s="62"/>
      <c r="G801" s="62"/>
      <c r="H801" s="62"/>
      <c r="I801" s="62"/>
      <c r="J801" s="62"/>
      <c r="K801" s="62"/>
      <c r="L801" s="62"/>
      <c r="M801" s="62"/>
      <c r="N801" s="62"/>
      <c r="O801" s="62"/>
      <c r="P801" s="62"/>
      <c r="Q801" s="62"/>
      <c r="R801" s="62"/>
      <c r="S801" s="62"/>
      <c r="T801" s="10">
        <f t="shared" si="1"/>
        <v>0</v>
      </c>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row>
    <row r="802">
      <c r="A802" s="62"/>
      <c r="B802" s="63"/>
      <c r="C802" s="62"/>
      <c r="D802" s="62"/>
      <c r="E802" s="62"/>
      <c r="F802" s="62"/>
      <c r="G802" s="62"/>
      <c r="H802" s="62"/>
      <c r="I802" s="62"/>
      <c r="J802" s="62"/>
      <c r="K802" s="62"/>
      <c r="L802" s="62"/>
      <c r="M802" s="62"/>
      <c r="N802" s="62"/>
      <c r="O802" s="62"/>
      <c r="P802" s="62"/>
      <c r="Q802" s="62"/>
      <c r="R802" s="62"/>
      <c r="S802" s="62"/>
      <c r="T802" s="10">
        <f t="shared" si="1"/>
        <v>0</v>
      </c>
      <c r="U802" s="62"/>
      <c r="V802" s="62"/>
      <c r="W802" s="62"/>
      <c r="X802" s="62"/>
      <c r="Y802" s="62"/>
      <c r="Z802" s="62"/>
      <c r="AA802" s="62"/>
      <c r="AB802" s="62"/>
      <c r="AC802" s="62"/>
      <c r="AD802" s="62"/>
      <c r="AE802" s="62"/>
      <c r="AF802" s="62"/>
      <c r="AG802" s="62"/>
      <c r="AH802" s="62"/>
      <c r="AI802" s="62"/>
      <c r="AJ802" s="62"/>
      <c r="AK802" s="62"/>
      <c r="AL802" s="62"/>
      <c r="AM802" s="62"/>
      <c r="AN802" s="62"/>
      <c r="AO802" s="62"/>
      <c r="AP802" s="62"/>
      <c r="AQ802" s="62"/>
    </row>
    <row r="803">
      <c r="A803" s="62"/>
      <c r="B803" s="63"/>
      <c r="C803" s="62"/>
      <c r="D803" s="62"/>
      <c r="E803" s="62"/>
      <c r="F803" s="62"/>
      <c r="G803" s="62"/>
      <c r="H803" s="62"/>
      <c r="I803" s="62"/>
      <c r="J803" s="62"/>
      <c r="K803" s="62"/>
      <c r="L803" s="62"/>
      <c r="M803" s="62"/>
      <c r="N803" s="62"/>
      <c r="O803" s="62"/>
      <c r="P803" s="62"/>
      <c r="Q803" s="62"/>
      <c r="R803" s="62"/>
      <c r="S803" s="62"/>
      <c r="T803" s="10">
        <f t="shared" si="1"/>
        <v>0</v>
      </c>
      <c r="U803" s="62"/>
      <c r="V803" s="62"/>
      <c r="W803" s="62"/>
      <c r="X803" s="62"/>
      <c r="Y803" s="62"/>
      <c r="Z803" s="62"/>
      <c r="AA803" s="62"/>
      <c r="AB803" s="62"/>
      <c r="AC803" s="62"/>
      <c r="AD803" s="62"/>
      <c r="AE803" s="62"/>
      <c r="AF803" s="62"/>
      <c r="AG803" s="62"/>
      <c r="AH803" s="62"/>
      <c r="AI803" s="62"/>
      <c r="AJ803" s="62"/>
      <c r="AK803" s="62"/>
      <c r="AL803" s="62"/>
      <c r="AM803" s="62"/>
      <c r="AN803" s="62"/>
      <c r="AO803" s="62"/>
      <c r="AP803" s="62"/>
      <c r="AQ803" s="62"/>
    </row>
    <row r="804">
      <c r="A804" s="62"/>
      <c r="B804" s="63"/>
      <c r="C804" s="62"/>
      <c r="D804" s="62"/>
      <c r="E804" s="62"/>
      <c r="F804" s="62"/>
      <c r="G804" s="62"/>
      <c r="H804" s="62"/>
      <c r="I804" s="62"/>
      <c r="J804" s="62"/>
      <c r="K804" s="62"/>
      <c r="L804" s="62"/>
      <c r="M804" s="62"/>
      <c r="N804" s="62"/>
      <c r="O804" s="62"/>
      <c r="P804" s="62"/>
      <c r="Q804" s="62"/>
      <c r="R804" s="62"/>
      <c r="S804" s="62"/>
      <c r="T804" s="10">
        <f t="shared" si="1"/>
        <v>0</v>
      </c>
      <c r="U804" s="62"/>
      <c r="V804" s="62"/>
      <c r="W804" s="62"/>
      <c r="X804" s="62"/>
      <c r="Y804" s="62"/>
      <c r="Z804" s="62"/>
      <c r="AA804" s="62"/>
      <c r="AB804" s="62"/>
      <c r="AC804" s="62"/>
      <c r="AD804" s="62"/>
      <c r="AE804" s="62"/>
      <c r="AF804" s="62"/>
      <c r="AG804" s="62"/>
      <c r="AH804" s="62"/>
      <c r="AI804" s="62"/>
      <c r="AJ804" s="62"/>
      <c r="AK804" s="62"/>
      <c r="AL804" s="62"/>
      <c r="AM804" s="62"/>
      <c r="AN804" s="62"/>
      <c r="AO804" s="62"/>
      <c r="AP804" s="62"/>
      <c r="AQ804" s="62"/>
    </row>
    <row r="805">
      <c r="A805" s="62"/>
      <c r="B805" s="63"/>
      <c r="C805" s="62"/>
      <c r="D805" s="62"/>
      <c r="E805" s="62"/>
      <c r="F805" s="62"/>
      <c r="G805" s="62"/>
      <c r="H805" s="62"/>
      <c r="I805" s="62"/>
      <c r="J805" s="62"/>
      <c r="K805" s="62"/>
      <c r="L805" s="62"/>
      <c r="M805" s="62"/>
      <c r="N805" s="62"/>
      <c r="O805" s="62"/>
      <c r="P805" s="62"/>
      <c r="Q805" s="62"/>
      <c r="R805" s="62"/>
      <c r="S805" s="62"/>
      <c r="T805" s="10">
        <f t="shared" si="1"/>
        <v>0</v>
      </c>
      <c r="U805" s="62"/>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row>
    <row r="806">
      <c r="A806" s="62"/>
      <c r="B806" s="63"/>
      <c r="C806" s="62"/>
      <c r="D806" s="62"/>
      <c r="E806" s="62"/>
      <c r="F806" s="62"/>
      <c r="G806" s="62"/>
      <c r="H806" s="62"/>
      <c r="I806" s="62"/>
      <c r="J806" s="62"/>
      <c r="K806" s="62"/>
      <c r="L806" s="62"/>
      <c r="M806" s="62"/>
      <c r="N806" s="62"/>
      <c r="O806" s="62"/>
      <c r="P806" s="62"/>
      <c r="Q806" s="62"/>
      <c r="R806" s="62"/>
      <c r="S806" s="62"/>
      <c r="T806" s="10">
        <f t="shared" si="1"/>
        <v>0</v>
      </c>
      <c r="U806" s="62"/>
      <c r="V806" s="62"/>
      <c r="W806" s="62"/>
      <c r="X806" s="62"/>
      <c r="Y806" s="62"/>
      <c r="Z806" s="62"/>
      <c r="AA806" s="62"/>
      <c r="AB806" s="62"/>
      <c r="AC806" s="62"/>
      <c r="AD806" s="62"/>
      <c r="AE806" s="62"/>
      <c r="AF806" s="62"/>
      <c r="AG806" s="62"/>
      <c r="AH806" s="62"/>
      <c r="AI806" s="62"/>
      <c r="AJ806" s="62"/>
      <c r="AK806" s="62"/>
      <c r="AL806" s="62"/>
      <c r="AM806" s="62"/>
      <c r="AN806" s="62"/>
      <c r="AO806" s="62"/>
      <c r="AP806" s="62"/>
      <c r="AQ806" s="62"/>
    </row>
    <row r="807">
      <c r="A807" s="62"/>
      <c r="B807" s="63"/>
      <c r="C807" s="62"/>
      <c r="D807" s="62"/>
      <c r="E807" s="62"/>
      <c r="F807" s="62"/>
      <c r="G807" s="62"/>
      <c r="H807" s="62"/>
      <c r="I807" s="62"/>
      <c r="J807" s="62"/>
      <c r="K807" s="62"/>
      <c r="L807" s="62"/>
      <c r="M807" s="62"/>
      <c r="N807" s="62"/>
      <c r="O807" s="62"/>
      <c r="P807" s="62"/>
      <c r="Q807" s="62"/>
      <c r="R807" s="62"/>
      <c r="S807" s="62"/>
      <c r="T807" s="10">
        <f t="shared" si="1"/>
        <v>0</v>
      </c>
      <c r="U807" s="62"/>
      <c r="V807" s="62"/>
      <c r="W807" s="62"/>
      <c r="X807" s="62"/>
      <c r="Y807" s="62"/>
      <c r="Z807" s="62"/>
      <c r="AA807" s="62"/>
      <c r="AB807" s="62"/>
      <c r="AC807" s="62"/>
      <c r="AD807" s="62"/>
      <c r="AE807" s="62"/>
      <c r="AF807" s="62"/>
      <c r="AG807" s="62"/>
      <c r="AH807" s="62"/>
      <c r="AI807" s="62"/>
      <c r="AJ807" s="62"/>
      <c r="AK807" s="62"/>
      <c r="AL807" s="62"/>
      <c r="AM807" s="62"/>
      <c r="AN807" s="62"/>
      <c r="AO807" s="62"/>
      <c r="AP807" s="62"/>
      <c r="AQ807" s="62"/>
    </row>
    <row r="808">
      <c r="A808" s="62"/>
      <c r="B808" s="63"/>
      <c r="C808" s="62"/>
      <c r="D808" s="62"/>
      <c r="E808" s="62"/>
      <c r="F808" s="62"/>
      <c r="G808" s="62"/>
      <c r="H808" s="62"/>
      <c r="I808" s="62"/>
      <c r="J808" s="62"/>
      <c r="K808" s="62"/>
      <c r="L808" s="62"/>
      <c r="M808" s="62"/>
      <c r="N808" s="62"/>
      <c r="O808" s="62"/>
      <c r="P808" s="62"/>
      <c r="Q808" s="62"/>
      <c r="R808" s="62"/>
      <c r="S808" s="62"/>
      <c r="T808" s="10">
        <f t="shared" si="1"/>
        <v>0</v>
      </c>
      <c r="U808" s="62"/>
      <c r="V808" s="62"/>
      <c r="W808" s="62"/>
      <c r="X808" s="62"/>
      <c r="Y808" s="62"/>
      <c r="Z808" s="62"/>
      <c r="AA808" s="62"/>
      <c r="AB808" s="62"/>
      <c r="AC808" s="62"/>
      <c r="AD808" s="62"/>
      <c r="AE808" s="62"/>
      <c r="AF808" s="62"/>
      <c r="AG808" s="62"/>
      <c r="AH808" s="62"/>
      <c r="AI808" s="62"/>
      <c r="AJ808" s="62"/>
      <c r="AK808" s="62"/>
      <c r="AL808" s="62"/>
      <c r="AM808" s="62"/>
      <c r="AN808" s="62"/>
      <c r="AO808" s="62"/>
      <c r="AP808" s="62"/>
      <c r="AQ808" s="62"/>
    </row>
    <row r="809">
      <c r="A809" s="62"/>
      <c r="B809" s="63"/>
      <c r="C809" s="62"/>
      <c r="D809" s="62"/>
      <c r="E809" s="62"/>
      <c r="F809" s="62"/>
      <c r="G809" s="62"/>
      <c r="H809" s="62"/>
      <c r="I809" s="62"/>
      <c r="J809" s="62"/>
      <c r="K809" s="62"/>
      <c r="L809" s="62"/>
      <c r="M809" s="62"/>
      <c r="N809" s="62"/>
      <c r="O809" s="62"/>
      <c r="P809" s="62"/>
      <c r="Q809" s="62"/>
      <c r="R809" s="62"/>
      <c r="S809" s="62"/>
      <c r="T809" s="10">
        <f t="shared" si="1"/>
        <v>0</v>
      </c>
      <c r="U809" s="62"/>
      <c r="V809" s="62"/>
      <c r="W809" s="62"/>
      <c r="X809" s="62"/>
      <c r="Y809" s="62"/>
      <c r="Z809" s="62"/>
      <c r="AA809" s="62"/>
      <c r="AB809" s="62"/>
      <c r="AC809" s="62"/>
      <c r="AD809" s="62"/>
      <c r="AE809" s="62"/>
      <c r="AF809" s="62"/>
      <c r="AG809" s="62"/>
      <c r="AH809" s="62"/>
      <c r="AI809" s="62"/>
      <c r="AJ809" s="62"/>
      <c r="AK809" s="62"/>
      <c r="AL809" s="62"/>
      <c r="AM809" s="62"/>
      <c r="AN809" s="62"/>
      <c r="AO809" s="62"/>
      <c r="AP809" s="62"/>
      <c r="AQ809" s="62"/>
    </row>
    <row r="810">
      <c r="A810" s="62"/>
      <c r="B810" s="63"/>
      <c r="C810" s="62"/>
      <c r="D810" s="62"/>
      <c r="E810" s="62"/>
      <c r="F810" s="62"/>
      <c r="G810" s="62"/>
      <c r="H810" s="62"/>
      <c r="I810" s="62"/>
      <c r="J810" s="62"/>
      <c r="K810" s="62"/>
      <c r="L810" s="62"/>
      <c r="M810" s="62"/>
      <c r="N810" s="62"/>
      <c r="O810" s="62"/>
      <c r="P810" s="62"/>
      <c r="Q810" s="62"/>
      <c r="R810" s="62"/>
      <c r="S810" s="62"/>
      <c r="T810" s="10">
        <f t="shared" si="1"/>
        <v>0</v>
      </c>
      <c r="U810" s="62"/>
      <c r="V810" s="62"/>
      <c r="W810" s="62"/>
      <c r="X810" s="62"/>
      <c r="Y810" s="62"/>
      <c r="Z810" s="62"/>
      <c r="AA810" s="62"/>
      <c r="AB810" s="62"/>
      <c r="AC810" s="62"/>
      <c r="AD810" s="62"/>
      <c r="AE810" s="62"/>
      <c r="AF810" s="62"/>
      <c r="AG810" s="62"/>
      <c r="AH810" s="62"/>
      <c r="AI810" s="62"/>
      <c r="AJ810" s="62"/>
      <c r="AK810" s="62"/>
      <c r="AL810" s="62"/>
      <c r="AM810" s="62"/>
      <c r="AN810" s="62"/>
      <c r="AO810" s="62"/>
      <c r="AP810" s="62"/>
      <c r="AQ810" s="62"/>
    </row>
    <row r="811">
      <c r="A811" s="62"/>
      <c r="B811" s="63"/>
      <c r="C811" s="62"/>
      <c r="D811" s="62"/>
      <c r="E811" s="62"/>
      <c r="F811" s="62"/>
      <c r="G811" s="62"/>
      <c r="H811" s="62"/>
      <c r="I811" s="62"/>
      <c r="J811" s="62"/>
      <c r="K811" s="62"/>
      <c r="L811" s="62"/>
      <c r="M811" s="62"/>
      <c r="N811" s="62"/>
      <c r="O811" s="62"/>
      <c r="P811" s="62"/>
      <c r="Q811" s="62"/>
      <c r="R811" s="62"/>
      <c r="S811" s="62"/>
      <c r="T811" s="10">
        <f t="shared" si="1"/>
        <v>0</v>
      </c>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row>
    <row r="812">
      <c r="A812" s="62"/>
      <c r="B812" s="63"/>
      <c r="C812" s="62"/>
      <c r="D812" s="62"/>
      <c r="E812" s="62"/>
      <c r="F812" s="62"/>
      <c r="G812" s="62"/>
      <c r="H812" s="62"/>
      <c r="I812" s="62"/>
      <c r="J812" s="62"/>
      <c r="K812" s="62"/>
      <c r="L812" s="62"/>
      <c r="M812" s="62"/>
      <c r="N812" s="62"/>
      <c r="O812" s="62"/>
      <c r="P812" s="62"/>
      <c r="Q812" s="62"/>
      <c r="R812" s="62"/>
      <c r="S812" s="62"/>
      <c r="T812" s="10">
        <f t="shared" si="1"/>
        <v>0</v>
      </c>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row>
    <row r="813">
      <c r="A813" s="62"/>
      <c r="B813" s="63"/>
      <c r="C813" s="62"/>
      <c r="D813" s="62"/>
      <c r="E813" s="62"/>
      <c r="F813" s="62"/>
      <c r="G813" s="62"/>
      <c r="H813" s="62"/>
      <c r="I813" s="62"/>
      <c r="J813" s="62"/>
      <c r="K813" s="62"/>
      <c r="L813" s="62"/>
      <c r="M813" s="62"/>
      <c r="N813" s="62"/>
      <c r="O813" s="62"/>
      <c r="P813" s="62"/>
      <c r="Q813" s="62"/>
      <c r="R813" s="62"/>
      <c r="S813" s="62"/>
      <c r="T813" s="10">
        <f t="shared" si="1"/>
        <v>0</v>
      </c>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row>
    <row r="814">
      <c r="A814" s="62"/>
      <c r="B814" s="63"/>
      <c r="C814" s="62"/>
      <c r="D814" s="62"/>
      <c r="E814" s="62"/>
      <c r="F814" s="62"/>
      <c r="G814" s="62"/>
      <c r="H814" s="62"/>
      <c r="I814" s="62"/>
      <c r="J814" s="62"/>
      <c r="K814" s="62"/>
      <c r="L814" s="62"/>
      <c r="M814" s="62"/>
      <c r="N814" s="62"/>
      <c r="O814" s="62"/>
      <c r="P814" s="62"/>
      <c r="Q814" s="62"/>
      <c r="R814" s="62"/>
      <c r="S814" s="62"/>
      <c r="T814" s="10">
        <f t="shared" si="1"/>
        <v>0</v>
      </c>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row>
    <row r="815">
      <c r="A815" s="62"/>
      <c r="B815" s="63"/>
      <c r="C815" s="62"/>
      <c r="D815" s="62"/>
      <c r="E815" s="62"/>
      <c r="F815" s="62"/>
      <c r="G815" s="62"/>
      <c r="H815" s="62"/>
      <c r="I815" s="62"/>
      <c r="J815" s="62"/>
      <c r="K815" s="62"/>
      <c r="L815" s="62"/>
      <c r="M815" s="62"/>
      <c r="N815" s="62"/>
      <c r="O815" s="62"/>
      <c r="P815" s="62"/>
      <c r="Q815" s="62"/>
      <c r="R815" s="62"/>
      <c r="S815" s="62"/>
      <c r="T815" s="10">
        <f t="shared" si="1"/>
        <v>0</v>
      </c>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row>
    <row r="816">
      <c r="A816" s="62"/>
      <c r="B816" s="63"/>
      <c r="C816" s="62"/>
      <c r="D816" s="62"/>
      <c r="E816" s="62"/>
      <c r="F816" s="62"/>
      <c r="G816" s="62"/>
      <c r="H816" s="62"/>
      <c r="I816" s="62"/>
      <c r="J816" s="62"/>
      <c r="K816" s="62"/>
      <c r="L816" s="62"/>
      <c r="M816" s="62"/>
      <c r="N816" s="62"/>
      <c r="O816" s="62"/>
      <c r="P816" s="62"/>
      <c r="Q816" s="62"/>
      <c r="R816" s="62"/>
      <c r="S816" s="62"/>
      <c r="T816" s="10">
        <f t="shared" si="1"/>
        <v>0</v>
      </c>
      <c r="U816" s="62"/>
      <c r="V816" s="62"/>
      <c r="W816" s="62"/>
      <c r="X816" s="62"/>
      <c r="Y816" s="62"/>
      <c r="Z816" s="62"/>
      <c r="AA816" s="62"/>
      <c r="AB816" s="62"/>
      <c r="AC816" s="62"/>
      <c r="AD816" s="62"/>
      <c r="AE816" s="62"/>
      <c r="AF816" s="62"/>
      <c r="AG816" s="62"/>
      <c r="AH816" s="62"/>
      <c r="AI816" s="62"/>
      <c r="AJ816" s="62"/>
      <c r="AK816" s="62"/>
      <c r="AL816" s="62"/>
      <c r="AM816" s="62"/>
      <c r="AN816" s="62"/>
      <c r="AO816" s="62"/>
      <c r="AP816" s="62"/>
      <c r="AQ816" s="62"/>
    </row>
    <row r="817">
      <c r="A817" s="62"/>
      <c r="B817" s="63"/>
      <c r="C817" s="62"/>
      <c r="D817" s="62"/>
      <c r="E817" s="62"/>
      <c r="F817" s="62"/>
      <c r="G817" s="62"/>
      <c r="H817" s="62"/>
      <c r="I817" s="62"/>
      <c r="J817" s="62"/>
      <c r="K817" s="62"/>
      <c r="L817" s="62"/>
      <c r="M817" s="62"/>
      <c r="N817" s="62"/>
      <c r="O817" s="62"/>
      <c r="P817" s="62"/>
      <c r="Q817" s="62"/>
      <c r="R817" s="62"/>
      <c r="S817" s="62"/>
      <c r="T817" s="10">
        <f t="shared" si="1"/>
        <v>0</v>
      </c>
      <c r="U817" s="62"/>
      <c r="V817" s="62"/>
      <c r="W817" s="62"/>
      <c r="X817" s="62"/>
      <c r="Y817" s="62"/>
      <c r="Z817" s="62"/>
      <c r="AA817" s="62"/>
      <c r="AB817" s="62"/>
      <c r="AC817" s="62"/>
      <c r="AD817" s="62"/>
      <c r="AE817" s="62"/>
      <c r="AF817" s="62"/>
      <c r="AG817" s="62"/>
      <c r="AH817" s="62"/>
      <c r="AI817" s="62"/>
      <c r="AJ817" s="62"/>
      <c r="AK817" s="62"/>
      <c r="AL817" s="62"/>
      <c r="AM817" s="62"/>
      <c r="AN817" s="62"/>
      <c r="AO817" s="62"/>
      <c r="AP817" s="62"/>
      <c r="AQ817" s="62"/>
    </row>
    <row r="818">
      <c r="A818" s="62"/>
      <c r="B818" s="63"/>
      <c r="C818" s="62"/>
      <c r="D818" s="62"/>
      <c r="E818" s="62"/>
      <c r="F818" s="62"/>
      <c r="G818" s="62"/>
      <c r="H818" s="62"/>
      <c r="I818" s="62"/>
      <c r="J818" s="62"/>
      <c r="K818" s="62"/>
      <c r="L818" s="62"/>
      <c r="M818" s="62"/>
      <c r="N818" s="62"/>
      <c r="O818" s="62"/>
      <c r="P818" s="62"/>
      <c r="Q818" s="62"/>
      <c r="R818" s="62"/>
      <c r="S818" s="62"/>
      <c r="T818" s="10">
        <f t="shared" si="1"/>
        <v>0</v>
      </c>
      <c r="U818" s="62"/>
      <c r="V818" s="62"/>
      <c r="W818" s="62"/>
      <c r="X818" s="62"/>
      <c r="Y818" s="62"/>
      <c r="Z818" s="62"/>
      <c r="AA818" s="62"/>
      <c r="AB818" s="62"/>
      <c r="AC818" s="62"/>
      <c r="AD818" s="62"/>
      <c r="AE818" s="62"/>
      <c r="AF818" s="62"/>
      <c r="AG818" s="62"/>
      <c r="AH818" s="62"/>
      <c r="AI818" s="62"/>
      <c r="AJ818" s="62"/>
      <c r="AK818" s="62"/>
      <c r="AL818" s="62"/>
      <c r="AM818" s="62"/>
      <c r="AN818" s="62"/>
      <c r="AO818" s="62"/>
      <c r="AP818" s="62"/>
      <c r="AQ818" s="62"/>
    </row>
    <row r="819">
      <c r="A819" s="62"/>
      <c r="B819" s="63"/>
      <c r="C819" s="62"/>
      <c r="D819" s="62"/>
      <c r="E819" s="62"/>
      <c r="F819" s="62"/>
      <c r="G819" s="62"/>
      <c r="H819" s="62"/>
      <c r="I819" s="62"/>
      <c r="J819" s="62"/>
      <c r="K819" s="62"/>
      <c r="L819" s="62"/>
      <c r="M819" s="62"/>
      <c r="N819" s="62"/>
      <c r="O819" s="62"/>
      <c r="P819" s="62"/>
      <c r="Q819" s="62"/>
      <c r="R819" s="62"/>
      <c r="S819" s="62"/>
      <c r="T819" s="10">
        <f t="shared" si="1"/>
        <v>0</v>
      </c>
      <c r="U819" s="62"/>
      <c r="V819" s="62"/>
      <c r="W819" s="62"/>
      <c r="X819" s="62"/>
      <c r="Y819" s="62"/>
      <c r="Z819" s="62"/>
      <c r="AA819" s="62"/>
      <c r="AB819" s="62"/>
      <c r="AC819" s="62"/>
      <c r="AD819" s="62"/>
      <c r="AE819" s="62"/>
      <c r="AF819" s="62"/>
      <c r="AG819" s="62"/>
      <c r="AH819" s="62"/>
      <c r="AI819" s="62"/>
      <c r="AJ819" s="62"/>
      <c r="AK819" s="62"/>
      <c r="AL819" s="62"/>
      <c r="AM819" s="62"/>
      <c r="AN819" s="62"/>
      <c r="AO819" s="62"/>
      <c r="AP819" s="62"/>
      <c r="AQ819" s="62"/>
    </row>
    <row r="820">
      <c r="A820" s="62"/>
      <c r="B820" s="63"/>
      <c r="C820" s="62"/>
      <c r="D820" s="62"/>
      <c r="E820" s="62"/>
      <c r="F820" s="62"/>
      <c r="G820" s="62"/>
      <c r="H820" s="62"/>
      <c r="I820" s="62"/>
      <c r="J820" s="62"/>
      <c r="K820" s="62"/>
      <c r="L820" s="62"/>
      <c r="M820" s="62"/>
      <c r="N820" s="62"/>
      <c r="O820" s="62"/>
      <c r="P820" s="62"/>
      <c r="Q820" s="62"/>
      <c r="R820" s="62"/>
      <c r="S820" s="62"/>
      <c r="T820" s="10">
        <f t="shared" si="1"/>
        <v>0</v>
      </c>
      <c r="U820" s="62"/>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row>
    <row r="821">
      <c r="A821" s="62"/>
      <c r="B821" s="63"/>
      <c r="C821" s="62"/>
      <c r="D821" s="62"/>
      <c r="E821" s="62"/>
      <c r="F821" s="62"/>
      <c r="G821" s="62"/>
      <c r="H821" s="62"/>
      <c r="I821" s="62"/>
      <c r="J821" s="62"/>
      <c r="K821" s="62"/>
      <c r="L821" s="62"/>
      <c r="M821" s="62"/>
      <c r="N821" s="62"/>
      <c r="O821" s="62"/>
      <c r="P821" s="62"/>
      <c r="Q821" s="62"/>
      <c r="R821" s="62"/>
      <c r="S821" s="62"/>
      <c r="T821" s="10">
        <f t="shared" si="1"/>
        <v>0</v>
      </c>
      <c r="U821" s="62"/>
      <c r="V821" s="62"/>
      <c r="W821" s="62"/>
      <c r="X821" s="62"/>
      <c r="Y821" s="62"/>
      <c r="Z821" s="62"/>
      <c r="AA821" s="62"/>
      <c r="AB821" s="62"/>
      <c r="AC821" s="62"/>
      <c r="AD821" s="62"/>
      <c r="AE821" s="62"/>
      <c r="AF821" s="62"/>
      <c r="AG821" s="62"/>
      <c r="AH821" s="62"/>
      <c r="AI821" s="62"/>
      <c r="AJ821" s="62"/>
      <c r="AK821" s="62"/>
      <c r="AL821" s="62"/>
      <c r="AM821" s="62"/>
      <c r="AN821" s="62"/>
      <c r="AO821" s="62"/>
      <c r="AP821" s="62"/>
      <c r="AQ821" s="62"/>
    </row>
    <row r="822">
      <c r="A822" s="62"/>
      <c r="B822" s="63"/>
      <c r="C822" s="62"/>
      <c r="D822" s="62"/>
      <c r="E822" s="62"/>
      <c r="F822" s="62"/>
      <c r="G822" s="62"/>
      <c r="H822" s="62"/>
      <c r="I822" s="62"/>
      <c r="J822" s="62"/>
      <c r="K822" s="62"/>
      <c r="L822" s="62"/>
      <c r="M822" s="62"/>
      <c r="N822" s="62"/>
      <c r="O822" s="62"/>
      <c r="P822" s="62"/>
      <c r="Q822" s="62"/>
      <c r="R822" s="62"/>
      <c r="S822" s="62"/>
      <c r="T822" s="10">
        <f t="shared" si="1"/>
        <v>0</v>
      </c>
      <c r="U822" s="62"/>
      <c r="V822" s="62"/>
      <c r="W822" s="62"/>
      <c r="X822" s="62"/>
      <c r="Y822" s="62"/>
      <c r="Z822" s="62"/>
      <c r="AA822" s="62"/>
      <c r="AB822" s="62"/>
      <c r="AC822" s="62"/>
      <c r="AD822" s="62"/>
      <c r="AE822" s="62"/>
      <c r="AF822" s="62"/>
      <c r="AG822" s="62"/>
      <c r="AH822" s="62"/>
      <c r="AI822" s="62"/>
      <c r="AJ822" s="62"/>
      <c r="AK822" s="62"/>
      <c r="AL822" s="62"/>
      <c r="AM822" s="62"/>
      <c r="AN822" s="62"/>
      <c r="AO822" s="62"/>
      <c r="AP822" s="62"/>
      <c r="AQ822" s="62"/>
    </row>
    <row r="823">
      <c r="A823" s="62"/>
      <c r="B823" s="63"/>
      <c r="C823" s="62"/>
      <c r="D823" s="62"/>
      <c r="E823" s="62"/>
      <c r="F823" s="62"/>
      <c r="G823" s="62"/>
      <c r="H823" s="62"/>
      <c r="I823" s="62"/>
      <c r="J823" s="62"/>
      <c r="K823" s="62"/>
      <c r="L823" s="62"/>
      <c r="M823" s="62"/>
      <c r="N823" s="62"/>
      <c r="O823" s="62"/>
      <c r="P823" s="62"/>
      <c r="Q823" s="62"/>
      <c r="R823" s="62"/>
      <c r="S823" s="62"/>
      <c r="T823" s="10">
        <f t="shared" si="1"/>
        <v>0</v>
      </c>
      <c r="U823" s="62"/>
      <c r="V823" s="62"/>
      <c r="W823" s="62"/>
      <c r="X823" s="62"/>
      <c r="Y823" s="62"/>
      <c r="Z823" s="62"/>
      <c r="AA823" s="62"/>
      <c r="AB823" s="62"/>
      <c r="AC823" s="62"/>
      <c r="AD823" s="62"/>
      <c r="AE823" s="62"/>
      <c r="AF823" s="62"/>
      <c r="AG823" s="62"/>
      <c r="AH823" s="62"/>
      <c r="AI823" s="62"/>
      <c r="AJ823" s="62"/>
      <c r="AK823" s="62"/>
      <c r="AL823" s="62"/>
      <c r="AM823" s="62"/>
      <c r="AN823" s="62"/>
      <c r="AO823" s="62"/>
      <c r="AP823" s="62"/>
      <c r="AQ823" s="62"/>
    </row>
    <row r="824">
      <c r="A824" s="62"/>
      <c r="B824" s="63"/>
      <c r="C824" s="62"/>
      <c r="D824" s="62"/>
      <c r="E824" s="62"/>
      <c r="F824" s="62"/>
      <c r="G824" s="62"/>
      <c r="H824" s="62"/>
      <c r="I824" s="62"/>
      <c r="J824" s="62"/>
      <c r="K824" s="62"/>
      <c r="L824" s="62"/>
      <c r="M824" s="62"/>
      <c r="N824" s="62"/>
      <c r="O824" s="62"/>
      <c r="P824" s="62"/>
      <c r="Q824" s="62"/>
      <c r="R824" s="62"/>
      <c r="S824" s="62"/>
      <c r="T824" s="10">
        <f t="shared" si="1"/>
        <v>0</v>
      </c>
      <c r="U824" s="62"/>
      <c r="V824" s="62"/>
      <c r="W824" s="62"/>
      <c r="X824" s="62"/>
      <c r="Y824" s="62"/>
      <c r="Z824" s="62"/>
      <c r="AA824" s="62"/>
      <c r="AB824" s="62"/>
      <c r="AC824" s="62"/>
      <c r="AD824" s="62"/>
      <c r="AE824" s="62"/>
      <c r="AF824" s="62"/>
      <c r="AG824" s="62"/>
      <c r="AH824" s="62"/>
      <c r="AI824" s="62"/>
      <c r="AJ824" s="62"/>
      <c r="AK824" s="62"/>
      <c r="AL824" s="62"/>
      <c r="AM824" s="62"/>
      <c r="AN824" s="62"/>
      <c r="AO824" s="62"/>
      <c r="AP824" s="62"/>
      <c r="AQ824" s="62"/>
    </row>
    <row r="825">
      <c r="A825" s="62"/>
      <c r="B825" s="63"/>
      <c r="C825" s="62"/>
      <c r="D825" s="62"/>
      <c r="E825" s="62"/>
      <c r="F825" s="62"/>
      <c r="G825" s="62"/>
      <c r="H825" s="62"/>
      <c r="I825" s="62"/>
      <c r="J825" s="62"/>
      <c r="K825" s="62"/>
      <c r="L825" s="62"/>
      <c r="M825" s="62"/>
      <c r="N825" s="62"/>
      <c r="O825" s="62"/>
      <c r="P825" s="62"/>
      <c r="Q825" s="62"/>
      <c r="R825" s="62"/>
      <c r="S825" s="62"/>
      <c r="T825" s="10">
        <f t="shared" si="1"/>
        <v>0</v>
      </c>
      <c r="U825" s="62"/>
      <c r="V825" s="62"/>
      <c r="W825" s="62"/>
      <c r="X825" s="62"/>
      <c r="Y825" s="62"/>
      <c r="Z825" s="62"/>
      <c r="AA825" s="62"/>
      <c r="AB825" s="62"/>
      <c r="AC825" s="62"/>
      <c r="AD825" s="62"/>
      <c r="AE825" s="62"/>
      <c r="AF825" s="62"/>
      <c r="AG825" s="62"/>
      <c r="AH825" s="62"/>
      <c r="AI825" s="62"/>
      <c r="AJ825" s="62"/>
      <c r="AK825" s="62"/>
      <c r="AL825" s="62"/>
      <c r="AM825" s="62"/>
      <c r="AN825" s="62"/>
      <c r="AO825" s="62"/>
      <c r="AP825" s="62"/>
      <c r="AQ825" s="62"/>
    </row>
    <row r="826">
      <c r="A826" s="62"/>
      <c r="B826" s="63"/>
      <c r="C826" s="62"/>
      <c r="D826" s="62"/>
      <c r="E826" s="62"/>
      <c r="F826" s="62"/>
      <c r="G826" s="62"/>
      <c r="H826" s="62"/>
      <c r="I826" s="62"/>
      <c r="J826" s="62"/>
      <c r="K826" s="62"/>
      <c r="L826" s="62"/>
      <c r="M826" s="62"/>
      <c r="N826" s="62"/>
      <c r="O826" s="62"/>
      <c r="P826" s="62"/>
      <c r="Q826" s="62"/>
      <c r="R826" s="62"/>
      <c r="S826" s="62"/>
      <c r="T826" s="10">
        <f t="shared" si="1"/>
        <v>0</v>
      </c>
      <c r="U826" s="62"/>
      <c r="V826" s="62"/>
      <c r="W826" s="62"/>
      <c r="X826" s="62"/>
      <c r="Y826" s="62"/>
      <c r="Z826" s="62"/>
      <c r="AA826" s="62"/>
      <c r="AB826" s="62"/>
      <c r="AC826" s="62"/>
      <c r="AD826" s="62"/>
      <c r="AE826" s="62"/>
      <c r="AF826" s="62"/>
      <c r="AG826" s="62"/>
      <c r="AH826" s="62"/>
      <c r="AI826" s="62"/>
      <c r="AJ826" s="62"/>
      <c r="AK826" s="62"/>
      <c r="AL826" s="62"/>
      <c r="AM826" s="62"/>
      <c r="AN826" s="62"/>
      <c r="AO826" s="62"/>
      <c r="AP826" s="62"/>
      <c r="AQ826" s="62"/>
    </row>
    <row r="827">
      <c r="A827" s="62"/>
      <c r="B827" s="63"/>
      <c r="C827" s="62"/>
      <c r="D827" s="62"/>
      <c r="E827" s="62"/>
      <c r="F827" s="62"/>
      <c r="G827" s="62"/>
      <c r="H827" s="62"/>
      <c r="I827" s="62"/>
      <c r="J827" s="62"/>
      <c r="K827" s="62"/>
      <c r="L827" s="62"/>
      <c r="M827" s="62"/>
      <c r="N827" s="62"/>
      <c r="O827" s="62"/>
      <c r="P827" s="62"/>
      <c r="Q827" s="62"/>
      <c r="R827" s="62"/>
      <c r="S827" s="62"/>
      <c r="T827" s="10">
        <f t="shared" si="1"/>
        <v>0</v>
      </c>
      <c r="U827" s="62"/>
      <c r="V827" s="62"/>
      <c r="W827" s="62"/>
      <c r="X827" s="62"/>
      <c r="Y827" s="62"/>
      <c r="Z827" s="62"/>
      <c r="AA827" s="62"/>
      <c r="AB827" s="62"/>
      <c r="AC827" s="62"/>
      <c r="AD827" s="62"/>
      <c r="AE827" s="62"/>
      <c r="AF827" s="62"/>
      <c r="AG827" s="62"/>
      <c r="AH827" s="62"/>
      <c r="AI827" s="62"/>
      <c r="AJ827" s="62"/>
      <c r="AK827" s="62"/>
      <c r="AL827" s="62"/>
      <c r="AM827" s="62"/>
      <c r="AN827" s="62"/>
      <c r="AO827" s="62"/>
      <c r="AP827" s="62"/>
      <c r="AQ827" s="62"/>
    </row>
    <row r="828">
      <c r="A828" s="62"/>
      <c r="B828" s="63"/>
      <c r="C828" s="62"/>
      <c r="D828" s="62"/>
      <c r="E828" s="62"/>
      <c r="F828" s="62"/>
      <c r="G828" s="62"/>
      <c r="H828" s="62"/>
      <c r="I828" s="62"/>
      <c r="J828" s="62"/>
      <c r="K828" s="62"/>
      <c r="L828" s="62"/>
      <c r="M828" s="62"/>
      <c r="N828" s="62"/>
      <c r="O828" s="62"/>
      <c r="P828" s="62"/>
      <c r="Q828" s="62"/>
      <c r="R828" s="62"/>
      <c r="S828" s="62"/>
      <c r="T828" s="10">
        <f t="shared" si="1"/>
        <v>0</v>
      </c>
      <c r="U828" s="62"/>
      <c r="V828" s="62"/>
      <c r="W828" s="62"/>
      <c r="X828" s="62"/>
      <c r="Y828" s="62"/>
      <c r="Z828" s="62"/>
      <c r="AA828" s="62"/>
      <c r="AB828" s="62"/>
      <c r="AC828" s="62"/>
      <c r="AD828" s="62"/>
      <c r="AE828" s="62"/>
      <c r="AF828" s="62"/>
      <c r="AG828" s="62"/>
      <c r="AH828" s="62"/>
      <c r="AI828" s="62"/>
      <c r="AJ828" s="62"/>
      <c r="AK828" s="62"/>
      <c r="AL828" s="62"/>
      <c r="AM828" s="62"/>
      <c r="AN828" s="62"/>
      <c r="AO828" s="62"/>
      <c r="AP828" s="62"/>
      <c r="AQ828" s="62"/>
    </row>
    <row r="829">
      <c r="A829" s="62"/>
      <c r="B829" s="63"/>
      <c r="C829" s="62"/>
      <c r="D829" s="62"/>
      <c r="E829" s="62"/>
      <c r="F829" s="62"/>
      <c r="G829" s="62"/>
      <c r="H829" s="62"/>
      <c r="I829" s="62"/>
      <c r="J829" s="62"/>
      <c r="K829" s="62"/>
      <c r="L829" s="62"/>
      <c r="M829" s="62"/>
      <c r="N829" s="62"/>
      <c r="O829" s="62"/>
      <c r="P829" s="62"/>
      <c r="Q829" s="62"/>
      <c r="R829" s="62"/>
      <c r="S829" s="62"/>
      <c r="T829" s="10">
        <f t="shared" si="1"/>
        <v>0</v>
      </c>
      <c r="U829" s="62"/>
      <c r="V829" s="62"/>
      <c r="W829" s="62"/>
      <c r="X829" s="62"/>
      <c r="Y829" s="62"/>
      <c r="Z829" s="62"/>
      <c r="AA829" s="62"/>
      <c r="AB829" s="62"/>
      <c r="AC829" s="62"/>
      <c r="AD829" s="62"/>
      <c r="AE829" s="62"/>
      <c r="AF829" s="62"/>
      <c r="AG829" s="62"/>
      <c r="AH829" s="62"/>
      <c r="AI829" s="62"/>
      <c r="AJ829" s="62"/>
      <c r="AK829" s="62"/>
      <c r="AL829" s="62"/>
      <c r="AM829" s="62"/>
      <c r="AN829" s="62"/>
      <c r="AO829" s="62"/>
      <c r="AP829" s="62"/>
      <c r="AQ829" s="62"/>
    </row>
    <row r="830">
      <c r="A830" s="62"/>
      <c r="B830" s="63"/>
      <c r="C830" s="62"/>
      <c r="D830" s="62"/>
      <c r="E830" s="62"/>
      <c r="F830" s="62"/>
      <c r="G830" s="62"/>
      <c r="H830" s="62"/>
      <c r="I830" s="62"/>
      <c r="J830" s="62"/>
      <c r="K830" s="62"/>
      <c r="L830" s="62"/>
      <c r="M830" s="62"/>
      <c r="N830" s="62"/>
      <c r="O830" s="62"/>
      <c r="P830" s="62"/>
      <c r="Q830" s="62"/>
      <c r="R830" s="62"/>
      <c r="S830" s="62"/>
      <c r="T830" s="10">
        <f t="shared" si="1"/>
        <v>0</v>
      </c>
      <c r="U830" s="62"/>
      <c r="V830" s="62"/>
      <c r="W830" s="62"/>
      <c r="X830" s="62"/>
      <c r="Y830" s="62"/>
      <c r="Z830" s="62"/>
      <c r="AA830" s="62"/>
      <c r="AB830" s="62"/>
      <c r="AC830" s="62"/>
      <c r="AD830" s="62"/>
      <c r="AE830" s="62"/>
      <c r="AF830" s="62"/>
      <c r="AG830" s="62"/>
      <c r="AH830" s="62"/>
      <c r="AI830" s="62"/>
      <c r="AJ830" s="62"/>
      <c r="AK830" s="62"/>
      <c r="AL830" s="62"/>
      <c r="AM830" s="62"/>
      <c r="AN830" s="62"/>
      <c r="AO830" s="62"/>
      <c r="AP830" s="62"/>
      <c r="AQ830" s="62"/>
    </row>
    <row r="831">
      <c r="A831" s="62"/>
      <c r="B831" s="63"/>
      <c r="C831" s="62"/>
      <c r="D831" s="62"/>
      <c r="E831" s="62"/>
      <c r="F831" s="62"/>
      <c r="G831" s="62"/>
      <c r="H831" s="62"/>
      <c r="I831" s="62"/>
      <c r="J831" s="62"/>
      <c r="K831" s="62"/>
      <c r="L831" s="62"/>
      <c r="M831" s="62"/>
      <c r="N831" s="62"/>
      <c r="O831" s="62"/>
      <c r="P831" s="62"/>
      <c r="Q831" s="62"/>
      <c r="R831" s="62"/>
      <c r="S831" s="62"/>
      <c r="T831" s="10">
        <f t="shared" si="1"/>
        <v>0</v>
      </c>
      <c r="U831" s="62"/>
      <c r="V831" s="62"/>
      <c r="W831" s="62"/>
      <c r="X831" s="62"/>
      <c r="Y831" s="62"/>
      <c r="Z831" s="62"/>
      <c r="AA831" s="62"/>
      <c r="AB831" s="62"/>
      <c r="AC831" s="62"/>
      <c r="AD831" s="62"/>
      <c r="AE831" s="62"/>
      <c r="AF831" s="62"/>
      <c r="AG831" s="62"/>
      <c r="AH831" s="62"/>
      <c r="AI831" s="62"/>
      <c r="AJ831" s="62"/>
      <c r="AK831" s="62"/>
      <c r="AL831" s="62"/>
      <c r="AM831" s="62"/>
      <c r="AN831" s="62"/>
      <c r="AO831" s="62"/>
      <c r="AP831" s="62"/>
      <c r="AQ831" s="62"/>
    </row>
    <row r="832">
      <c r="A832" s="62"/>
      <c r="B832" s="63"/>
      <c r="C832" s="62"/>
      <c r="D832" s="62"/>
      <c r="E832" s="62"/>
      <c r="F832" s="62"/>
      <c r="G832" s="62"/>
      <c r="H832" s="62"/>
      <c r="I832" s="62"/>
      <c r="J832" s="62"/>
      <c r="K832" s="62"/>
      <c r="L832" s="62"/>
      <c r="M832" s="62"/>
      <c r="N832" s="62"/>
      <c r="O832" s="62"/>
      <c r="P832" s="62"/>
      <c r="Q832" s="62"/>
      <c r="R832" s="62"/>
      <c r="S832" s="62"/>
      <c r="T832" s="10">
        <f t="shared" si="1"/>
        <v>0</v>
      </c>
      <c r="U832" s="62"/>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row>
    <row r="833">
      <c r="A833" s="62"/>
      <c r="B833" s="63"/>
      <c r="C833" s="62"/>
      <c r="D833" s="62"/>
      <c r="E833" s="62"/>
      <c r="F833" s="62"/>
      <c r="G833" s="62"/>
      <c r="H833" s="62"/>
      <c r="I833" s="62"/>
      <c r="J833" s="62"/>
      <c r="K833" s="62"/>
      <c r="L833" s="62"/>
      <c r="M833" s="62"/>
      <c r="N833" s="62"/>
      <c r="O833" s="62"/>
      <c r="P833" s="62"/>
      <c r="Q833" s="62"/>
      <c r="R833" s="62"/>
      <c r="S833" s="62"/>
      <c r="T833" s="10">
        <f t="shared" si="1"/>
        <v>0</v>
      </c>
      <c r="U833" s="62"/>
      <c r="V833" s="62"/>
      <c r="W833" s="62"/>
      <c r="X833" s="62"/>
      <c r="Y833" s="62"/>
      <c r="Z833" s="62"/>
      <c r="AA833" s="62"/>
      <c r="AB833" s="62"/>
      <c r="AC833" s="62"/>
      <c r="AD833" s="62"/>
      <c r="AE833" s="62"/>
      <c r="AF833" s="62"/>
      <c r="AG833" s="62"/>
      <c r="AH833" s="62"/>
      <c r="AI833" s="62"/>
      <c r="AJ833" s="62"/>
      <c r="AK833" s="62"/>
      <c r="AL833" s="62"/>
      <c r="AM833" s="62"/>
      <c r="AN833" s="62"/>
      <c r="AO833" s="62"/>
      <c r="AP833" s="62"/>
      <c r="AQ833" s="62"/>
    </row>
    <row r="834">
      <c r="A834" s="62"/>
      <c r="B834" s="63"/>
      <c r="C834" s="62"/>
      <c r="D834" s="62"/>
      <c r="E834" s="62"/>
      <c r="F834" s="62"/>
      <c r="G834" s="62"/>
      <c r="H834" s="62"/>
      <c r="I834" s="62"/>
      <c r="J834" s="62"/>
      <c r="K834" s="62"/>
      <c r="L834" s="62"/>
      <c r="M834" s="62"/>
      <c r="N834" s="62"/>
      <c r="O834" s="62"/>
      <c r="P834" s="62"/>
      <c r="Q834" s="62"/>
      <c r="R834" s="62"/>
      <c r="S834" s="62"/>
      <c r="T834" s="10">
        <f t="shared" si="1"/>
        <v>0</v>
      </c>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row>
    <row r="835">
      <c r="A835" s="62"/>
      <c r="B835" s="63"/>
      <c r="C835" s="62"/>
      <c r="D835" s="62"/>
      <c r="E835" s="62"/>
      <c r="F835" s="62"/>
      <c r="G835" s="62"/>
      <c r="H835" s="62"/>
      <c r="I835" s="62"/>
      <c r="J835" s="62"/>
      <c r="K835" s="62"/>
      <c r="L835" s="62"/>
      <c r="M835" s="62"/>
      <c r="N835" s="62"/>
      <c r="O835" s="62"/>
      <c r="P835" s="62"/>
      <c r="Q835" s="62"/>
      <c r="R835" s="62"/>
      <c r="S835" s="62"/>
      <c r="T835" s="10">
        <f t="shared" si="1"/>
        <v>0</v>
      </c>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row>
    <row r="836">
      <c r="A836" s="62"/>
      <c r="B836" s="63"/>
      <c r="C836" s="62"/>
      <c r="D836" s="62"/>
      <c r="E836" s="62"/>
      <c r="F836" s="62"/>
      <c r="G836" s="62"/>
      <c r="H836" s="62"/>
      <c r="I836" s="62"/>
      <c r="J836" s="62"/>
      <c r="K836" s="62"/>
      <c r="L836" s="62"/>
      <c r="M836" s="62"/>
      <c r="N836" s="62"/>
      <c r="O836" s="62"/>
      <c r="P836" s="62"/>
      <c r="Q836" s="62"/>
      <c r="R836" s="62"/>
      <c r="S836" s="62"/>
      <c r="T836" s="10">
        <f t="shared" si="1"/>
        <v>0</v>
      </c>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row>
    <row r="837">
      <c r="A837" s="62"/>
      <c r="B837" s="63"/>
      <c r="C837" s="62"/>
      <c r="D837" s="62"/>
      <c r="E837" s="62"/>
      <c r="F837" s="62"/>
      <c r="G837" s="62"/>
      <c r="H837" s="62"/>
      <c r="I837" s="62"/>
      <c r="J837" s="62"/>
      <c r="K837" s="62"/>
      <c r="L837" s="62"/>
      <c r="M837" s="62"/>
      <c r="N837" s="62"/>
      <c r="O837" s="62"/>
      <c r="P837" s="62"/>
      <c r="Q837" s="62"/>
      <c r="R837" s="62"/>
      <c r="S837" s="62"/>
      <c r="T837" s="10">
        <f t="shared" si="1"/>
        <v>0</v>
      </c>
      <c r="U837" s="62"/>
      <c r="V837" s="62"/>
      <c r="W837" s="62"/>
      <c r="X837" s="62"/>
      <c r="Y837" s="62"/>
      <c r="Z837" s="62"/>
      <c r="AA837" s="62"/>
      <c r="AB837" s="62"/>
      <c r="AC837" s="62"/>
      <c r="AD837" s="62"/>
      <c r="AE837" s="62"/>
      <c r="AF837" s="62"/>
      <c r="AG837" s="62"/>
      <c r="AH837" s="62"/>
      <c r="AI837" s="62"/>
      <c r="AJ837" s="62"/>
      <c r="AK837" s="62"/>
      <c r="AL837" s="62"/>
      <c r="AM837" s="62"/>
      <c r="AN837" s="62"/>
      <c r="AO837" s="62"/>
      <c r="AP837" s="62"/>
      <c r="AQ837" s="62"/>
    </row>
    <row r="838">
      <c r="A838" s="62"/>
      <c r="B838" s="63"/>
      <c r="C838" s="62"/>
      <c r="D838" s="62"/>
      <c r="E838" s="62"/>
      <c r="F838" s="62"/>
      <c r="G838" s="62"/>
      <c r="H838" s="62"/>
      <c r="I838" s="62"/>
      <c r="J838" s="62"/>
      <c r="K838" s="62"/>
      <c r="L838" s="62"/>
      <c r="M838" s="62"/>
      <c r="N838" s="62"/>
      <c r="O838" s="62"/>
      <c r="P838" s="62"/>
      <c r="Q838" s="62"/>
      <c r="R838" s="62"/>
      <c r="S838" s="62"/>
      <c r="T838" s="10">
        <f t="shared" si="1"/>
        <v>0</v>
      </c>
      <c r="U838" s="62"/>
      <c r="V838" s="62"/>
      <c r="W838" s="62"/>
      <c r="X838" s="62"/>
      <c r="Y838" s="62"/>
      <c r="Z838" s="62"/>
      <c r="AA838" s="62"/>
      <c r="AB838" s="62"/>
      <c r="AC838" s="62"/>
      <c r="AD838" s="62"/>
      <c r="AE838" s="62"/>
      <c r="AF838" s="62"/>
      <c r="AG838" s="62"/>
      <c r="AH838" s="62"/>
      <c r="AI838" s="62"/>
      <c r="AJ838" s="62"/>
      <c r="AK838" s="62"/>
      <c r="AL838" s="62"/>
      <c r="AM838" s="62"/>
      <c r="AN838" s="62"/>
      <c r="AO838" s="62"/>
      <c r="AP838" s="62"/>
      <c r="AQ838" s="62"/>
    </row>
    <row r="839">
      <c r="A839" s="62"/>
      <c r="B839" s="63"/>
      <c r="C839" s="62"/>
      <c r="D839" s="62"/>
      <c r="E839" s="62"/>
      <c r="F839" s="62"/>
      <c r="G839" s="62"/>
      <c r="H839" s="62"/>
      <c r="I839" s="62"/>
      <c r="J839" s="62"/>
      <c r="K839" s="62"/>
      <c r="L839" s="62"/>
      <c r="M839" s="62"/>
      <c r="N839" s="62"/>
      <c r="O839" s="62"/>
      <c r="P839" s="62"/>
      <c r="Q839" s="62"/>
      <c r="R839" s="62"/>
      <c r="S839" s="62"/>
      <c r="T839" s="10">
        <f t="shared" si="1"/>
        <v>0</v>
      </c>
      <c r="U839" s="62"/>
      <c r="V839" s="62"/>
      <c r="W839" s="62"/>
      <c r="X839" s="62"/>
      <c r="Y839" s="62"/>
      <c r="Z839" s="62"/>
      <c r="AA839" s="62"/>
      <c r="AB839" s="62"/>
      <c r="AC839" s="62"/>
      <c r="AD839" s="62"/>
      <c r="AE839" s="62"/>
      <c r="AF839" s="62"/>
      <c r="AG839" s="62"/>
      <c r="AH839" s="62"/>
      <c r="AI839" s="62"/>
      <c r="AJ839" s="62"/>
      <c r="AK839" s="62"/>
      <c r="AL839" s="62"/>
      <c r="AM839" s="62"/>
      <c r="AN839" s="62"/>
      <c r="AO839" s="62"/>
      <c r="AP839" s="62"/>
      <c r="AQ839" s="62"/>
    </row>
    <row r="840">
      <c r="A840" s="62"/>
      <c r="B840" s="63"/>
      <c r="C840" s="62"/>
      <c r="D840" s="62"/>
      <c r="E840" s="62"/>
      <c r="F840" s="62"/>
      <c r="G840" s="62"/>
      <c r="H840" s="62"/>
      <c r="I840" s="62"/>
      <c r="J840" s="62"/>
      <c r="K840" s="62"/>
      <c r="L840" s="62"/>
      <c r="M840" s="62"/>
      <c r="N840" s="62"/>
      <c r="O840" s="62"/>
      <c r="P840" s="62"/>
      <c r="Q840" s="62"/>
      <c r="R840" s="62"/>
      <c r="S840" s="62"/>
      <c r="T840" s="10">
        <f t="shared" si="1"/>
        <v>0</v>
      </c>
      <c r="U840" s="62"/>
      <c r="V840" s="62"/>
      <c r="W840" s="62"/>
      <c r="X840" s="62"/>
      <c r="Y840" s="62"/>
      <c r="Z840" s="62"/>
      <c r="AA840" s="62"/>
      <c r="AB840" s="62"/>
      <c r="AC840" s="62"/>
      <c r="AD840" s="62"/>
      <c r="AE840" s="62"/>
      <c r="AF840" s="62"/>
      <c r="AG840" s="62"/>
      <c r="AH840" s="62"/>
      <c r="AI840" s="62"/>
      <c r="AJ840" s="62"/>
      <c r="AK840" s="62"/>
      <c r="AL840" s="62"/>
      <c r="AM840" s="62"/>
      <c r="AN840" s="62"/>
      <c r="AO840" s="62"/>
      <c r="AP840" s="62"/>
      <c r="AQ840" s="62"/>
    </row>
    <row r="841">
      <c r="A841" s="62"/>
      <c r="B841" s="63"/>
      <c r="C841" s="62"/>
      <c r="D841" s="62"/>
      <c r="E841" s="62"/>
      <c r="F841" s="62"/>
      <c r="G841" s="62"/>
      <c r="H841" s="62"/>
      <c r="I841" s="62"/>
      <c r="J841" s="62"/>
      <c r="K841" s="62"/>
      <c r="L841" s="62"/>
      <c r="M841" s="62"/>
      <c r="N841" s="62"/>
      <c r="O841" s="62"/>
      <c r="P841" s="62"/>
      <c r="Q841" s="62"/>
      <c r="R841" s="62"/>
      <c r="S841" s="62"/>
      <c r="T841" s="10">
        <f t="shared" si="1"/>
        <v>0</v>
      </c>
      <c r="U841" s="62"/>
      <c r="V841" s="62"/>
      <c r="W841" s="62"/>
      <c r="X841" s="62"/>
      <c r="Y841" s="62"/>
      <c r="Z841" s="62"/>
      <c r="AA841" s="62"/>
      <c r="AB841" s="62"/>
      <c r="AC841" s="62"/>
      <c r="AD841" s="62"/>
      <c r="AE841" s="62"/>
      <c r="AF841" s="62"/>
      <c r="AG841" s="62"/>
      <c r="AH841" s="62"/>
      <c r="AI841" s="62"/>
      <c r="AJ841" s="62"/>
      <c r="AK841" s="62"/>
      <c r="AL841" s="62"/>
      <c r="AM841" s="62"/>
      <c r="AN841" s="62"/>
      <c r="AO841" s="62"/>
      <c r="AP841" s="62"/>
      <c r="AQ841" s="62"/>
    </row>
    <row r="842">
      <c r="A842" s="62"/>
      <c r="B842" s="63"/>
      <c r="C842" s="62"/>
      <c r="D842" s="62"/>
      <c r="E842" s="62"/>
      <c r="F842" s="62"/>
      <c r="G842" s="62"/>
      <c r="H842" s="62"/>
      <c r="I842" s="62"/>
      <c r="J842" s="62"/>
      <c r="K842" s="62"/>
      <c r="L842" s="62"/>
      <c r="M842" s="62"/>
      <c r="N842" s="62"/>
      <c r="O842" s="62"/>
      <c r="P842" s="62"/>
      <c r="Q842" s="62"/>
      <c r="R842" s="62"/>
      <c r="S842" s="62"/>
      <c r="T842" s="10">
        <f t="shared" si="1"/>
        <v>0</v>
      </c>
      <c r="U842" s="62"/>
      <c r="V842" s="62"/>
      <c r="W842" s="62"/>
      <c r="X842" s="62"/>
      <c r="Y842" s="62"/>
      <c r="Z842" s="62"/>
      <c r="AA842" s="62"/>
      <c r="AB842" s="62"/>
      <c r="AC842" s="62"/>
      <c r="AD842" s="62"/>
      <c r="AE842" s="62"/>
      <c r="AF842" s="62"/>
      <c r="AG842" s="62"/>
      <c r="AH842" s="62"/>
      <c r="AI842" s="62"/>
      <c r="AJ842" s="62"/>
      <c r="AK842" s="62"/>
      <c r="AL842" s="62"/>
      <c r="AM842" s="62"/>
      <c r="AN842" s="62"/>
      <c r="AO842" s="62"/>
      <c r="AP842" s="62"/>
      <c r="AQ842" s="62"/>
    </row>
    <row r="843">
      <c r="A843" s="62"/>
      <c r="B843" s="63"/>
      <c r="C843" s="62"/>
      <c r="D843" s="62"/>
      <c r="E843" s="62"/>
      <c r="F843" s="62"/>
      <c r="G843" s="62"/>
      <c r="H843" s="62"/>
      <c r="I843" s="62"/>
      <c r="J843" s="62"/>
      <c r="K843" s="62"/>
      <c r="L843" s="62"/>
      <c r="M843" s="62"/>
      <c r="N843" s="62"/>
      <c r="O843" s="62"/>
      <c r="P843" s="62"/>
      <c r="Q843" s="62"/>
      <c r="R843" s="62"/>
      <c r="S843" s="62"/>
      <c r="T843" s="10">
        <f t="shared" si="1"/>
        <v>0</v>
      </c>
      <c r="U843" s="62"/>
      <c r="V843" s="62"/>
      <c r="W843" s="62"/>
      <c r="X843" s="62"/>
      <c r="Y843" s="62"/>
      <c r="Z843" s="62"/>
      <c r="AA843" s="62"/>
      <c r="AB843" s="62"/>
      <c r="AC843" s="62"/>
      <c r="AD843" s="62"/>
      <c r="AE843" s="62"/>
      <c r="AF843" s="62"/>
      <c r="AG843" s="62"/>
      <c r="AH843" s="62"/>
      <c r="AI843" s="62"/>
      <c r="AJ843" s="62"/>
      <c r="AK843" s="62"/>
      <c r="AL843" s="62"/>
      <c r="AM843" s="62"/>
      <c r="AN843" s="62"/>
      <c r="AO843" s="62"/>
      <c r="AP843" s="62"/>
      <c r="AQ843" s="62"/>
    </row>
    <row r="844">
      <c r="A844" s="62"/>
      <c r="B844" s="63"/>
      <c r="C844" s="62"/>
      <c r="D844" s="62"/>
      <c r="E844" s="62"/>
      <c r="F844" s="62"/>
      <c r="G844" s="62"/>
      <c r="H844" s="62"/>
      <c r="I844" s="62"/>
      <c r="J844" s="62"/>
      <c r="K844" s="62"/>
      <c r="L844" s="62"/>
      <c r="M844" s="62"/>
      <c r="N844" s="62"/>
      <c r="O844" s="62"/>
      <c r="P844" s="62"/>
      <c r="Q844" s="62"/>
      <c r="R844" s="62"/>
      <c r="S844" s="62"/>
      <c r="T844" s="10">
        <f t="shared" si="1"/>
        <v>0</v>
      </c>
      <c r="U844" s="62"/>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row>
    <row r="845">
      <c r="A845" s="62"/>
      <c r="B845" s="63"/>
      <c r="C845" s="62"/>
      <c r="D845" s="62"/>
      <c r="E845" s="62"/>
      <c r="F845" s="62"/>
      <c r="G845" s="62"/>
      <c r="H845" s="62"/>
      <c r="I845" s="62"/>
      <c r="J845" s="62"/>
      <c r="K845" s="62"/>
      <c r="L845" s="62"/>
      <c r="M845" s="62"/>
      <c r="N845" s="62"/>
      <c r="O845" s="62"/>
      <c r="P845" s="62"/>
      <c r="Q845" s="62"/>
      <c r="R845" s="62"/>
      <c r="S845" s="62"/>
      <c r="T845" s="10">
        <f t="shared" si="1"/>
        <v>0</v>
      </c>
      <c r="U845" s="62"/>
      <c r="V845" s="62"/>
      <c r="W845" s="62"/>
      <c r="X845" s="62"/>
      <c r="Y845" s="62"/>
      <c r="Z845" s="62"/>
      <c r="AA845" s="62"/>
      <c r="AB845" s="62"/>
      <c r="AC845" s="62"/>
      <c r="AD845" s="62"/>
      <c r="AE845" s="62"/>
      <c r="AF845" s="62"/>
      <c r="AG845" s="62"/>
      <c r="AH845" s="62"/>
      <c r="AI845" s="62"/>
      <c r="AJ845" s="62"/>
      <c r="AK845" s="62"/>
      <c r="AL845" s="62"/>
      <c r="AM845" s="62"/>
      <c r="AN845" s="62"/>
      <c r="AO845" s="62"/>
      <c r="AP845" s="62"/>
      <c r="AQ845" s="62"/>
    </row>
    <row r="846">
      <c r="A846" s="62"/>
      <c r="B846" s="63"/>
      <c r="C846" s="62"/>
      <c r="D846" s="62"/>
      <c r="E846" s="62"/>
      <c r="F846" s="62"/>
      <c r="G846" s="62"/>
      <c r="H846" s="62"/>
      <c r="I846" s="62"/>
      <c r="J846" s="62"/>
      <c r="K846" s="62"/>
      <c r="L846" s="62"/>
      <c r="M846" s="62"/>
      <c r="N846" s="62"/>
      <c r="O846" s="62"/>
      <c r="P846" s="62"/>
      <c r="Q846" s="62"/>
      <c r="R846" s="62"/>
      <c r="S846" s="62"/>
      <c r="T846" s="10">
        <f t="shared" si="1"/>
        <v>0</v>
      </c>
      <c r="U846" s="62"/>
      <c r="V846" s="62"/>
      <c r="W846" s="62"/>
      <c r="X846" s="62"/>
      <c r="Y846" s="62"/>
      <c r="Z846" s="62"/>
      <c r="AA846" s="62"/>
      <c r="AB846" s="62"/>
      <c r="AC846" s="62"/>
      <c r="AD846" s="62"/>
      <c r="AE846" s="62"/>
      <c r="AF846" s="62"/>
      <c r="AG846" s="62"/>
      <c r="AH846" s="62"/>
      <c r="AI846" s="62"/>
      <c r="AJ846" s="62"/>
      <c r="AK846" s="62"/>
      <c r="AL846" s="62"/>
      <c r="AM846" s="62"/>
      <c r="AN846" s="62"/>
      <c r="AO846" s="62"/>
      <c r="AP846" s="62"/>
      <c r="AQ846" s="62"/>
    </row>
    <row r="847">
      <c r="A847" s="62"/>
      <c r="B847" s="63"/>
      <c r="C847" s="62"/>
      <c r="D847" s="62"/>
      <c r="E847" s="62"/>
      <c r="F847" s="62"/>
      <c r="G847" s="62"/>
      <c r="H847" s="62"/>
      <c r="I847" s="62"/>
      <c r="J847" s="62"/>
      <c r="K847" s="62"/>
      <c r="L847" s="62"/>
      <c r="M847" s="62"/>
      <c r="N847" s="62"/>
      <c r="O847" s="62"/>
      <c r="P847" s="62"/>
      <c r="Q847" s="62"/>
      <c r="R847" s="62"/>
      <c r="S847" s="62"/>
      <c r="T847" s="10">
        <f t="shared" si="1"/>
        <v>0</v>
      </c>
      <c r="U847" s="62"/>
      <c r="V847" s="62"/>
      <c r="W847" s="62"/>
      <c r="X847" s="62"/>
      <c r="Y847" s="62"/>
      <c r="Z847" s="62"/>
      <c r="AA847" s="62"/>
      <c r="AB847" s="62"/>
      <c r="AC847" s="62"/>
      <c r="AD847" s="62"/>
      <c r="AE847" s="62"/>
      <c r="AF847" s="62"/>
      <c r="AG847" s="62"/>
      <c r="AH847" s="62"/>
      <c r="AI847" s="62"/>
      <c r="AJ847" s="62"/>
      <c r="AK847" s="62"/>
      <c r="AL847" s="62"/>
      <c r="AM847" s="62"/>
      <c r="AN847" s="62"/>
      <c r="AO847" s="62"/>
      <c r="AP847" s="62"/>
      <c r="AQ847" s="62"/>
    </row>
    <row r="848">
      <c r="A848" s="62"/>
      <c r="B848" s="63"/>
      <c r="C848" s="62"/>
      <c r="D848" s="62"/>
      <c r="E848" s="62"/>
      <c r="F848" s="62"/>
      <c r="G848" s="62"/>
      <c r="H848" s="62"/>
      <c r="I848" s="62"/>
      <c r="J848" s="62"/>
      <c r="K848" s="62"/>
      <c r="L848" s="62"/>
      <c r="M848" s="62"/>
      <c r="N848" s="62"/>
      <c r="O848" s="62"/>
      <c r="P848" s="62"/>
      <c r="Q848" s="62"/>
      <c r="R848" s="62"/>
      <c r="S848" s="62"/>
      <c r="T848" s="10">
        <f t="shared" si="1"/>
        <v>0</v>
      </c>
      <c r="U848" s="62"/>
      <c r="V848" s="62"/>
      <c r="W848" s="62"/>
      <c r="X848" s="62"/>
      <c r="Y848" s="62"/>
      <c r="Z848" s="62"/>
      <c r="AA848" s="62"/>
      <c r="AB848" s="62"/>
      <c r="AC848" s="62"/>
      <c r="AD848" s="62"/>
      <c r="AE848" s="62"/>
      <c r="AF848" s="62"/>
      <c r="AG848" s="62"/>
      <c r="AH848" s="62"/>
      <c r="AI848" s="62"/>
      <c r="AJ848" s="62"/>
      <c r="AK848" s="62"/>
      <c r="AL848" s="62"/>
      <c r="AM848" s="62"/>
      <c r="AN848" s="62"/>
      <c r="AO848" s="62"/>
      <c r="AP848" s="62"/>
      <c r="AQ848" s="62"/>
    </row>
    <row r="849">
      <c r="A849" s="62"/>
      <c r="B849" s="63"/>
      <c r="C849" s="62"/>
      <c r="D849" s="62"/>
      <c r="E849" s="62"/>
      <c r="F849" s="62"/>
      <c r="G849" s="62"/>
      <c r="H849" s="62"/>
      <c r="I849" s="62"/>
      <c r="J849" s="62"/>
      <c r="K849" s="62"/>
      <c r="L849" s="62"/>
      <c r="M849" s="62"/>
      <c r="N849" s="62"/>
      <c r="O849" s="62"/>
      <c r="P849" s="62"/>
      <c r="Q849" s="62"/>
      <c r="R849" s="62"/>
      <c r="S849" s="62"/>
      <c r="T849" s="10">
        <f t="shared" si="1"/>
        <v>0</v>
      </c>
      <c r="U849" s="62"/>
      <c r="V849" s="62"/>
      <c r="W849" s="62"/>
      <c r="X849" s="62"/>
      <c r="Y849" s="62"/>
      <c r="Z849" s="62"/>
      <c r="AA849" s="62"/>
      <c r="AB849" s="62"/>
      <c r="AC849" s="62"/>
      <c r="AD849" s="62"/>
      <c r="AE849" s="62"/>
      <c r="AF849" s="62"/>
      <c r="AG849" s="62"/>
      <c r="AH849" s="62"/>
      <c r="AI849" s="62"/>
      <c r="AJ849" s="62"/>
      <c r="AK849" s="62"/>
      <c r="AL849" s="62"/>
      <c r="AM849" s="62"/>
      <c r="AN849" s="62"/>
      <c r="AO849" s="62"/>
      <c r="AP849" s="62"/>
      <c r="AQ849" s="62"/>
    </row>
    <row r="850">
      <c r="A850" s="62"/>
      <c r="B850" s="63"/>
      <c r="C850" s="62"/>
      <c r="D850" s="62"/>
      <c r="E850" s="62"/>
      <c r="F850" s="62"/>
      <c r="G850" s="62"/>
      <c r="H850" s="62"/>
      <c r="I850" s="62"/>
      <c r="J850" s="62"/>
      <c r="K850" s="62"/>
      <c r="L850" s="62"/>
      <c r="M850" s="62"/>
      <c r="N850" s="62"/>
      <c r="O850" s="62"/>
      <c r="P850" s="62"/>
      <c r="Q850" s="62"/>
      <c r="R850" s="62"/>
      <c r="S850" s="62"/>
      <c r="T850" s="10">
        <f t="shared" si="1"/>
        <v>0</v>
      </c>
      <c r="U850" s="62"/>
      <c r="V850" s="62"/>
      <c r="W850" s="62"/>
      <c r="X850" s="62"/>
      <c r="Y850" s="62"/>
      <c r="Z850" s="62"/>
      <c r="AA850" s="62"/>
      <c r="AB850" s="62"/>
      <c r="AC850" s="62"/>
      <c r="AD850" s="62"/>
      <c r="AE850" s="62"/>
      <c r="AF850" s="62"/>
      <c r="AG850" s="62"/>
      <c r="AH850" s="62"/>
      <c r="AI850" s="62"/>
      <c r="AJ850" s="62"/>
      <c r="AK850" s="62"/>
      <c r="AL850" s="62"/>
      <c r="AM850" s="62"/>
      <c r="AN850" s="62"/>
      <c r="AO850" s="62"/>
      <c r="AP850" s="62"/>
      <c r="AQ850" s="62"/>
    </row>
    <row r="851">
      <c r="A851" s="62"/>
      <c r="B851" s="63"/>
      <c r="C851" s="62"/>
      <c r="D851" s="62"/>
      <c r="E851" s="62"/>
      <c r="F851" s="62"/>
      <c r="G851" s="62"/>
      <c r="H851" s="62"/>
      <c r="I851" s="62"/>
      <c r="J851" s="62"/>
      <c r="K851" s="62"/>
      <c r="L851" s="62"/>
      <c r="M851" s="62"/>
      <c r="N851" s="62"/>
      <c r="O851" s="62"/>
      <c r="P851" s="62"/>
      <c r="Q851" s="62"/>
      <c r="R851" s="62"/>
      <c r="S851" s="62"/>
      <c r="T851" s="10">
        <f t="shared" si="1"/>
        <v>0</v>
      </c>
      <c r="U851" s="62"/>
      <c r="V851" s="62"/>
      <c r="W851" s="62"/>
      <c r="X851" s="62"/>
      <c r="Y851" s="62"/>
      <c r="Z851" s="62"/>
      <c r="AA851" s="62"/>
      <c r="AB851" s="62"/>
      <c r="AC851" s="62"/>
      <c r="AD851" s="62"/>
      <c r="AE851" s="62"/>
      <c r="AF851" s="62"/>
      <c r="AG851" s="62"/>
      <c r="AH851" s="62"/>
      <c r="AI851" s="62"/>
      <c r="AJ851" s="62"/>
      <c r="AK851" s="62"/>
      <c r="AL851" s="62"/>
      <c r="AM851" s="62"/>
      <c r="AN851" s="62"/>
      <c r="AO851" s="62"/>
      <c r="AP851" s="62"/>
      <c r="AQ851" s="62"/>
    </row>
    <row r="852">
      <c r="A852" s="62"/>
      <c r="B852" s="63"/>
      <c r="C852" s="62"/>
      <c r="D852" s="62"/>
      <c r="E852" s="62"/>
      <c r="F852" s="62"/>
      <c r="G852" s="62"/>
      <c r="H852" s="62"/>
      <c r="I852" s="62"/>
      <c r="J852" s="62"/>
      <c r="K852" s="62"/>
      <c r="L852" s="62"/>
      <c r="M852" s="62"/>
      <c r="N852" s="62"/>
      <c r="O852" s="62"/>
      <c r="P852" s="62"/>
      <c r="Q852" s="62"/>
      <c r="R852" s="62"/>
      <c r="S852" s="62"/>
      <c r="T852" s="10">
        <f t="shared" si="1"/>
        <v>0</v>
      </c>
      <c r="U852" s="62"/>
      <c r="V852" s="62"/>
      <c r="W852" s="62"/>
      <c r="X852" s="62"/>
      <c r="Y852" s="62"/>
      <c r="Z852" s="62"/>
      <c r="AA852" s="62"/>
      <c r="AB852" s="62"/>
      <c r="AC852" s="62"/>
      <c r="AD852" s="62"/>
      <c r="AE852" s="62"/>
      <c r="AF852" s="62"/>
      <c r="AG852" s="62"/>
      <c r="AH852" s="62"/>
      <c r="AI852" s="62"/>
      <c r="AJ852" s="62"/>
      <c r="AK852" s="62"/>
      <c r="AL852" s="62"/>
      <c r="AM852" s="62"/>
      <c r="AN852" s="62"/>
      <c r="AO852" s="62"/>
      <c r="AP852" s="62"/>
      <c r="AQ852" s="62"/>
    </row>
    <row r="853">
      <c r="A853" s="62"/>
      <c r="B853" s="63"/>
      <c r="C853" s="62"/>
      <c r="D853" s="62"/>
      <c r="E853" s="62"/>
      <c r="F853" s="62"/>
      <c r="G853" s="62"/>
      <c r="H853" s="62"/>
      <c r="I853" s="62"/>
      <c r="J853" s="62"/>
      <c r="K853" s="62"/>
      <c r="L853" s="62"/>
      <c r="M853" s="62"/>
      <c r="N853" s="62"/>
      <c r="O853" s="62"/>
      <c r="P853" s="62"/>
      <c r="Q853" s="62"/>
      <c r="R853" s="62"/>
      <c r="S853" s="62"/>
      <c r="T853" s="10">
        <f t="shared" si="1"/>
        <v>0</v>
      </c>
      <c r="U853" s="62"/>
      <c r="V853" s="62"/>
      <c r="W853" s="62"/>
      <c r="X853" s="62"/>
      <c r="Y853" s="62"/>
      <c r="Z853" s="62"/>
      <c r="AA853" s="62"/>
      <c r="AB853" s="62"/>
      <c r="AC853" s="62"/>
      <c r="AD853" s="62"/>
      <c r="AE853" s="62"/>
      <c r="AF853" s="62"/>
      <c r="AG853" s="62"/>
      <c r="AH853" s="62"/>
      <c r="AI853" s="62"/>
      <c r="AJ853" s="62"/>
      <c r="AK853" s="62"/>
      <c r="AL853" s="62"/>
      <c r="AM853" s="62"/>
      <c r="AN853" s="62"/>
      <c r="AO853" s="62"/>
      <c r="AP853" s="62"/>
      <c r="AQ853" s="62"/>
    </row>
    <row r="854">
      <c r="A854" s="62"/>
      <c r="B854" s="63"/>
      <c r="C854" s="62"/>
      <c r="D854" s="62"/>
      <c r="E854" s="62"/>
      <c r="F854" s="62"/>
      <c r="G854" s="62"/>
      <c r="H854" s="62"/>
      <c r="I854" s="62"/>
      <c r="J854" s="62"/>
      <c r="K854" s="62"/>
      <c r="L854" s="62"/>
      <c r="M854" s="62"/>
      <c r="N854" s="62"/>
      <c r="O854" s="62"/>
      <c r="P854" s="62"/>
      <c r="Q854" s="62"/>
      <c r="R854" s="62"/>
      <c r="S854" s="62"/>
      <c r="T854" s="10">
        <f t="shared" si="1"/>
        <v>0</v>
      </c>
      <c r="U854" s="62"/>
      <c r="V854" s="62"/>
      <c r="W854" s="62"/>
      <c r="X854" s="62"/>
      <c r="Y854" s="62"/>
      <c r="Z854" s="62"/>
      <c r="AA854" s="62"/>
      <c r="AB854" s="62"/>
      <c r="AC854" s="62"/>
      <c r="AD854" s="62"/>
      <c r="AE854" s="62"/>
      <c r="AF854" s="62"/>
      <c r="AG854" s="62"/>
      <c r="AH854" s="62"/>
      <c r="AI854" s="62"/>
      <c r="AJ854" s="62"/>
      <c r="AK854" s="62"/>
      <c r="AL854" s="62"/>
      <c r="AM854" s="62"/>
      <c r="AN854" s="62"/>
      <c r="AO854" s="62"/>
      <c r="AP854" s="62"/>
      <c r="AQ854" s="62"/>
    </row>
    <row r="855">
      <c r="A855" s="62"/>
      <c r="B855" s="63"/>
      <c r="C855" s="62"/>
      <c r="D855" s="62"/>
      <c r="E855" s="62"/>
      <c r="F855" s="62"/>
      <c r="G855" s="62"/>
      <c r="H855" s="62"/>
      <c r="I855" s="62"/>
      <c r="J855" s="62"/>
      <c r="K855" s="62"/>
      <c r="L855" s="62"/>
      <c r="M855" s="62"/>
      <c r="N855" s="62"/>
      <c r="O855" s="62"/>
      <c r="P855" s="62"/>
      <c r="Q855" s="62"/>
      <c r="R855" s="62"/>
      <c r="S855" s="62"/>
      <c r="T855" s="10">
        <f t="shared" si="1"/>
        <v>0</v>
      </c>
      <c r="U855" s="62"/>
      <c r="V855" s="62"/>
      <c r="W855" s="62"/>
      <c r="X855" s="62"/>
      <c r="Y855" s="62"/>
      <c r="Z855" s="62"/>
      <c r="AA855" s="62"/>
      <c r="AB855" s="62"/>
      <c r="AC855" s="62"/>
      <c r="AD855" s="62"/>
      <c r="AE855" s="62"/>
      <c r="AF855" s="62"/>
      <c r="AG855" s="62"/>
      <c r="AH855" s="62"/>
      <c r="AI855" s="62"/>
      <c r="AJ855" s="62"/>
      <c r="AK855" s="62"/>
      <c r="AL855" s="62"/>
      <c r="AM855" s="62"/>
      <c r="AN855" s="62"/>
      <c r="AO855" s="62"/>
      <c r="AP855" s="62"/>
      <c r="AQ855" s="62"/>
    </row>
    <row r="856">
      <c r="A856" s="62"/>
      <c r="B856" s="63"/>
      <c r="C856" s="62"/>
      <c r="D856" s="62"/>
      <c r="E856" s="62"/>
      <c r="F856" s="62"/>
      <c r="G856" s="62"/>
      <c r="H856" s="62"/>
      <c r="I856" s="62"/>
      <c r="J856" s="62"/>
      <c r="K856" s="62"/>
      <c r="L856" s="62"/>
      <c r="M856" s="62"/>
      <c r="N856" s="62"/>
      <c r="O856" s="62"/>
      <c r="P856" s="62"/>
      <c r="Q856" s="62"/>
      <c r="R856" s="62"/>
      <c r="S856" s="62"/>
      <c r="T856" s="10">
        <f t="shared" si="1"/>
        <v>0</v>
      </c>
      <c r="U856" s="62"/>
      <c r="V856" s="62"/>
      <c r="W856" s="62"/>
      <c r="X856" s="62"/>
      <c r="Y856" s="62"/>
      <c r="Z856" s="62"/>
      <c r="AA856" s="62"/>
      <c r="AB856" s="62"/>
      <c r="AC856" s="62"/>
      <c r="AD856" s="62"/>
      <c r="AE856" s="62"/>
      <c r="AF856" s="62"/>
      <c r="AG856" s="62"/>
      <c r="AH856" s="62"/>
      <c r="AI856" s="62"/>
      <c r="AJ856" s="62"/>
      <c r="AK856" s="62"/>
      <c r="AL856" s="62"/>
      <c r="AM856" s="62"/>
      <c r="AN856" s="62"/>
      <c r="AO856" s="62"/>
      <c r="AP856" s="62"/>
      <c r="AQ856" s="62"/>
    </row>
    <row r="857">
      <c r="A857" s="62"/>
      <c r="B857" s="63"/>
      <c r="C857" s="62"/>
      <c r="D857" s="62"/>
      <c r="E857" s="62"/>
      <c r="F857" s="62"/>
      <c r="G857" s="62"/>
      <c r="H857" s="62"/>
      <c r="I857" s="62"/>
      <c r="J857" s="62"/>
      <c r="K857" s="62"/>
      <c r="L857" s="62"/>
      <c r="M857" s="62"/>
      <c r="N857" s="62"/>
      <c r="O857" s="62"/>
      <c r="P857" s="62"/>
      <c r="Q857" s="62"/>
      <c r="R857" s="62"/>
      <c r="S857" s="62"/>
      <c r="T857" s="10">
        <f t="shared" si="1"/>
        <v>0</v>
      </c>
      <c r="U857" s="62"/>
      <c r="V857" s="62"/>
      <c r="W857" s="62"/>
      <c r="X857" s="62"/>
      <c r="Y857" s="62"/>
      <c r="Z857" s="62"/>
      <c r="AA857" s="62"/>
      <c r="AB857" s="62"/>
      <c r="AC857" s="62"/>
      <c r="AD857" s="62"/>
      <c r="AE857" s="62"/>
      <c r="AF857" s="62"/>
      <c r="AG857" s="62"/>
      <c r="AH857" s="62"/>
      <c r="AI857" s="62"/>
      <c r="AJ857" s="62"/>
      <c r="AK857" s="62"/>
      <c r="AL857" s="62"/>
      <c r="AM857" s="62"/>
      <c r="AN857" s="62"/>
      <c r="AO857" s="62"/>
      <c r="AP857" s="62"/>
      <c r="AQ857" s="62"/>
    </row>
    <row r="858">
      <c r="A858" s="62"/>
      <c r="B858" s="63"/>
      <c r="C858" s="62"/>
      <c r="D858" s="62"/>
      <c r="E858" s="62"/>
      <c r="F858" s="62"/>
      <c r="G858" s="62"/>
      <c r="H858" s="62"/>
      <c r="I858" s="62"/>
      <c r="J858" s="62"/>
      <c r="K858" s="62"/>
      <c r="L858" s="62"/>
      <c r="M858" s="62"/>
      <c r="N858" s="62"/>
      <c r="O858" s="62"/>
      <c r="P858" s="62"/>
      <c r="Q858" s="62"/>
      <c r="R858" s="62"/>
      <c r="S858" s="62"/>
      <c r="T858" s="10">
        <f t="shared" si="1"/>
        <v>0</v>
      </c>
      <c r="U858" s="62"/>
      <c r="V858" s="62"/>
      <c r="W858" s="62"/>
      <c r="X858" s="62"/>
      <c r="Y858" s="62"/>
      <c r="Z858" s="62"/>
      <c r="AA858" s="62"/>
      <c r="AB858" s="62"/>
      <c r="AC858" s="62"/>
      <c r="AD858" s="62"/>
      <c r="AE858" s="62"/>
      <c r="AF858" s="62"/>
      <c r="AG858" s="62"/>
      <c r="AH858" s="62"/>
      <c r="AI858" s="62"/>
      <c r="AJ858" s="62"/>
      <c r="AK858" s="62"/>
      <c r="AL858" s="62"/>
      <c r="AM858" s="62"/>
      <c r="AN858" s="62"/>
      <c r="AO858" s="62"/>
      <c r="AP858" s="62"/>
      <c r="AQ858" s="62"/>
    </row>
    <row r="859">
      <c r="A859" s="62"/>
      <c r="B859" s="63"/>
      <c r="C859" s="62"/>
      <c r="D859" s="62"/>
      <c r="E859" s="62"/>
      <c r="F859" s="62"/>
      <c r="G859" s="62"/>
      <c r="H859" s="62"/>
      <c r="I859" s="62"/>
      <c r="J859" s="62"/>
      <c r="K859" s="62"/>
      <c r="L859" s="62"/>
      <c r="M859" s="62"/>
      <c r="N859" s="62"/>
      <c r="O859" s="62"/>
      <c r="P859" s="62"/>
      <c r="Q859" s="62"/>
      <c r="R859" s="62"/>
      <c r="S859" s="62"/>
      <c r="T859" s="10">
        <f t="shared" si="1"/>
        <v>0</v>
      </c>
      <c r="U859" s="62"/>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row>
    <row r="860">
      <c r="A860" s="62"/>
      <c r="B860" s="63"/>
      <c r="C860" s="62"/>
      <c r="D860" s="62"/>
      <c r="E860" s="62"/>
      <c r="F860" s="62"/>
      <c r="G860" s="62"/>
      <c r="H860" s="62"/>
      <c r="I860" s="62"/>
      <c r="J860" s="62"/>
      <c r="K860" s="62"/>
      <c r="L860" s="62"/>
      <c r="M860" s="62"/>
      <c r="N860" s="62"/>
      <c r="O860" s="62"/>
      <c r="P860" s="62"/>
      <c r="Q860" s="62"/>
      <c r="R860" s="62"/>
      <c r="S860" s="62"/>
      <c r="T860" s="10">
        <f t="shared" si="1"/>
        <v>0</v>
      </c>
      <c r="U860" s="62"/>
      <c r="V860" s="62"/>
      <c r="W860" s="62"/>
      <c r="X860" s="62"/>
      <c r="Y860" s="62"/>
      <c r="Z860" s="62"/>
      <c r="AA860" s="62"/>
      <c r="AB860" s="62"/>
      <c r="AC860" s="62"/>
      <c r="AD860" s="62"/>
      <c r="AE860" s="62"/>
      <c r="AF860" s="62"/>
      <c r="AG860" s="62"/>
      <c r="AH860" s="62"/>
      <c r="AI860" s="62"/>
      <c r="AJ860" s="62"/>
      <c r="AK860" s="62"/>
      <c r="AL860" s="62"/>
      <c r="AM860" s="62"/>
      <c r="AN860" s="62"/>
      <c r="AO860" s="62"/>
      <c r="AP860" s="62"/>
      <c r="AQ860" s="62"/>
    </row>
    <row r="861">
      <c r="A861" s="62"/>
      <c r="B861" s="63"/>
      <c r="C861" s="62"/>
      <c r="D861" s="62"/>
      <c r="E861" s="62"/>
      <c r="F861" s="62"/>
      <c r="G861" s="62"/>
      <c r="H861" s="62"/>
      <c r="I861" s="62"/>
      <c r="J861" s="62"/>
      <c r="K861" s="62"/>
      <c r="L861" s="62"/>
      <c r="M861" s="62"/>
      <c r="N861" s="62"/>
      <c r="O861" s="62"/>
      <c r="P861" s="62"/>
      <c r="Q861" s="62"/>
      <c r="R861" s="62"/>
      <c r="S861" s="62"/>
      <c r="T861" s="10">
        <f t="shared" si="1"/>
        <v>0</v>
      </c>
      <c r="U861" s="62"/>
      <c r="V861" s="62"/>
      <c r="W861" s="62"/>
      <c r="X861" s="62"/>
      <c r="Y861" s="62"/>
      <c r="Z861" s="62"/>
      <c r="AA861" s="62"/>
      <c r="AB861" s="62"/>
      <c r="AC861" s="62"/>
      <c r="AD861" s="62"/>
      <c r="AE861" s="62"/>
      <c r="AF861" s="62"/>
      <c r="AG861" s="62"/>
      <c r="AH861" s="62"/>
      <c r="AI861" s="62"/>
      <c r="AJ861" s="62"/>
      <c r="AK861" s="62"/>
      <c r="AL861" s="62"/>
      <c r="AM861" s="62"/>
      <c r="AN861" s="62"/>
      <c r="AO861" s="62"/>
      <c r="AP861" s="62"/>
      <c r="AQ861" s="62"/>
    </row>
    <row r="862">
      <c r="A862" s="62"/>
      <c r="B862" s="63"/>
      <c r="C862" s="62"/>
      <c r="D862" s="62"/>
      <c r="E862" s="62"/>
      <c r="F862" s="62"/>
      <c r="G862" s="62"/>
      <c r="H862" s="62"/>
      <c r="I862" s="62"/>
      <c r="J862" s="62"/>
      <c r="K862" s="62"/>
      <c r="L862" s="62"/>
      <c r="M862" s="62"/>
      <c r="N862" s="62"/>
      <c r="O862" s="62"/>
      <c r="P862" s="62"/>
      <c r="Q862" s="62"/>
      <c r="R862" s="62"/>
      <c r="S862" s="62"/>
      <c r="T862" s="10">
        <f t="shared" si="1"/>
        <v>0</v>
      </c>
      <c r="U862" s="62"/>
      <c r="V862" s="62"/>
      <c r="W862" s="62"/>
      <c r="X862" s="62"/>
      <c r="Y862" s="62"/>
      <c r="Z862" s="62"/>
      <c r="AA862" s="62"/>
      <c r="AB862" s="62"/>
      <c r="AC862" s="62"/>
      <c r="AD862" s="62"/>
      <c r="AE862" s="62"/>
      <c r="AF862" s="62"/>
      <c r="AG862" s="62"/>
      <c r="AH862" s="62"/>
      <c r="AI862" s="62"/>
      <c r="AJ862" s="62"/>
      <c r="AK862" s="62"/>
      <c r="AL862" s="62"/>
      <c r="AM862" s="62"/>
      <c r="AN862" s="62"/>
      <c r="AO862" s="62"/>
      <c r="AP862" s="62"/>
      <c r="AQ862" s="62"/>
    </row>
    <row r="863">
      <c r="A863" s="62"/>
      <c r="B863" s="63"/>
      <c r="C863" s="62"/>
      <c r="D863" s="62"/>
      <c r="E863" s="62"/>
      <c r="F863" s="62"/>
      <c r="G863" s="62"/>
      <c r="H863" s="62"/>
      <c r="I863" s="62"/>
      <c r="J863" s="62"/>
      <c r="K863" s="62"/>
      <c r="L863" s="62"/>
      <c r="M863" s="62"/>
      <c r="N863" s="62"/>
      <c r="O863" s="62"/>
      <c r="P863" s="62"/>
      <c r="Q863" s="62"/>
      <c r="R863" s="62"/>
      <c r="S863" s="62"/>
      <c r="T863" s="10">
        <f t="shared" si="1"/>
        <v>0</v>
      </c>
      <c r="U863" s="62"/>
      <c r="V863" s="62"/>
      <c r="W863" s="62"/>
      <c r="X863" s="62"/>
      <c r="Y863" s="62"/>
      <c r="Z863" s="62"/>
      <c r="AA863" s="62"/>
      <c r="AB863" s="62"/>
      <c r="AC863" s="62"/>
      <c r="AD863" s="62"/>
      <c r="AE863" s="62"/>
      <c r="AF863" s="62"/>
      <c r="AG863" s="62"/>
      <c r="AH863" s="62"/>
      <c r="AI863" s="62"/>
      <c r="AJ863" s="62"/>
      <c r="AK863" s="62"/>
      <c r="AL863" s="62"/>
      <c r="AM863" s="62"/>
      <c r="AN863" s="62"/>
      <c r="AO863" s="62"/>
      <c r="AP863" s="62"/>
      <c r="AQ863" s="62"/>
    </row>
    <row r="864">
      <c r="A864" s="62"/>
      <c r="B864" s="63"/>
      <c r="C864" s="62"/>
      <c r="D864" s="62"/>
      <c r="E864" s="62"/>
      <c r="F864" s="62"/>
      <c r="G864" s="62"/>
      <c r="H864" s="62"/>
      <c r="I864" s="62"/>
      <c r="J864" s="62"/>
      <c r="K864" s="62"/>
      <c r="L864" s="62"/>
      <c r="M864" s="62"/>
      <c r="N864" s="62"/>
      <c r="O864" s="62"/>
      <c r="P864" s="62"/>
      <c r="Q864" s="62"/>
      <c r="R864" s="62"/>
      <c r="S864" s="62"/>
      <c r="T864" s="10">
        <f t="shared" si="1"/>
        <v>0</v>
      </c>
      <c r="U864" s="62"/>
      <c r="V864" s="62"/>
      <c r="W864" s="62"/>
      <c r="X864" s="62"/>
      <c r="Y864" s="62"/>
      <c r="Z864" s="62"/>
      <c r="AA864" s="62"/>
      <c r="AB864" s="62"/>
      <c r="AC864" s="62"/>
      <c r="AD864" s="62"/>
      <c r="AE864" s="62"/>
      <c r="AF864" s="62"/>
      <c r="AG864" s="62"/>
      <c r="AH864" s="62"/>
      <c r="AI864" s="62"/>
      <c r="AJ864" s="62"/>
      <c r="AK864" s="62"/>
      <c r="AL864" s="62"/>
      <c r="AM864" s="62"/>
      <c r="AN864" s="62"/>
      <c r="AO864" s="62"/>
      <c r="AP864" s="62"/>
      <c r="AQ864" s="62"/>
    </row>
    <row r="865">
      <c r="A865" s="62"/>
      <c r="B865" s="63"/>
      <c r="C865" s="62"/>
      <c r="D865" s="62"/>
      <c r="E865" s="62"/>
      <c r="F865" s="62"/>
      <c r="G865" s="62"/>
      <c r="H865" s="62"/>
      <c r="I865" s="62"/>
      <c r="J865" s="62"/>
      <c r="K865" s="62"/>
      <c r="L865" s="62"/>
      <c r="M865" s="62"/>
      <c r="N865" s="62"/>
      <c r="O865" s="62"/>
      <c r="P865" s="62"/>
      <c r="Q865" s="62"/>
      <c r="R865" s="62"/>
      <c r="S865" s="62"/>
      <c r="T865" s="10">
        <f t="shared" si="1"/>
        <v>0</v>
      </c>
      <c r="U865" s="62"/>
      <c r="V865" s="62"/>
      <c r="W865" s="62"/>
      <c r="X865" s="62"/>
      <c r="Y865" s="62"/>
      <c r="Z865" s="62"/>
      <c r="AA865" s="62"/>
      <c r="AB865" s="62"/>
      <c r="AC865" s="62"/>
      <c r="AD865" s="62"/>
      <c r="AE865" s="62"/>
      <c r="AF865" s="62"/>
      <c r="AG865" s="62"/>
      <c r="AH865" s="62"/>
      <c r="AI865" s="62"/>
      <c r="AJ865" s="62"/>
      <c r="AK865" s="62"/>
      <c r="AL865" s="62"/>
      <c r="AM865" s="62"/>
      <c r="AN865" s="62"/>
      <c r="AO865" s="62"/>
      <c r="AP865" s="62"/>
      <c r="AQ865" s="62"/>
    </row>
    <row r="866">
      <c r="A866" s="62"/>
      <c r="B866" s="63"/>
      <c r="C866" s="62"/>
      <c r="D866" s="62"/>
      <c r="E866" s="62"/>
      <c r="F866" s="62"/>
      <c r="G866" s="62"/>
      <c r="H866" s="62"/>
      <c r="I866" s="62"/>
      <c r="J866" s="62"/>
      <c r="K866" s="62"/>
      <c r="L866" s="62"/>
      <c r="M866" s="62"/>
      <c r="N866" s="62"/>
      <c r="O866" s="62"/>
      <c r="P866" s="62"/>
      <c r="Q866" s="62"/>
      <c r="R866" s="62"/>
      <c r="S866" s="62"/>
      <c r="T866" s="10">
        <f t="shared" si="1"/>
        <v>0</v>
      </c>
      <c r="U866" s="62"/>
      <c r="V866" s="62"/>
      <c r="W866" s="62"/>
      <c r="X866" s="62"/>
      <c r="Y866" s="62"/>
      <c r="Z866" s="62"/>
      <c r="AA866" s="62"/>
      <c r="AB866" s="62"/>
      <c r="AC866" s="62"/>
      <c r="AD866" s="62"/>
      <c r="AE866" s="62"/>
      <c r="AF866" s="62"/>
      <c r="AG866" s="62"/>
      <c r="AH866" s="62"/>
      <c r="AI866" s="62"/>
      <c r="AJ866" s="62"/>
      <c r="AK866" s="62"/>
      <c r="AL866" s="62"/>
      <c r="AM866" s="62"/>
      <c r="AN866" s="62"/>
      <c r="AO866" s="62"/>
      <c r="AP866" s="62"/>
      <c r="AQ866" s="62"/>
    </row>
    <row r="867">
      <c r="A867" s="62"/>
      <c r="B867" s="63"/>
      <c r="C867" s="62"/>
      <c r="D867" s="62"/>
      <c r="E867" s="62"/>
      <c r="F867" s="62"/>
      <c r="G867" s="62"/>
      <c r="H867" s="62"/>
      <c r="I867" s="62"/>
      <c r="J867" s="62"/>
      <c r="K867" s="62"/>
      <c r="L867" s="62"/>
      <c r="M867" s="62"/>
      <c r="N867" s="62"/>
      <c r="O867" s="62"/>
      <c r="P867" s="62"/>
      <c r="Q867" s="62"/>
      <c r="R867" s="62"/>
      <c r="S867" s="62"/>
      <c r="T867" s="10">
        <f t="shared" si="1"/>
        <v>0</v>
      </c>
      <c r="U867" s="62"/>
      <c r="V867" s="62"/>
      <c r="W867" s="62"/>
      <c r="X867" s="62"/>
      <c r="Y867" s="62"/>
      <c r="Z867" s="62"/>
      <c r="AA867" s="62"/>
      <c r="AB867" s="62"/>
      <c r="AC867" s="62"/>
      <c r="AD867" s="62"/>
      <c r="AE867" s="62"/>
      <c r="AF867" s="62"/>
      <c r="AG867" s="62"/>
      <c r="AH867" s="62"/>
      <c r="AI867" s="62"/>
      <c r="AJ867" s="62"/>
      <c r="AK867" s="62"/>
      <c r="AL867" s="62"/>
      <c r="AM867" s="62"/>
      <c r="AN867" s="62"/>
      <c r="AO867" s="62"/>
      <c r="AP867" s="62"/>
      <c r="AQ867" s="62"/>
    </row>
    <row r="868">
      <c r="A868" s="62"/>
      <c r="B868" s="63"/>
      <c r="C868" s="62"/>
      <c r="D868" s="62"/>
      <c r="E868" s="62"/>
      <c r="F868" s="62"/>
      <c r="G868" s="62"/>
      <c r="H868" s="62"/>
      <c r="I868" s="62"/>
      <c r="J868" s="62"/>
      <c r="K868" s="62"/>
      <c r="L868" s="62"/>
      <c r="M868" s="62"/>
      <c r="N868" s="62"/>
      <c r="O868" s="62"/>
      <c r="P868" s="62"/>
      <c r="Q868" s="62"/>
      <c r="R868" s="62"/>
      <c r="S868" s="62"/>
      <c r="T868" s="10">
        <f t="shared" si="1"/>
        <v>0</v>
      </c>
      <c r="U868" s="62"/>
      <c r="V868" s="62"/>
      <c r="W868" s="62"/>
      <c r="X868" s="62"/>
      <c r="Y868" s="62"/>
      <c r="Z868" s="62"/>
      <c r="AA868" s="62"/>
      <c r="AB868" s="62"/>
      <c r="AC868" s="62"/>
      <c r="AD868" s="62"/>
      <c r="AE868" s="62"/>
      <c r="AF868" s="62"/>
      <c r="AG868" s="62"/>
      <c r="AH868" s="62"/>
      <c r="AI868" s="62"/>
      <c r="AJ868" s="62"/>
      <c r="AK868" s="62"/>
      <c r="AL868" s="62"/>
      <c r="AM868" s="62"/>
      <c r="AN868" s="62"/>
      <c r="AO868" s="62"/>
      <c r="AP868" s="62"/>
      <c r="AQ868" s="62"/>
    </row>
    <row r="869">
      <c r="A869" s="62"/>
      <c r="B869" s="63"/>
      <c r="C869" s="62"/>
      <c r="D869" s="62"/>
      <c r="E869" s="62"/>
      <c r="F869" s="62"/>
      <c r="G869" s="62"/>
      <c r="H869" s="62"/>
      <c r="I869" s="62"/>
      <c r="J869" s="62"/>
      <c r="K869" s="62"/>
      <c r="L869" s="62"/>
      <c r="M869" s="62"/>
      <c r="N869" s="62"/>
      <c r="O869" s="62"/>
      <c r="P869" s="62"/>
      <c r="Q869" s="62"/>
      <c r="R869" s="62"/>
      <c r="S869" s="62"/>
      <c r="T869" s="10">
        <f t="shared" si="1"/>
        <v>0</v>
      </c>
      <c r="U869" s="62"/>
      <c r="V869" s="62"/>
      <c r="W869" s="62"/>
      <c r="X869" s="62"/>
      <c r="Y869" s="62"/>
      <c r="Z869" s="62"/>
      <c r="AA869" s="62"/>
      <c r="AB869" s="62"/>
      <c r="AC869" s="62"/>
      <c r="AD869" s="62"/>
      <c r="AE869" s="62"/>
      <c r="AF869" s="62"/>
      <c r="AG869" s="62"/>
      <c r="AH869" s="62"/>
      <c r="AI869" s="62"/>
      <c r="AJ869" s="62"/>
      <c r="AK869" s="62"/>
      <c r="AL869" s="62"/>
      <c r="AM869" s="62"/>
      <c r="AN869" s="62"/>
      <c r="AO869" s="62"/>
      <c r="AP869" s="62"/>
      <c r="AQ869" s="62"/>
    </row>
    <row r="870">
      <c r="A870" s="62"/>
      <c r="B870" s="63"/>
      <c r="C870" s="62"/>
      <c r="D870" s="62"/>
      <c r="E870" s="62"/>
      <c r="F870" s="62"/>
      <c r="G870" s="62"/>
      <c r="H870" s="62"/>
      <c r="I870" s="62"/>
      <c r="J870" s="62"/>
      <c r="K870" s="62"/>
      <c r="L870" s="62"/>
      <c r="M870" s="62"/>
      <c r="N870" s="62"/>
      <c r="O870" s="62"/>
      <c r="P870" s="62"/>
      <c r="Q870" s="62"/>
      <c r="R870" s="62"/>
      <c r="S870" s="62"/>
      <c r="T870" s="10">
        <f t="shared" si="1"/>
        <v>0</v>
      </c>
      <c r="U870" s="62"/>
      <c r="V870" s="62"/>
      <c r="W870" s="62"/>
      <c r="X870" s="62"/>
      <c r="Y870" s="62"/>
      <c r="Z870" s="62"/>
      <c r="AA870" s="62"/>
      <c r="AB870" s="62"/>
      <c r="AC870" s="62"/>
      <c r="AD870" s="62"/>
      <c r="AE870" s="62"/>
      <c r="AF870" s="62"/>
      <c r="AG870" s="62"/>
      <c r="AH870" s="62"/>
      <c r="AI870" s="62"/>
      <c r="AJ870" s="62"/>
      <c r="AK870" s="62"/>
      <c r="AL870" s="62"/>
      <c r="AM870" s="62"/>
      <c r="AN870" s="62"/>
      <c r="AO870" s="62"/>
      <c r="AP870" s="62"/>
      <c r="AQ870" s="62"/>
    </row>
    <row r="871">
      <c r="A871" s="62"/>
      <c r="B871" s="63"/>
      <c r="C871" s="62"/>
      <c r="D871" s="62"/>
      <c r="E871" s="62"/>
      <c r="F871" s="62"/>
      <c r="G871" s="62"/>
      <c r="H871" s="62"/>
      <c r="I871" s="62"/>
      <c r="J871" s="62"/>
      <c r="K871" s="62"/>
      <c r="L871" s="62"/>
      <c r="M871" s="62"/>
      <c r="N871" s="62"/>
      <c r="O871" s="62"/>
      <c r="P871" s="62"/>
      <c r="Q871" s="62"/>
      <c r="R871" s="62"/>
      <c r="S871" s="62"/>
      <c r="T871" s="10">
        <f t="shared" si="1"/>
        <v>0</v>
      </c>
      <c r="U871" s="62"/>
      <c r="V871" s="62"/>
      <c r="W871" s="62"/>
      <c r="X871" s="62"/>
      <c r="Y871" s="62"/>
      <c r="Z871" s="62"/>
      <c r="AA871" s="62"/>
      <c r="AB871" s="62"/>
      <c r="AC871" s="62"/>
      <c r="AD871" s="62"/>
      <c r="AE871" s="62"/>
      <c r="AF871" s="62"/>
      <c r="AG871" s="62"/>
      <c r="AH871" s="62"/>
      <c r="AI871" s="62"/>
      <c r="AJ871" s="62"/>
      <c r="AK871" s="62"/>
      <c r="AL871" s="62"/>
      <c r="AM871" s="62"/>
      <c r="AN871" s="62"/>
      <c r="AO871" s="62"/>
      <c r="AP871" s="62"/>
      <c r="AQ871" s="62"/>
    </row>
    <row r="872">
      <c r="A872" s="62"/>
      <c r="B872" s="63"/>
      <c r="C872" s="62"/>
      <c r="D872" s="62"/>
      <c r="E872" s="62"/>
      <c r="F872" s="62"/>
      <c r="G872" s="62"/>
      <c r="H872" s="62"/>
      <c r="I872" s="62"/>
      <c r="J872" s="62"/>
      <c r="K872" s="62"/>
      <c r="L872" s="62"/>
      <c r="M872" s="62"/>
      <c r="N872" s="62"/>
      <c r="O872" s="62"/>
      <c r="P872" s="62"/>
      <c r="Q872" s="62"/>
      <c r="R872" s="62"/>
      <c r="S872" s="62"/>
      <c r="T872" s="10">
        <f t="shared" si="1"/>
        <v>0</v>
      </c>
      <c r="U872" s="62"/>
      <c r="V872" s="62"/>
      <c r="W872" s="62"/>
      <c r="X872" s="62"/>
      <c r="Y872" s="62"/>
      <c r="Z872" s="62"/>
      <c r="AA872" s="62"/>
      <c r="AB872" s="62"/>
      <c r="AC872" s="62"/>
      <c r="AD872" s="62"/>
      <c r="AE872" s="62"/>
      <c r="AF872" s="62"/>
      <c r="AG872" s="62"/>
      <c r="AH872" s="62"/>
      <c r="AI872" s="62"/>
      <c r="AJ872" s="62"/>
      <c r="AK872" s="62"/>
      <c r="AL872" s="62"/>
      <c r="AM872" s="62"/>
      <c r="AN872" s="62"/>
      <c r="AO872" s="62"/>
      <c r="AP872" s="62"/>
      <c r="AQ872" s="62"/>
    </row>
    <row r="873">
      <c r="A873" s="62"/>
      <c r="B873" s="63"/>
      <c r="C873" s="62"/>
      <c r="D873" s="62"/>
      <c r="E873" s="62"/>
      <c r="F873" s="62"/>
      <c r="G873" s="62"/>
      <c r="H873" s="62"/>
      <c r="I873" s="62"/>
      <c r="J873" s="62"/>
      <c r="K873" s="62"/>
      <c r="L873" s="62"/>
      <c r="M873" s="62"/>
      <c r="N873" s="62"/>
      <c r="O873" s="62"/>
      <c r="P873" s="62"/>
      <c r="Q873" s="62"/>
      <c r="R873" s="62"/>
      <c r="S873" s="62"/>
      <c r="T873" s="10">
        <f t="shared" si="1"/>
        <v>0</v>
      </c>
      <c r="U873" s="62"/>
      <c r="V873" s="62"/>
      <c r="W873" s="62"/>
      <c r="X873" s="62"/>
      <c r="Y873" s="62"/>
      <c r="Z873" s="62"/>
      <c r="AA873" s="62"/>
      <c r="AB873" s="62"/>
      <c r="AC873" s="62"/>
      <c r="AD873" s="62"/>
      <c r="AE873" s="62"/>
      <c r="AF873" s="62"/>
      <c r="AG873" s="62"/>
      <c r="AH873" s="62"/>
      <c r="AI873" s="62"/>
      <c r="AJ873" s="62"/>
      <c r="AK873" s="62"/>
      <c r="AL873" s="62"/>
      <c r="AM873" s="62"/>
      <c r="AN873" s="62"/>
      <c r="AO873" s="62"/>
      <c r="AP873" s="62"/>
      <c r="AQ873" s="62"/>
    </row>
    <row r="874">
      <c r="A874" s="62"/>
      <c r="B874" s="63"/>
      <c r="C874" s="62"/>
      <c r="D874" s="62"/>
      <c r="E874" s="62"/>
      <c r="F874" s="62"/>
      <c r="G874" s="62"/>
      <c r="H874" s="62"/>
      <c r="I874" s="62"/>
      <c r="J874" s="62"/>
      <c r="K874" s="62"/>
      <c r="L874" s="62"/>
      <c r="M874" s="62"/>
      <c r="N874" s="62"/>
      <c r="O874" s="62"/>
      <c r="P874" s="62"/>
      <c r="Q874" s="62"/>
      <c r="R874" s="62"/>
      <c r="S874" s="62"/>
      <c r="T874" s="10">
        <f t="shared" si="1"/>
        <v>0</v>
      </c>
      <c r="U874" s="62"/>
      <c r="V874" s="62"/>
      <c r="W874" s="62"/>
      <c r="X874" s="62"/>
      <c r="Y874" s="62"/>
      <c r="Z874" s="62"/>
      <c r="AA874" s="62"/>
      <c r="AB874" s="62"/>
      <c r="AC874" s="62"/>
      <c r="AD874" s="62"/>
      <c r="AE874" s="62"/>
      <c r="AF874" s="62"/>
      <c r="AG874" s="62"/>
      <c r="AH874" s="62"/>
      <c r="AI874" s="62"/>
      <c r="AJ874" s="62"/>
      <c r="AK874" s="62"/>
      <c r="AL874" s="62"/>
      <c r="AM874" s="62"/>
      <c r="AN874" s="62"/>
      <c r="AO874" s="62"/>
      <c r="AP874" s="62"/>
      <c r="AQ874" s="62"/>
    </row>
    <row r="875">
      <c r="A875" s="62"/>
      <c r="B875" s="63"/>
      <c r="C875" s="62"/>
      <c r="D875" s="62"/>
      <c r="E875" s="62"/>
      <c r="F875" s="62"/>
      <c r="G875" s="62"/>
      <c r="H875" s="62"/>
      <c r="I875" s="62"/>
      <c r="J875" s="62"/>
      <c r="K875" s="62"/>
      <c r="L875" s="62"/>
      <c r="M875" s="62"/>
      <c r="N875" s="62"/>
      <c r="O875" s="62"/>
      <c r="P875" s="62"/>
      <c r="Q875" s="62"/>
      <c r="R875" s="62"/>
      <c r="S875" s="62"/>
      <c r="T875" s="10">
        <f t="shared" si="1"/>
        <v>0</v>
      </c>
      <c r="U875" s="62"/>
      <c r="V875" s="62"/>
      <c r="W875" s="62"/>
      <c r="X875" s="62"/>
      <c r="Y875" s="62"/>
      <c r="Z875" s="62"/>
      <c r="AA875" s="62"/>
      <c r="AB875" s="62"/>
      <c r="AC875" s="62"/>
      <c r="AD875" s="62"/>
      <c r="AE875" s="62"/>
      <c r="AF875" s="62"/>
      <c r="AG875" s="62"/>
      <c r="AH875" s="62"/>
      <c r="AI875" s="62"/>
      <c r="AJ875" s="62"/>
      <c r="AK875" s="62"/>
      <c r="AL875" s="62"/>
      <c r="AM875" s="62"/>
      <c r="AN875" s="62"/>
      <c r="AO875" s="62"/>
      <c r="AP875" s="62"/>
      <c r="AQ875" s="62"/>
    </row>
    <row r="876">
      <c r="A876" s="62"/>
      <c r="B876" s="63"/>
      <c r="C876" s="62"/>
      <c r="D876" s="62"/>
      <c r="E876" s="62"/>
      <c r="F876" s="62"/>
      <c r="G876" s="62"/>
      <c r="H876" s="62"/>
      <c r="I876" s="62"/>
      <c r="J876" s="62"/>
      <c r="K876" s="62"/>
      <c r="L876" s="62"/>
      <c r="M876" s="62"/>
      <c r="N876" s="62"/>
      <c r="O876" s="62"/>
      <c r="P876" s="62"/>
      <c r="Q876" s="62"/>
      <c r="R876" s="62"/>
      <c r="S876" s="62"/>
      <c r="T876" s="10">
        <f t="shared" si="1"/>
        <v>0</v>
      </c>
      <c r="U876" s="62"/>
      <c r="V876" s="62"/>
      <c r="W876" s="62"/>
      <c r="X876" s="62"/>
      <c r="Y876" s="62"/>
      <c r="Z876" s="62"/>
      <c r="AA876" s="62"/>
      <c r="AB876" s="62"/>
      <c r="AC876" s="62"/>
      <c r="AD876" s="62"/>
      <c r="AE876" s="62"/>
      <c r="AF876" s="62"/>
      <c r="AG876" s="62"/>
      <c r="AH876" s="62"/>
      <c r="AI876" s="62"/>
      <c r="AJ876" s="62"/>
      <c r="AK876" s="62"/>
      <c r="AL876" s="62"/>
      <c r="AM876" s="62"/>
      <c r="AN876" s="62"/>
      <c r="AO876" s="62"/>
      <c r="AP876" s="62"/>
      <c r="AQ876" s="62"/>
    </row>
    <row r="877">
      <c r="A877" s="62"/>
      <c r="B877" s="63"/>
      <c r="C877" s="62"/>
      <c r="D877" s="62"/>
      <c r="E877" s="62"/>
      <c r="F877" s="62"/>
      <c r="G877" s="62"/>
      <c r="H877" s="62"/>
      <c r="I877" s="62"/>
      <c r="J877" s="62"/>
      <c r="K877" s="62"/>
      <c r="L877" s="62"/>
      <c r="M877" s="62"/>
      <c r="N877" s="62"/>
      <c r="O877" s="62"/>
      <c r="P877" s="62"/>
      <c r="Q877" s="62"/>
      <c r="R877" s="62"/>
      <c r="S877" s="62"/>
      <c r="T877" s="10">
        <f t="shared" si="1"/>
        <v>0</v>
      </c>
      <c r="U877" s="62"/>
      <c r="V877" s="62"/>
      <c r="W877" s="62"/>
      <c r="X877" s="62"/>
      <c r="Y877" s="62"/>
      <c r="Z877" s="62"/>
      <c r="AA877" s="62"/>
      <c r="AB877" s="62"/>
      <c r="AC877" s="62"/>
      <c r="AD877" s="62"/>
      <c r="AE877" s="62"/>
      <c r="AF877" s="62"/>
      <c r="AG877" s="62"/>
      <c r="AH877" s="62"/>
      <c r="AI877" s="62"/>
      <c r="AJ877" s="62"/>
      <c r="AK877" s="62"/>
      <c r="AL877" s="62"/>
      <c r="AM877" s="62"/>
      <c r="AN877" s="62"/>
      <c r="AO877" s="62"/>
      <c r="AP877" s="62"/>
      <c r="AQ877" s="62"/>
    </row>
    <row r="878">
      <c r="A878" s="62"/>
      <c r="B878" s="63"/>
      <c r="C878" s="62"/>
      <c r="D878" s="62"/>
      <c r="E878" s="62"/>
      <c r="F878" s="62"/>
      <c r="G878" s="62"/>
      <c r="H878" s="62"/>
      <c r="I878" s="62"/>
      <c r="J878" s="62"/>
      <c r="K878" s="62"/>
      <c r="L878" s="62"/>
      <c r="M878" s="62"/>
      <c r="N878" s="62"/>
      <c r="O878" s="62"/>
      <c r="P878" s="62"/>
      <c r="Q878" s="62"/>
      <c r="R878" s="62"/>
      <c r="S878" s="62"/>
      <c r="T878" s="10">
        <f t="shared" si="1"/>
        <v>0</v>
      </c>
      <c r="U878" s="62"/>
      <c r="V878" s="62"/>
      <c r="W878" s="62"/>
      <c r="X878" s="62"/>
      <c r="Y878" s="62"/>
      <c r="Z878" s="62"/>
      <c r="AA878" s="62"/>
      <c r="AB878" s="62"/>
      <c r="AC878" s="62"/>
      <c r="AD878" s="62"/>
      <c r="AE878" s="62"/>
      <c r="AF878" s="62"/>
      <c r="AG878" s="62"/>
      <c r="AH878" s="62"/>
      <c r="AI878" s="62"/>
      <c r="AJ878" s="62"/>
      <c r="AK878" s="62"/>
      <c r="AL878" s="62"/>
      <c r="AM878" s="62"/>
      <c r="AN878" s="62"/>
      <c r="AO878" s="62"/>
      <c r="AP878" s="62"/>
      <c r="AQ878" s="62"/>
    </row>
    <row r="879">
      <c r="A879" s="62"/>
      <c r="B879" s="63"/>
      <c r="C879" s="62"/>
      <c r="D879" s="62"/>
      <c r="E879" s="62"/>
      <c r="F879" s="62"/>
      <c r="G879" s="62"/>
      <c r="H879" s="62"/>
      <c r="I879" s="62"/>
      <c r="J879" s="62"/>
      <c r="K879" s="62"/>
      <c r="L879" s="62"/>
      <c r="M879" s="62"/>
      <c r="N879" s="62"/>
      <c r="O879" s="62"/>
      <c r="P879" s="62"/>
      <c r="Q879" s="62"/>
      <c r="R879" s="62"/>
      <c r="S879" s="62"/>
      <c r="T879" s="10">
        <f t="shared" si="1"/>
        <v>0</v>
      </c>
      <c r="U879" s="62"/>
      <c r="V879" s="62"/>
      <c r="W879" s="62"/>
      <c r="X879" s="62"/>
      <c r="Y879" s="62"/>
      <c r="Z879" s="62"/>
      <c r="AA879" s="62"/>
      <c r="AB879" s="62"/>
      <c r="AC879" s="62"/>
      <c r="AD879" s="62"/>
      <c r="AE879" s="62"/>
      <c r="AF879" s="62"/>
      <c r="AG879" s="62"/>
      <c r="AH879" s="62"/>
      <c r="AI879" s="62"/>
      <c r="AJ879" s="62"/>
      <c r="AK879" s="62"/>
      <c r="AL879" s="62"/>
      <c r="AM879" s="62"/>
      <c r="AN879" s="62"/>
      <c r="AO879" s="62"/>
      <c r="AP879" s="62"/>
      <c r="AQ879" s="62"/>
    </row>
    <row r="880">
      <c r="A880" s="62"/>
      <c r="B880" s="63"/>
      <c r="C880" s="62"/>
      <c r="D880" s="62"/>
      <c r="E880" s="62"/>
      <c r="F880" s="62"/>
      <c r="G880" s="62"/>
      <c r="H880" s="62"/>
      <c r="I880" s="62"/>
      <c r="J880" s="62"/>
      <c r="K880" s="62"/>
      <c r="L880" s="62"/>
      <c r="M880" s="62"/>
      <c r="N880" s="62"/>
      <c r="O880" s="62"/>
      <c r="P880" s="62"/>
      <c r="Q880" s="62"/>
      <c r="R880" s="62"/>
      <c r="S880" s="62"/>
      <c r="T880" s="10">
        <f t="shared" si="1"/>
        <v>0</v>
      </c>
      <c r="U880" s="62"/>
      <c r="V880" s="62"/>
      <c r="W880" s="62"/>
      <c r="X880" s="62"/>
      <c r="Y880" s="62"/>
      <c r="Z880" s="62"/>
      <c r="AA880" s="62"/>
      <c r="AB880" s="62"/>
      <c r="AC880" s="62"/>
      <c r="AD880" s="62"/>
      <c r="AE880" s="62"/>
      <c r="AF880" s="62"/>
      <c r="AG880" s="62"/>
      <c r="AH880" s="62"/>
      <c r="AI880" s="62"/>
      <c r="AJ880" s="62"/>
      <c r="AK880" s="62"/>
      <c r="AL880" s="62"/>
      <c r="AM880" s="62"/>
      <c r="AN880" s="62"/>
      <c r="AO880" s="62"/>
      <c r="AP880" s="62"/>
      <c r="AQ880" s="62"/>
    </row>
    <row r="881">
      <c r="A881" s="62"/>
      <c r="B881" s="63"/>
      <c r="C881" s="62"/>
      <c r="D881" s="62"/>
      <c r="E881" s="62"/>
      <c r="F881" s="62"/>
      <c r="G881" s="62"/>
      <c r="H881" s="62"/>
      <c r="I881" s="62"/>
      <c r="J881" s="62"/>
      <c r="K881" s="62"/>
      <c r="L881" s="62"/>
      <c r="M881" s="62"/>
      <c r="N881" s="62"/>
      <c r="O881" s="62"/>
      <c r="P881" s="62"/>
      <c r="Q881" s="62"/>
      <c r="R881" s="62"/>
      <c r="S881" s="62"/>
      <c r="T881" s="10">
        <f t="shared" si="1"/>
        <v>0</v>
      </c>
      <c r="U881" s="62"/>
      <c r="V881" s="62"/>
      <c r="W881" s="62"/>
      <c r="X881" s="62"/>
      <c r="Y881" s="62"/>
      <c r="Z881" s="62"/>
      <c r="AA881" s="62"/>
      <c r="AB881" s="62"/>
      <c r="AC881" s="62"/>
      <c r="AD881" s="62"/>
      <c r="AE881" s="62"/>
      <c r="AF881" s="62"/>
      <c r="AG881" s="62"/>
      <c r="AH881" s="62"/>
      <c r="AI881" s="62"/>
      <c r="AJ881" s="62"/>
      <c r="AK881" s="62"/>
      <c r="AL881" s="62"/>
      <c r="AM881" s="62"/>
      <c r="AN881" s="62"/>
      <c r="AO881" s="62"/>
      <c r="AP881" s="62"/>
      <c r="AQ881" s="62"/>
    </row>
    <row r="882">
      <c r="A882" s="62"/>
      <c r="B882" s="63"/>
      <c r="C882" s="62"/>
      <c r="D882" s="62"/>
      <c r="E882" s="62"/>
      <c r="F882" s="62"/>
      <c r="G882" s="62"/>
      <c r="H882" s="62"/>
      <c r="I882" s="62"/>
      <c r="J882" s="62"/>
      <c r="K882" s="62"/>
      <c r="L882" s="62"/>
      <c r="M882" s="62"/>
      <c r="N882" s="62"/>
      <c r="O882" s="62"/>
      <c r="P882" s="62"/>
      <c r="Q882" s="62"/>
      <c r="R882" s="62"/>
      <c r="S882" s="62"/>
      <c r="T882" s="10">
        <f t="shared" si="1"/>
        <v>0</v>
      </c>
      <c r="U882" s="62"/>
      <c r="V882" s="62"/>
      <c r="W882" s="62"/>
      <c r="X882" s="62"/>
      <c r="Y882" s="62"/>
      <c r="Z882" s="62"/>
      <c r="AA882" s="62"/>
      <c r="AB882" s="62"/>
      <c r="AC882" s="62"/>
      <c r="AD882" s="62"/>
      <c r="AE882" s="62"/>
      <c r="AF882" s="62"/>
      <c r="AG882" s="62"/>
      <c r="AH882" s="62"/>
      <c r="AI882" s="62"/>
      <c r="AJ882" s="62"/>
      <c r="AK882" s="62"/>
      <c r="AL882" s="62"/>
      <c r="AM882" s="62"/>
      <c r="AN882" s="62"/>
      <c r="AO882" s="62"/>
      <c r="AP882" s="62"/>
      <c r="AQ882" s="62"/>
    </row>
    <row r="883">
      <c r="A883" s="62"/>
      <c r="B883" s="63"/>
      <c r="C883" s="62"/>
      <c r="D883" s="62"/>
      <c r="E883" s="62"/>
      <c r="F883" s="62"/>
      <c r="G883" s="62"/>
      <c r="H883" s="62"/>
      <c r="I883" s="62"/>
      <c r="J883" s="62"/>
      <c r="K883" s="62"/>
      <c r="L883" s="62"/>
      <c r="M883" s="62"/>
      <c r="N883" s="62"/>
      <c r="O883" s="62"/>
      <c r="P883" s="62"/>
      <c r="Q883" s="62"/>
      <c r="R883" s="62"/>
      <c r="S883" s="62"/>
      <c r="T883" s="10">
        <f t="shared" si="1"/>
        <v>0</v>
      </c>
      <c r="U883" s="62"/>
      <c r="V883" s="62"/>
      <c r="W883" s="62"/>
      <c r="X883" s="62"/>
      <c r="Y883" s="62"/>
      <c r="Z883" s="62"/>
      <c r="AA883" s="62"/>
      <c r="AB883" s="62"/>
      <c r="AC883" s="62"/>
      <c r="AD883" s="62"/>
      <c r="AE883" s="62"/>
      <c r="AF883" s="62"/>
      <c r="AG883" s="62"/>
      <c r="AH883" s="62"/>
      <c r="AI883" s="62"/>
      <c r="AJ883" s="62"/>
      <c r="AK883" s="62"/>
      <c r="AL883" s="62"/>
      <c r="AM883" s="62"/>
      <c r="AN883" s="62"/>
      <c r="AO883" s="62"/>
      <c r="AP883" s="62"/>
      <c r="AQ883" s="62"/>
    </row>
    <row r="884">
      <c r="A884" s="62"/>
      <c r="B884" s="63"/>
      <c r="C884" s="62"/>
      <c r="D884" s="62"/>
      <c r="E884" s="62"/>
      <c r="F884" s="62"/>
      <c r="G884" s="62"/>
      <c r="H884" s="62"/>
      <c r="I884" s="62"/>
      <c r="J884" s="62"/>
      <c r="K884" s="62"/>
      <c r="L884" s="62"/>
      <c r="M884" s="62"/>
      <c r="N884" s="62"/>
      <c r="O884" s="62"/>
      <c r="P884" s="62"/>
      <c r="Q884" s="62"/>
      <c r="R884" s="62"/>
      <c r="S884" s="62"/>
      <c r="T884" s="10">
        <f t="shared" si="1"/>
        <v>0</v>
      </c>
      <c r="U884" s="62"/>
      <c r="V884" s="62"/>
      <c r="W884" s="62"/>
      <c r="X884" s="62"/>
      <c r="Y884" s="62"/>
      <c r="Z884" s="62"/>
      <c r="AA884" s="62"/>
      <c r="AB884" s="62"/>
      <c r="AC884" s="62"/>
      <c r="AD884" s="62"/>
      <c r="AE884" s="62"/>
      <c r="AF884" s="62"/>
      <c r="AG884" s="62"/>
      <c r="AH884" s="62"/>
      <c r="AI884" s="62"/>
      <c r="AJ884" s="62"/>
      <c r="AK884" s="62"/>
      <c r="AL884" s="62"/>
      <c r="AM884" s="62"/>
      <c r="AN884" s="62"/>
      <c r="AO884" s="62"/>
      <c r="AP884" s="62"/>
      <c r="AQ884" s="62"/>
    </row>
    <row r="885">
      <c r="A885" s="62"/>
      <c r="B885" s="63"/>
      <c r="C885" s="62"/>
      <c r="D885" s="62"/>
      <c r="E885" s="62"/>
      <c r="F885" s="62"/>
      <c r="G885" s="62"/>
      <c r="H885" s="62"/>
      <c r="I885" s="62"/>
      <c r="J885" s="62"/>
      <c r="K885" s="62"/>
      <c r="L885" s="62"/>
      <c r="M885" s="62"/>
      <c r="N885" s="62"/>
      <c r="O885" s="62"/>
      <c r="P885" s="62"/>
      <c r="Q885" s="62"/>
      <c r="R885" s="62"/>
      <c r="S885" s="62"/>
      <c r="T885" s="10">
        <f t="shared" si="1"/>
        <v>0</v>
      </c>
      <c r="U885" s="62"/>
      <c r="V885" s="62"/>
      <c r="W885" s="62"/>
      <c r="X885" s="62"/>
      <c r="Y885" s="62"/>
      <c r="Z885" s="62"/>
      <c r="AA885" s="62"/>
      <c r="AB885" s="62"/>
      <c r="AC885" s="62"/>
      <c r="AD885" s="62"/>
      <c r="AE885" s="62"/>
      <c r="AF885" s="62"/>
      <c r="AG885" s="62"/>
      <c r="AH885" s="62"/>
      <c r="AI885" s="62"/>
      <c r="AJ885" s="62"/>
      <c r="AK885" s="62"/>
      <c r="AL885" s="62"/>
      <c r="AM885" s="62"/>
      <c r="AN885" s="62"/>
      <c r="AO885" s="62"/>
      <c r="AP885" s="62"/>
      <c r="AQ885" s="62"/>
    </row>
    <row r="886">
      <c r="A886" s="62"/>
      <c r="B886" s="63"/>
      <c r="C886" s="62"/>
      <c r="D886" s="62"/>
      <c r="E886" s="62"/>
      <c r="F886" s="62"/>
      <c r="G886" s="62"/>
      <c r="H886" s="62"/>
      <c r="I886" s="62"/>
      <c r="J886" s="62"/>
      <c r="K886" s="62"/>
      <c r="L886" s="62"/>
      <c r="M886" s="62"/>
      <c r="N886" s="62"/>
      <c r="O886" s="62"/>
      <c r="P886" s="62"/>
      <c r="Q886" s="62"/>
      <c r="R886" s="62"/>
      <c r="S886" s="62"/>
      <c r="T886" s="10">
        <f t="shared" si="1"/>
        <v>0</v>
      </c>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row>
    <row r="887">
      <c r="A887" s="62"/>
      <c r="B887" s="63"/>
      <c r="C887" s="62"/>
      <c r="D887" s="62"/>
      <c r="E887" s="62"/>
      <c r="F887" s="62"/>
      <c r="G887" s="62"/>
      <c r="H887" s="62"/>
      <c r="I887" s="62"/>
      <c r="J887" s="62"/>
      <c r="K887" s="62"/>
      <c r="L887" s="62"/>
      <c r="M887" s="62"/>
      <c r="N887" s="62"/>
      <c r="O887" s="62"/>
      <c r="P887" s="62"/>
      <c r="Q887" s="62"/>
      <c r="R887" s="62"/>
      <c r="S887" s="62"/>
      <c r="T887" s="10">
        <f t="shared" si="1"/>
        <v>0</v>
      </c>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row>
    <row r="888">
      <c r="A888" s="62"/>
      <c r="B888" s="63"/>
      <c r="C888" s="62"/>
      <c r="D888" s="62"/>
      <c r="E888" s="62"/>
      <c r="F888" s="62"/>
      <c r="G888" s="62"/>
      <c r="H888" s="62"/>
      <c r="I888" s="62"/>
      <c r="J888" s="62"/>
      <c r="K888" s="62"/>
      <c r="L888" s="62"/>
      <c r="M888" s="62"/>
      <c r="N888" s="62"/>
      <c r="O888" s="62"/>
      <c r="P888" s="62"/>
      <c r="Q888" s="62"/>
      <c r="R888" s="62"/>
      <c r="S888" s="62"/>
      <c r="T888" s="10">
        <f t="shared" si="1"/>
        <v>0</v>
      </c>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row>
    <row r="889">
      <c r="A889" s="62"/>
      <c r="B889" s="63"/>
      <c r="C889" s="62"/>
      <c r="D889" s="62"/>
      <c r="E889" s="62"/>
      <c r="F889" s="62"/>
      <c r="G889" s="62"/>
      <c r="H889" s="62"/>
      <c r="I889" s="62"/>
      <c r="J889" s="62"/>
      <c r="K889" s="62"/>
      <c r="L889" s="62"/>
      <c r="M889" s="62"/>
      <c r="N889" s="62"/>
      <c r="O889" s="62"/>
      <c r="P889" s="62"/>
      <c r="Q889" s="62"/>
      <c r="R889" s="62"/>
      <c r="S889" s="62"/>
      <c r="T889" s="10">
        <f t="shared" si="1"/>
        <v>0</v>
      </c>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row>
    <row r="890">
      <c r="A890" s="62"/>
      <c r="B890" s="63"/>
      <c r="C890" s="62"/>
      <c r="D890" s="62"/>
      <c r="E890" s="62"/>
      <c r="F890" s="62"/>
      <c r="G890" s="62"/>
      <c r="H890" s="62"/>
      <c r="I890" s="62"/>
      <c r="J890" s="62"/>
      <c r="K890" s="62"/>
      <c r="L890" s="62"/>
      <c r="M890" s="62"/>
      <c r="N890" s="62"/>
      <c r="O890" s="62"/>
      <c r="P890" s="62"/>
      <c r="Q890" s="62"/>
      <c r="R890" s="62"/>
      <c r="S890" s="62"/>
      <c r="T890" s="10">
        <f t="shared" si="1"/>
        <v>0</v>
      </c>
      <c r="U890" s="62"/>
      <c r="V890" s="62"/>
      <c r="W890" s="62"/>
      <c r="X890" s="62"/>
      <c r="Y890" s="62"/>
      <c r="Z890" s="62"/>
      <c r="AA890" s="62"/>
      <c r="AB890" s="62"/>
      <c r="AC890" s="62"/>
      <c r="AD890" s="62"/>
      <c r="AE890" s="62"/>
      <c r="AF890" s="62"/>
      <c r="AG890" s="62"/>
      <c r="AH890" s="62"/>
      <c r="AI890" s="62"/>
      <c r="AJ890" s="62"/>
      <c r="AK890" s="62"/>
      <c r="AL890" s="62"/>
      <c r="AM890" s="62"/>
      <c r="AN890" s="62"/>
      <c r="AO890" s="62"/>
      <c r="AP890" s="62"/>
      <c r="AQ890" s="62"/>
    </row>
    <row r="891">
      <c r="A891" s="62"/>
      <c r="B891" s="63"/>
      <c r="C891" s="62"/>
      <c r="D891" s="62"/>
      <c r="E891" s="62"/>
      <c r="F891" s="62"/>
      <c r="G891" s="62"/>
      <c r="H891" s="62"/>
      <c r="I891" s="62"/>
      <c r="J891" s="62"/>
      <c r="K891" s="62"/>
      <c r="L891" s="62"/>
      <c r="M891" s="62"/>
      <c r="N891" s="62"/>
      <c r="O891" s="62"/>
      <c r="P891" s="62"/>
      <c r="Q891" s="62"/>
      <c r="R891" s="62"/>
      <c r="S891" s="62"/>
      <c r="T891" s="10">
        <f t="shared" si="1"/>
        <v>0</v>
      </c>
      <c r="U891" s="62"/>
      <c r="V891" s="62"/>
      <c r="W891" s="62"/>
      <c r="X891" s="62"/>
      <c r="Y891" s="62"/>
      <c r="Z891" s="62"/>
      <c r="AA891" s="62"/>
      <c r="AB891" s="62"/>
      <c r="AC891" s="62"/>
      <c r="AD891" s="62"/>
      <c r="AE891" s="62"/>
      <c r="AF891" s="62"/>
      <c r="AG891" s="62"/>
      <c r="AH891" s="62"/>
      <c r="AI891" s="62"/>
      <c r="AJ891" s="62"/>
      <c r="AK891" s="62"/>
      <c r="AL891" s="62"/>
      <c r="AM891" s="62"/>
      <c r="AN891" s="62"/>
      <c r="AO891" s="62"/>
      <c r="AP891" s="62"/>
      <c r="AQ891" s="62"/>
    </row>
    <row r="892">
      <c r="A892" s="62"/>
      <c r="B892" s="63"/>
      <c r="C892" s="62"/>
      <c r="D892" s="62"/>
      <c r="E892" s="62"/>
      <c r="F892" s="62"/>
      <c r="G892" s="62"/>
      <c r="H892" s="62"/>
      <c r="I892" s="62"/>
      <c r="J892" s="62"/>
      <c r="K892" s="62"/>
      <c r="L892" s="62"/>
      <c r="M892" s="62"/>
      <c r="N892" s="62"/>
      <c r="O892" s="62"/>
      <c r="P892" s="62"/>
      <c r="Q892" s="62"/>
      <c r="R892" s="62"/>
      <c r="S892" s="62"/>
      <c r="T892" s="10">
        <f t="shared" si="1"/>
        <v>0</v>
      </c>
      <c r="U892" s="62"/>
      <c r="V892" s="62"/>
      <c r="W892" s="62"/>
      <c r="X892" s="62"/>
      <c r="Y892" s="62"/>
      <c r="Z892" s="62"/>
      <c r="AA892" s="62"/>
      <c r="AB892" s="62"/>
      <c r="AC892" s="62"/>
      <c r="AD892" s="62"/>
      <c r="AE892" s="62"/>
      <c r="AF892" s="62"/>
      <c r="AG892" s="62"/>
      <c r="AH892" s="62"/>
      <c r="AI892" s="62"/>
      <c r="AJ892" s="62"/>
      <c r="AK892" s="62"/>
      <c r="AL892" s="62"/>
      <c r="AM892" s="62"/>
      <c r="AN892" s="62"/>
      <c r="AO892" s="62"/>
      <c r="AP892" s="62"/>
      <c r="AQ892" s="62"/>
    </row>
    <row r="893">
      <c r="A893" s="62"/>
      <c r="B893" s="63"/>
      <c r="C893" s="62"/>
      <c r="D893" s="62"/>
      <c r="E893" s="62"/>
      <c r="F893" s="62"/>
      <c r="G893" s="62"/>
      <c r="H893" s="62"/>
      <c r="I893" s="62"/>
      <c r="J893" s="62"/>
      <c r="K893" s="62"/>
      <c r="L893" s="62"/>
      <c r="M893" s="62"/>
      <c r="N893" s="62"/>
      <c r="O893" s="62"/>
      <c r="P893" s="62"/>
      <c r="Q893" s="62"/>
      <c r="R893" s="62"/>
      <c r="S893" s="62"/>
      <c r="T893" s="10">
        <f t="shared" si="1"/>
        <v>0</v>
      </c>
      <c r="U893" s="62"/>
      <c r="V893" s="62"/>
      <c r="W893" s="62"/>
      <c r="X893" s="62"/>
      <c r="Y893" s="62"/>
      <c r="Z893" s="62"/>
      <c r="AA893" s="62"/>
      <c r="AB893" s="62"/>
      <c r="AC893" s="62"/>
      <c r="AD893" s="62"/>
      <c r="AE893" s="62"/>
      <c r="AF893" s="62"/>
      <c r="AG893" s="62"/>
      <c r="AH893" s="62"/>
      <c r="AI893" s="62"/>
      <c r="AJ893" s="62"/>
      <c r="AK893" s="62"/>
      <c r="AL893" s="62"/>
      <c r="AM893" s="62"/>
      <c r="AN893" s="62"/>
      <c r="AO893" s="62"/>
      <c r="AP893" s="62"/>
      <c r="AQ893" s="62"/>
    </row>
    <row r="894">
      <c r="A894" s="62"/>
      <c r="B894" s="63"/>
      <c r="C894" s="62"/>
      <c r="D894" s="62"/>
      <c r="E894" s="62"/>
      <c r="F894" s="62"/>
      <c r="G894" s="62"/>
      <c r="H894" s="62"/>
      <c r="I894" s="62"/>
      <c r="J894" s="62"/>
      <c r="K894" s="62"/>
      <c r="L894" s="62"/>
      <c r="M894" s="62"/>
      <c r="N894" s="62"/>
      <c r="O894" s="62"/>
      <c r="P894" s="62"/>
      <c r="Q894" s="62"/>
      <c r="R894" s="62"/>
      <c r="S894" s="62"/>
      <c r="T894" s="10">
        <f t="shared" si="1"/>
        <v>0</v>
      </c>
      <c r="U894" s="62"/>
      <c r="V894" s="62"/>
      <c r="W894" s="62"/>
      <c r="X894" s="62"/>
      <c r="Y894" s="62"/>
      <c r="Z894" s="62"/>
      <c r="AA894" s="62"/>
      <c r="AB894" s="62"/>
      <c r="AC894" s="62"/>
      <c r="AD894" s="62"/>
      <c r="AE894" s="62"/>
      <c r="AF894" s="62"/>
      <c r="AG894" s="62"/>
      <c r="AH894" s="62"/>
      <c r="AI894" s="62"/>
      <c r="AJ894" s="62"/>
      <c r="AK894" s="62"/>
      <c r="AL894" s="62"/>
      <c r="AM894" s="62"/>
      <c r="AN894" s="62"/>
      <c r="AO894" s="62"/>
      <c r="AP894" s="62"/>
      <c r="AQ894" s="62"/>
    </row>
    <row r="895">
      <c r="A895" s="62"/>
      <c r="B895" s="63"/>
      <c r="C895" s="62"/>
      <c r="D895" s="62"/>
      <c r="E895" s="62"/>
      <c r="F895" s="62"/>
      <c r="G895" s="62"/>
      <c r="H895" s="62"/>
      <c r="I895" s="62"/>
      <c r="J895" s="62"/>
      <c r="K895" s="62"/>
      <c r="L895" s="62"/>
      <c r="M895" s="62"/>
      <c r="N895" s="62"/>
      <c r="O895" s="62"/>
      <c r="P895" s="62"/>
      <c r="Q895" s="62"/>
      <c r="R895" s="62"/>
      <c r="S895" s="62"/>
      <c r="T895" s="10">
        <f t="shared" si="1"/>
        <v>0</v>
      </c>
      <c r="U895" s="62"/>
      <c r="V895" s="62"/>
      <c r="W895" s="62"/>
      <c r="X895" s="62"/>
      <c r="Y895" s="62"/>
      <c r="Z895" s="62"/>
      <c r="AA895" s="62"/>
      <c r="AB895" s="62"/>
      <c r="AC895" s="62"/>
      <c r="AD895" s="62"/>
      <c r="AE895" s="62"/>
      <c r="AF895" s="62"/>
      <c r="AG895" s="62"/>
      <c r="AH895" s="62"/>
      <c r="AI895" s="62"/>
      <c r="AJ895" s="62"/>
      <c r="AK895" s="62"/>
      <c r="AL895" s="62"/>
      <c r="AM895" s="62"/>
      <c r="AN895" s="62"/>
      <c r="AO895" s="62"/>
      <c r="AP895" s="62"/>
      <c r="AQ895" s="62"/>
    </row>
    <row r="896">
      <c r="A896" s="62"/>
      <c r="B896" s="63"/>
      <c r="C896" s="62"/>
      <c r="D896" s="62"/>
      <c r="E896" s="62"/>
      <c r="F896" s="62"/>
      <c r="G896" s="62"/>
      <c r="H896" s="62"/>
      <c r="I896" s="62"/>
      <c r="J896" s="62"/>
      <c r="K896" s="62"/>
      <c r="L896" s="62"/>
      <c r="M896" s="62"/>
      <c r="N896" s="62"/>
      <c r="O896" s="62"/>
      <c r="P896" s="62"/>
      <c r="Q896" s="62"/>
      <c r="R896" s="62"/>
      <c r="S896" s="62"/>
      <c r="T896" s="10">
        <f t="shared" si="1"/>
        <v>0</v>
      </c>
      <c r="U896" s="62"/>
      <c r="V896" s="62"/>
      <c r="W896" s="62"/>
      <c r="X896" s="62"/>
      <c r="Y896" s="62"/>
      <c r="Z896" s="62"/>
      <c r="AA896" s="62"/>
      <c r="AB896" s="62"/>
      <c r="AC896" s="62"/>
      <c r="AD896" s="62"/>
      <c r="AE896" s="62"/>
      <c r="AF896" s="62"/>
      <c r="AG896" s="62"/>
      <c r="AH896" s="62"/>
      <c r="AI896" s="62"/>
      <c r="AJ896" s="62"/>
      <c r="AK896" s="62"/>
      <c r="AL896" s="62"/>
      <c r="AM896" s="62"/>
      <c r="AN896" s="62"/>
      <c r="AO896" s="62"/>
      <c r="AP896" s="62"/>
      <c r="AQ896" s="62"/>
    </row>
    <row r="897">
      <c r="A897" s="62"/>
      <c r="B897" s="63"/>
      <c r="C897" s="62"/>
      <c r="D897" s="62"/>
      <c r="E897" s="62"/>
      <c r="F897" s="62"/>
      <c r="G897" s="62"/>
      <c r="H897" s="62"/>
      <c r="I897" s="62"/>
      <c r="J897" s="62"/>
      <c r="K897" s="62"/>
      <c r="L897" s="62"/>
      <c r="M897" s="62"/>
      <c r="N897" s="62"/>
      <c r="O897" s="62"/>
      <c r="P897" s="62"/>
      <c r="Q897" s="62"/>
      <c r="R897" s="62"/>
      <c r="S897" s="62"/>
      <c r="T897" s="10">
        <f t="shared" si="1"/>
        <v>0</v>
      </c>
      <c r="U897" s="62"/>
      <c r="V897" s="62"/>
      <c r="W897" s="62"/>
      <c r="X897" s="62"/>
      <c r="Y897" s="62"/>
      <c r="Z897" s="62"/>
      <c r="AA897" s="62"/>
      <c r="AB897" s="62"/>
      <c r="AC897" s="62"/>
      <c r="AD897" s="62"/>
      <c r="AE897" s="62"/>
      <c r="AF897" s="62"/>
      <c r="AG897" s="62"/>
      <c r="AH897" s="62"/>
      <c r="AI897" s="62"/>
      <c r="AJ897" s="62"/>
      <c r="AK897" s="62"/>
      <c r="AL897" s="62"/>
      <c r="AM897" s="62"/>
      <c r="AN897" s="62"/>
      <c r="AO897" s="62"/>
      <c r="AP897" s="62"/>
      <c r="AQ897" s="62"/>
    </row>
    <row r="898">
      <c r="A898" s="62"/>
      <c r="B898" s="63"/>
      <c r="C898" s="62"/>
      <c r="D898" s="62"/>
      <c r="E898" s="62"/>
      <c r="F898" s="62"/>
      <c r="G898" s="62"/>
      <c r="H898" s="62"/>
      <c r="I898" s="62"/>
      <c r="J898" s="62"/>
      <c r="K898" s="62"/>
      <c r="L898" s="62"/>
      <c r="M898" s="62"/>
      <c r="N898" s="62"/>
      <c r="O898" s="62"/>
      <c r="P898" s="62"/>
      <c r="Q898" s="62"/>
      <c r="R898" s="62"/>
      <c r="S898" s="62"/>
      <c r="T898" s="10">
        <f t="shared" si="1"/>
        <v>0</v>
      </c>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row>
    <row r="899">
      <c r="A899" s="62"/>
      <c r="B899" s="63"/>
      <c r="C899" s="62"/>
      <c r="D899" s="62"/>
      <c r="E899" s="62"/>
      <c r="F899" s="62"/>
      <c r="G899" s="62"/>
      <c r="H899" s="62"/>
      <c r="I899" s="62"/>
      <c r="J899" s="62"/>
      <c r="K899" s="62"/>
      <c r="L899" s="62"/>
      <c r="M899" s="62"/>
      <c r="N899" s="62"/>
      <c r="O899" s="62"/>
      <c r="P899" s="62"/>
      <c r="Q899" s="62"/>
      <c r="R899" s="62"/>
      <c r="S899" s="62"/>
      <c r="T899" s="10">
        <f t="shared" si="1"/>
        <v>0</v>
      </c>
      <c r="U899" s="62"/>
      <c r="V899" s="62"/>
      <c r="W899" s="62"/>
      <c r="X899" s="62"/>
      <c r="Y899" s="62"/>
      <c r="Z899" s="62"/>
      <c r="AA899" s="62"/>
      <c r="AB899" s="62"/>
      <c r="AC899" s="62"/>
      <c r="AD899" s="62"/>
      <c r="AE899" s="62"/>
      <c r="AF899" s="62"/>
      <c r="AG899" s="62"/>
      <c r="AH899" s="62"/>
      <c r="AI899" s="62"/>
      <c r="AJ899" s="62"/>
      <c r="AK899" s="62"/>
      <c r="AL899" s="62"/>
      <c r="AM899" s="62"/>
      <c r="AN899" s="62"/>
      <c r="AO899" s="62"/>
      <c r="AP899" s="62"/>
      <c r="AQ899" s="62"/>
    </row>
    <row r="900">
      <c r="A900" s="62"/>
      <c r="B900" s="63"/>
      <c r="C900" s="62"/>
      <c r="D900" s="62"/>
      <c r="E900" s="62"/>
      <c r="F900" s="62"/>
      <c r="G900" s="62"/>
      <c r="H900" s="62"/>
      <c r="I900" s="62"/>
      <c r="J900" s="62"/>
      <c r="K900" s="62"/>
      <c r="L900" s="62"/>
      <c r="M900" s="62"/>
      <c r="N900" s="62"/>
      <c r="O900" s="62"/>
      <c r="P900" s="62"/>
      <c r="Q900" s="62"/>
      <c r="R900" s="62"/>
      <c r="S900" s="62"/>
      <c r="T900" s="10">
        <f t="shared" si="1"/>
        <v>0</v>
      </c>
      <c r="U900" s="62"/>
      <c r="V900" s="62"/>
      <c r="W900" s="62"/>
      <c r="X900" s="62"/>
      <c r="Y900" s="62"/>
      <c r="Z900" s="62"/>
      <c r="AA900" s="62"/>
      <c r="AB900" s="62"/>
      <c r="AC900" s="62"/>
      <c r="AD900" s="62"/>
      <c r="AE900" s="62"/>
      <c r="AF900" s="62"/>
      <c r="AG900" s="62"/>
      <c r="AH900" s="62"/>
      <c r="AI900" s="62"/>
      <c r="AJ900" s="62"/>
      <c r="AK900" s="62"/>
      <c r="AL900" s="62"/>
      <c r="AM900" s="62"/>
      <c r="AN900" s="62"/>
      <c r="AO900" s="62"/>
      <c r="AP900" s="62"/>
      <c r="AQ900" s="62"/>
    </row>
    <row r="901">
      <c r="A901" s="62"/>
      <c r="B901" s="63"/>
      <c r="C901" s="62"/>
      <c r="D901" s="62"/>
      <c r="E901" s="62"/>
      <c r="F901" s="62"/>
      <c r="G901" s="62"/>
      <c r="H901" s="62"/>
      <c r="I901" s="62"/>
      <c r="J901" s="62"/>
      <c r="K901" s="62"/>
      <c r="L901" s="62"/>
      <c r="M901" s="62"/>
      <c r="N901" s="62"/>
      <c r="O901" s="62"/>
      <c r="P901" s="62"/>
      <c r="Q901" s="62"/>
      <c r="R901" s="62"/>
      <c r="S901" s="62"/>
      <c r="T901" s="10">
        <f t="shared" si="1"/>
        <v>0</v>
      </c>
      <c r="U901" s="62"/>
      <c r="V901" s="62"/>
      <c r="W901" s="62"/>
      <c r="X901" s="62"/>
      <c r="Y901" s="62"/>
      <c r="Z901" s="62"/>
      <c r="AA901" s="62"/>
      <c r="AB901" s="62"/>
      <c r="AC901" s="62"/>
      <c r="AD901" s="62"/>
      <c r="AE901" s="62"/>
      <c r="AF901" s="62"/>
      <c r="AG901" s="62"/>
      <c r="AH901" s="62"/>
      <c r="AI901" s="62"/>
      <c r="AJ901" s="62"/>
      <c r="AK901" s="62"/>
      <c r="AL901" s="62"/>
      <c r="AM901" s="62"/>
      <c r="AN901" s="62"/>
      <c r="AO901" s="62"/>
      <c r="AP901" s="62"/>
      <c r="AQ901" s="62"/>
    </row>
    <row r="902">
      <c r="A902" s="62"/>
      <c r="B902" s="63"/>
      <c r="C902" s="62"/>
      <c r="D902" s="62"/>
      <c r="E902" s="62"/>
      <c r="F902" s="62"/>
      <c r="G902" s="62"/>
      <c r="H902" s="62"/>
      <c r="I902" s="62"/>
      <c r="J902" s="62"/>
      <c r="K902" s="62"/>
      <c r="L902" s="62"/>
      <c r="M902" s="62"/>
      <c r="N902" s="62"/>
      <c r="O902" s="62"/>
      <c r="P902" s="62"/>
      <c r="Q902" s="62"/>
      <c r="R902" s="62"/>
      <c r="S902" s="62"/>
      <c r="T902" s="10">
        <f t="shared" si="1"/>
        <v>0</v>
      </c>
      <c r="U902" s="62"/>
      <c r="V902" s="62"/>
      <c r="W902" s="62"/>
      <c r="X902" s="62"/>
      <c r="Y902" s="62"/>
      <c r="Z902" s="62"/>
      <c r="AA902" s="62"/>
      <c r="AB902" s="62"/>
      <c r="AC902" s="62"/>
      <c r="AD902" s="62"/>
      <c r="AE902" s="62"/>
      <c r="AF902" s="62"/>
      <c r="AG902" s="62"/>
      <c r="AH902" s="62"/>
      <c r="AI902" s="62"/>
      <c r="AJ902" s="62"/>
      <c r="AK902" s="62"/>
      <c r="AL902" s="62"/>
      <c r="AM902" s="62"/>
      <c r="AN902" s="62"/>
      <c r="AO902" s="62"/>
      <c r="AP902" s="62"/>
      <c r="AQ902" s="62"/>
    </row>
    <row r="903">
      <c r="A903" s="62"/>
      <c r="B903" s="63"/>
      <c r="C903" s="62"/>
      <c r="D903" s="62"/>
      <c r="E903" s="62"/>
      <c r="F903" s="62"/>
      <c r="G903" s="62"/>
      <c r="H903" s="62"/>
      <c r="I903" s="62"/>
      <c r="J903" s="62"/>
      <c r="K903" s="62"/>
      <c r="L903" s="62"/>
      <c r="M903" s="62"/>
      <c r="N903" s="62"/>
      <c r="O903" s="62"/>
      <c r="P903" s="62"/>
      <c r="Q903" s="62"/>
      <c r="R903" s="62"/>
      <c r="S903" s="62"/>
      <c r="T903" s="10">
        <f t="shared" si="1"/>
        <v>0</v>
      </c>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row>
    <row r="904">
      <c r="A904" s="62"/>
      <c r="B904" s="63"/>
      <c r="C904" s="62"/>
      <c r="D904" s="62"/>
      <c r="E904" s="62"/>
      <c r="F904" s="62"/>
      <c r="G904" s="62"/>
      <c r="H904" s="62"/>
      <c r="I904" s="62"/>
      <c r="J904" s="62"/>
      <c r="K904" s="62"/>
      <c r="L904" s="62"/>
      <c r="M904" s="62"/>
      <c r="N904" s="62"/>
      <c r="O904" s="62"/>
      <c r="P904" s="62"/>
      <c r="Q904" s="62"/>
      <c r="R904" s="62"/>
      <c r="S904" s="62"/>
      <c r="T904" s="10">
        <f t="shared" si="1"/>
        <v>0</v>
      </c>
      <c r="U904" s="62"/>
      <c r="V904" s="62"/>
      <c r="W904" s="62"/>
      <c r="X904" s="62"/>
      <c r="Y904" s="62"/>
      <c r="Z904" s="62"/>
      <c r="AA904" s="62"/>
      <c r="AB904" s="62"/>
      <c r="AC904" s="62"/>
      <c r="AD904" s="62"/>
      <c r="AE904" s="62"/>
      <c r="AF904" s="62"/>
      <c r="AG904" s="62"/>
      <c r="AH904" s="62"/>
      <c r="AI904" s="62"/>
      <c r="AJ904" s="62"/>
      <c r="AK904" s="62"/>
      <c r="AL904" s="62"/>
      <c r="AM904" s="62"/>
      <c r="AN904" s="62"/>
      <c r="AO904" s="62"/>
      <c r="AP904" s="62"/>
      <c r="AQ904" s="62"/>
    </row>
    <row r="905">
      <c r="A905" s="62"/>
      <c r="B905" s="63"/>
      <c r="C905" s="62"/>
      <c r="D905" s="62"/>
      <c r="E905" s="62"/>
      <c r="F905" s="62"/>
      <c r="G905" s="62"/>
      <c r="H905" s="62"/>
      <c r="I905" s="62"/>
      <c r="J905" s="62"/>
      <c r="K905" s="62"/>
      <c r="L905" s="62"/>
      <c r="M905" s="62"/>
      <c r="N905" s="62"/>
      <c r="O905" s="62"/>
      <c r="P905" s="62"/>
      <c r="Q905" s="62"/>
      <c r="R905" s="62"/>
      <c r="S905" s="62"/>
      <c r="T905" s="10">
        <f t="shared" si="1"/>
        <v>0</v>
      </c>
      <c r="U905" s="62"/>
      <c r="V905" s="62"/>
      <c r="W905" s="62"/>
      <c r="X905" s="62"/>
      <c r="Y905" s="62"/>
      <c r="Z905" s="62"/>
      <c r="AA905" s="62"/>
      <c r="AB905" s="62"/>
      <c r="AC905" s="62"/>
      <c r="AD905" s="62"/>
      <c r="AE905" s="62"/>
      <c r="AF905" s="62"/>
      <c r="AG905" s="62"/>
      <c r="AH905" s="62"/>
      <c r="AI905" s="62"/>
      <c r="AJ905" s="62"/>
      <c r="AK905" s="62"/>
      <c r="AL905" s="62"/>
      <c r="AM905" s="62"/>
      <c r="AN905" s="62"/>
      <c r="AO905" s="62"/>
      <c r="AP905" s="62"/>
      <c r="AQ905" s="62"/>
    </row>
    <row r="906">
      <c r="A906" s="62"/>
      <c r="B906" s="63"/>
      <c r="C906" s="62"/>
      <c r="D906" s="62"/>
      <c r="E906" s="62"/>
      <c r="F906" s="62"/>
      <c r="G906" s="62"/>
      <c r="H906" s="62"/>
      <c r="I906" s="62"/>
      <c r="J906" s="62"/>
      <c r="K906" s="62"/>
      <c r="L906" s="62"/>
      <c r="M906" s="62"/>
      <c r="N906" s="62"/>
      <c r="O906" s="62"/>
      <c r="P906" s="62"/>
      <c r="Q906" s="62"/>
      <c r="R906" s="62"/>
      <c r="S906" s="62"/>
      <c r="T906" s="10">
        <f t="shared" si="1"/>
        <v>0</v>
      </c>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row>
    <row r="907">
      <c r="A907" s="62"/>
      <c r="B907" s="63"/>
      <c r="C907" s="62"/>
      <c r="D907" s="62"/>
      <c r="E907" s="62"/>
      <c r="F907" s="62"/>
      <c r="G907" s="62"/>
      <c r="H907" s="62"/>
      <c r="I907" s="62"/>
      <c r="J907" s="62"/>
      <c r="K907" s="62"/>
      <c r="L907" s="62"/>
      <c r="M907" s="62"/>
      <c r="N907" s="62"/>
      <c r="O907" s="62"/>
      <c r="P907" s="62"/>
      <c r="Q907" s="62"/>
      <c r="R907" s="62"/>
      <c r="S907" s="62"/>
      <c r="T907" s="10">
        <f t="shared" si="1"/>
        <v>0</v>
      </c>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row>
    <row r="908">
      <c r="A908" s="62"/>
      <c r="B908" s="63"/>
      <c r="C908" s="62"/>
      <c r="D908" s="62"/>
      <c r="E908" s="62"/>
      <c r="F908" s="62"/>
      <c r="G908" s="62"/>
      <c r="H908" s="62"/>
      <c r="I908" s="62"/>
      <c r="J908" s="62"/>
      <c r="K908" s="62"/>
      <c r="L908" s="62"/>
      <c r="M908" s="62"/>
      <c r="N908" s="62"/>
      <c r="O908" s="62"/>
      <c r="P908" s="62"/>
      <c r="Q908" s="62"/>
      <c r="R908" s="62"/>
      <c r="S908" s="62"/>
      <c r="T908" s="10">
        <f t="shared" si="1"/>
        <v>0</v>
      </c>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row>
    <row r="909">
      <c r="A909" s="62"/>
      <c r="B909" s="63"/>
      <c r="C909" s="62"/>
      <c r="D909" s="62"/>
      <c r="E909" s="62"/>
      <c r="F909" s="62"/>
      <c r="G909" s="62"/>
      <c r="H909" s="62"/>
      <c r="I909" s="62"/>
      <c r="J909" s="62"/>
      <c r="K909" s="62"/>
      <c r="L909" s="62"/>
      <c r="M909" s="62"/>
      <c r="N909" s="62"/>
      <c r="O909" s="62"/>
      <c r="P909" s="62"/>
      <c r="Q909" s="62"/>
      <c r="R909" s="62"/>
      <c r="S909" s="62"/>
      <c r="T909" s="10">
        <f t="shared" si="1"/>
        <v>0</v>
      </c>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row>
    <row r="910">
      <c r="A910" s="62"/>
      <c r="B910" s="63"/>
      <c r="C910" s="62"/>
      <c r="D910" s="62"/>
      <c r="E910" s="62"/>
      <c r="F910" s="62"/>
      <c r="G910" s="62"/>
      <c r="H910" s="62"/>
      <c r="I910" s="62"/>
      <c r="J910" s="62"/>
      <c r="K910" s="62"/>
      <c r="L910" s="62"/>
      <c r="M910" s="62"/>
      <c r="N910" s="62"/>
      <c r="O910" s="62"/>
      <c r="P910" s="62"/>
      <c r="Q910" s="62"/>
      <c r="R910" s="62"/>
      <c r="S910" s="62"/>
      <c r="T910" s="10">
        <f t="shared" si="1"/>
        <v>0</v>
      </c>
      <c r="U910" s="62"/>
      <c r="V910" s="62"/>
      <c r="W910" s="62"/>
      <c r="X910" s="62"/>
      <c r="Y910" s="62"/>
      <c r="Z910" s="62"/>
      <c r="AA910" s="62"/>
      <c r="AB910" s="62"/>
      <c r="AC910" s="62"/>
      <c r="AD910" s="62"/>
      <c r="AE910" s="62"/>
      <c r="AF910" s="62"/>
      <c r="AG910" s="62"/>
      <c r="AH910" s="62"/>
      <c r="AI910" s="62"/>
      <c r="AJ910" s="62"/>
      <c r="AK910" s="62"/>
      <c r="AL910" s="62"/>
      <c r="AM910" s="62"/>
      <c r="AN910" s="62"/>
      <c r="AO910" s="62"/>
      <c r="AP910" s="62"/>
      <c r="AQ910" s="62"/>
    </row>
    <row r="911">
      <c r="A911" s="62"/>
      <c r="B911" s="63"/>
      <c r="C911" s="62"/>
      <c r="D911" s="62"/>
      <c r="E911" s="62"/>
      <c r="F911" s="62"/>
      <c r="G911" s="62"/>
      <c r="H911" s="62"/>
      <c r="I911" s="62"/>
      <c r="J911" s="62"/>
      <c r="K911" s="62"/>
      <c r="L911" s="62"/>
      <c r="M911" s="62"/>
      <c r="N911" s="62"/>
      <c r="O911" s="62"/>
      <c r="P911" s="62"/>
      <c r="Q911" s="62"/>
      <c r="R911" s="62"/>
      <c r="S911" s="62"/>
      <c r="T911" s="10">
        <f t="shared" si="1"/>
        <v>0</v>
      </c>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row>
    <row r="912">
      <c r="A912" s="62"/>
      <c r="B912" s="63"/>
      <c r="C912" s="62"/>
      <c r="D912" s="62"/>
      <c r="E912" s="62"/>
      <c r="F912" s="62"/>
      <c r="G912" s="62"/>
      <c r="H912" s="62"/>
      <c r="I912" s="62"/>
      <c r="J912" s="62"/>
      <c r="K912" s="62"/>
      <c r="L912" s="62"/>
      <c r="M912" s="62"/>
      <c r="N912" s="62"/>
      <c r="O912" s="62"/>
      <c r="P912" s="62"/>
      <c r="Q912" s="62"/>
      <c r="R912" s="62"/>
      <c r="S912" s="62"/>
      <c r="T912" s="10">
        <f t="shared" si="1"/>
        <v>0</v>
      </c>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row>
    <row r="913">
      <c r="A913" s="62"/>
      <c r="B913" s="63"/>
      <c r="C913" s="62"/>
      <c r="D913" s="62"/>
      <c r="E913" s="62"/>
      <c r="F913" s="62"/>
      <c r="G913" s="62"/>
      <c r="H913" s="62"/>
      <c r="I913" s="62"/>
      <c r="J913" s="62"/>
      <c r="K913" s="62"/>
      <c r="L913" s="62"/>
      <c r="M913" s="62"/>
      <c r="N913" s="62"/>
      <c r="O913" s="62"/>
      <c r="P913" s="62"/>
      <c r="Q913" s="62"/>
      <c r="R913" s="62"/>
      <c r="S913" s="62"/>
      <c r="T913" s="10">
        <f t="shared" si="1"/>
        <v>0</v>
      </c>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row>
    <row r="914">
      <c r="A914" s="62"/>
      <c r="B914" s="63"/>
      <c r="C914" s="62"/>
      <c r="D914" s="62"/>
      <c r="E914" s="62"/>
      <c r="F914" s="62"/>
      <c r="G914" s="62"/>
      <c r="H914" s="62"/>
      <c r="I914" s="62"/>
      <c r="J914" s="62"/>
      <c r="K914" s="62"/>
      <c r="L914" s="62"/>
      <c r="M914" s="62"/>
      <c r="N914" s="62"/>
      <c r="O914" s="62"/>
      <c r="P914" s="62"/>
      <c r="Q914" s="62"/>
      <c r="R914" s="62"/>
      <c r="S914" s="62"/>
      <c r="T914" s="10">
        <f t="shared" si="1"/>
        <v>0</v>
      </c>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row>
    <row r="915">
      <c r="A915" s="62"/>
      <c r="B915" s="63"/>
      <c r="C915" s="62"/>
      <c r="D915" s="62"/>
      <c r="E915" s="62"/>
      <c r="F915" s="62"/>
      <c r="G915" s="62"/>
      <c r="H915" s="62"/>
      <c r="I915" s="62"/>
      <c r="J915" s="62"/>
      <c r="K915" s="62"/>
      <c r="L915" s="62"/>
      <c r="M915" s="62"/>
      <c r="N915" s="62"/>
      <c r="O915" s="62"/>
      <c r="P915" s="62"/>
      <c r="Q915" s="62"/>
      <c r="R915" s="62"/>
      <c r="S915" s="62"/>
      <c r="T915" s="10">
        <f t="shared" si="1"/>
        <v>0</v>
      </c>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row>
    <row r="916">
      <c r="A916" s="62"/>
      <c r="B916" s="63"/>
      <c r="C916" s="62"/>
      <c r="D916" s="62"/>
      <c r="E916" s="62"/>
      <c r="F916" s="62"/>
      <c r="G916" s="62"/>
      <c r="H916" s="62"/>
      <c r="I916" s="62"/>
      <c r="J916" s="62"/>
      <c r="K916" s="62"/>
      <c r="L916" s="62"/>
      <c r="M916" s="62"/>
      <c r="N916" s="62"/>
      <c r="O916" s="62"/>
      <c r="P916" s="62"/>
      <c r="Q916" s="62"/>
      <c r="R916" s="62"/>
      <c r="S916" s="62"/>
      <c r="T916" s="10">
        <f t="shared" si="1"/>
        <v>0</v>
      </c>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row>
    <row r="917">
      <c r="A917" s="62"/>
      <c r="B917" s="63"/>
      <c r="C917" s="62"/>
      <c r="D917" s="62"/>
      <c r="E917" s="62"/>
      <c r="F917" s="62"/>
      <c r="G917" s="62"/>
      <c r="H917" s="62"/>
      <c r="I917" s="62"/>
      <c r="J917" s="62"/>
      <c r="K917" s="62"/>
      <c r="L917" s="62"/>
      <c r="M917" s="62"/>
      <c r="N917" s="62"/>
      <c r="O917" s="62"/>
      <c r="P917" s="62"/>
      <c r="Q917" s="62"/>
      <c r="R917" s="62"/>
      <c r="S917" s="62"/>
      <c r="T917" s="10">
        <f t="shared" si="1"/>
        <v>0</v>
      </c>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row>
    <row r="918">
      <c r="A918" s="62"/>
      <c r="B918" s="63"/>
      <c r="C918" s="62"/>
      <c r="D918" s="62"/>
      <c r="E918" s="62"/>
      <c r="F918" s="62"/>
      <c r="G918" s="62"/>
      <c r="H918" s="62"/>
      <c r="I918" s="62"/>
      <c r="J918" s="62"/>
      <c r="K918" s="62"/>
      <c r="L918" s="62"/>
      <c r="M918" s="62"/>
      <c r="N918" s="62"/>
      <c r="O918" s="62"/>
      <c r="P918" s="62"/>
      <c r="Q918" s="62"/>
      <c r="R918" s="62"/>
      <c r="S918" s="62"/>
      <c r="T918" s="10">
        <f t="shared" si="1"/>
        <v>0</v>
      </c>
      <c r="U918" s="62"/>
      <c r="V918" s="62"/>
      <c r="W918" s="62"/>
      <c r="X918" s="62"/>
      <c r="Y918" s="62"/>
      <c r="Z918" s="62"/>
      <c r="AA918" s="62"/>
      <c r="AB918" s="62"/>
      <c r="AC918" s="62"/>
      <c r="AD918" s="62"/>
      <c r="AE918" s="62"/>
      <c r="AF918" s="62"/>
      <c r="AG918" s="62"/>
      <c r="AH918" s="62"/>
      <c r="AI918" s="62"/>
      <c r="AJ918" s="62"/>
      <c r="AK918" s="62"/>
      <c r="AL918" s="62"/>
      <c r="AM918" s="62"/>
      <c r="AN918" s="62"/>
      <c r="AO918" s="62"/>
      <c r="AP918" s="62"/>
      <c r="AQ918" s="62"/>
    </row>
    <row r="919">
      <c r="A919" s="62"/>
      <c r="B919" s="63"/>
      <c r="C919" s="62"/>
      <c r="D919" s="62"/>
      <c r="E919" s="62"/>
      <c r="F919" s="62"/>
      <c r="G919" s="62"/>
      <c r="H919" s="62"/>
      <c r="I919" s="62"/>
      <c r="J919" s="62"/>
      <c r="K919" s="62"/>
      <c r="L919" s="62"/>
      <c r="M919" s="62"/>
      <c r="N919" s="62"/>
      <c r="O919" s="62"/>
      <c r="P919" s="62"/>
      <c r="Q919" s="62"/>
      <c r="R919" s="62"/>
      <c r="S919" s="62"/>
      <c r="T919" s="10">
        <f t="shared" si="1"/>
        <v>0</v>
      </c>
      <c r="U919" s="62"/>
      <c r="V919" s="62"/>
      <c r="W919" s="62"/>
      <c r="X919" s="62"/>
      <c r="Y919" s="62"/>
      <c r="Z919" s="62"/>
      <c r="AA919" s="62"/>
      <c r="AB919" s="62"/>
      <c r="AC919" s="62"/>
      <c r="AD919" s="62"/>
      <c r="AE919" s="62"/>
      <c r="AF919" s="62"/>
      <c r="AG919" s="62"/>
      <c r="AH919" s="62"/>
      <c r="AI919" s="62"/>
      <c r="AJ919" s="62"/>
      <c r="AK919" s="62"/>
      <c r="AL919" s="62"/>
      <c r="AM919" s="62"/>
      <c r="AN919" s="62"/>
      <c r="AO919" s="62"/>
      <c r="AP919" s="62"/>
      <c r="AQ919" s="62"/>
    </row>
    <row r="920">
      <c r="A920" s="62"/>
      <c r="B920" s="63"/>
      <c r="C920" s="62"/>
      <c r="D920" s="62"/>
      <c r="E920" s="62"/>
      <c r="F920" s="62"/>
      <c r="G920" s="62"/>
      <c r="H920" s="62"/>
      <c r="I920" s="62"/>
      <c r="J920" s="62"/>
      <c r="K920" s="62"/>
      <c r="L920" s="62"/>
      <c r="M920" s="62"/>
      <c r="N920" s="62"/>
      <c r="O920" s="62"/>
      <c r="P920" s="62"/>
      <c r="Q920" s="62"/>
      <c r="R920" s="62"/>
      <c r="S920" s="62"/>
      <c r="T920" s="10">
        <f t="shared" si="1"/>
        <v>0</v>
      </c>
      <c r="U920" s="62"/>
      <c r="V920" s="62"/>
      <c r="W920" s="62"/>
      <c r="X920" s="62"/>
      <c r="Y920" s="62"/>
      <c r="Z920" s="62"/>
      <c r="AA920" s="62"/>
      <c r="AB920" s="62"/>
      <c r="AC920" s="62"/>
      <c r="AD920" s="62"/>
      <c r="AE920" s="62"/>
      <c r="AF920" s="62"/>
      <c r="AG920" s="62"/>
      <c r="AH920" s="62"/>
      <c r="AI920" s="62"/>
      <c r="AJ920" s="62"/>
      <c r="AK920" s="62"/>
      <c r="AL920" s="62"/>
      <c r="AM920" s="62"/>
      <c r="AN920" s="62"/>
      <c r="AO920" s="62"/>
      <c r="AP920" s="62"/>
      <c r="AQ920" s="62"/>
    </row>
    <row r="921">
      <c r="A921" s="62"/>
      <c r="B921" s="63"/>
      <c r="C921" s="62"/>
      <c r="D921" s="62"/>
      <c r="E921" s="62"/>
      <c r="F921" s="62"/>
      <c r="G921" s="62"/>
      <c r="H921" s="62"/>
      <c r="I921" s="62"/>
      <c r="J921" s="62"/>
      <c r="K921" s="62"/>
      <c r="L921" s="62"/>
      <c r="M921" s="62"/>
      <c r="N921" s="62"/>
      <c r="O921" s="62"/>
      <c r="P921" s="62"/>
      <c r="Q921" s="62"/>
      <c r="R921" s="62"/>
      <c r="S921" s="62"/>
      <c r="T921" s="10">
        <f t="shared" si="1"/>
        <v>0</v>
      </c>
      <c r="U921" s="62"/>
      <c r="V921" s="62"/>
      <c r="W921" s="62"/>
      <c r="X921" s="62"/>
      <c r="Y921" s="62"/>
      <c r="Z921" s="62"/>
      <c r="AA921" s="62"/>
      <c r="AB921" s="62"/>
      <c r="AC921" s="62"/>
      <c r="AD921" s="62"/>
      <c r="AE921" s="62"/>
      <c r="AF921" s="62"/>
      <c r="AG921" s="62"/>
      <c r="AH921" s="62"/>
      <c r="AI921" s="62"/>
      <c r="AJ921" s="62"/>
      <c r="AK921" s="62"/>
      <c r="AL921" s="62"/>
      <c r="AM921" s="62"/>
      <c r="AN921" s="62"/>
      <c r="AO921" s="62"/>
      <c r="AP921" s="62"/>
      <c r="AQ921" s="62"/>
    </row>
    <row r="922">
      <c r="A922" s="62"/>
      <c r="B922" s="63"/>
      <c r="C922" s="62"/>
      <c r="D922" s="62"/>
      <c r="E922" s="62"/>
      <c r="F922" s="62"/>
      <c r="G922" s="62"/>
      <c r="H922" s="62"/>
      <c r="I922" s="62"/>
      <c r="J922" s="62"/>
      <c r="K922" s="62"/>
      <c r="L922" s="62"/>
      <c r="M922" s="62"/>
      <c r="N922" s="62"/>
      <c r="O922" s="62"/>
      <c r="P922" s="62"/>
      <c r="Q922" s="62"/>
      <c r="R922" s="62"/>
      <c r="S922" s="62"/>
      <c r="T922" s="10">
        <f t="shared" si="1"/>
        <v>0</v>
      </c>
      <c r="U922" s="62"/>
      <c r="V922" s="62"/>
      <c r="W922" s="62"/>
      <c r="X922" s="62"/>
      <c r="Y922" s="62"/>
      <c r="Z922" s="62"/>
      <c r="AA922" s="62"/>
      <c r="AB922" s="62"/>
      <c r="AC922" s="62"/>
      <c r="AD922" s="62"/>
      <c r="AE922" s="62"/>
      <c r="AF922" s="62"/>
      <c r="AG922" s="62"/>
      <c r="AH922" s="62"/>
      <c r="AI922" s="62"/>
      <c r="AJ922" s="62"/>
      <c r="AK922" s="62"/>
      <c r="AL922" s="62"/>
      <c r="AM922" s="62"/>
      <c r="AN922" s="62"/>
      <c r="AO922" s="62"/>
      <c r="AP922" s="62"/>
      <c r="AQ922" s="62"/>
    </row>
    <row r="923">
      <c r="A923" s="62"/>
      <c r="B923" s="63"/>
      <c r="C923" s="62"/>
      <c r="D923" s="62"/>
      <c r="E923" s="62"/>
      <c r="F923" s="62"/>
      <c r="G923" s="62"/>
      <c r="H923" s="62"/>
      <c r="I923" s="62"/>
      <c r="J923" s="62"/>
      <c r="K923" s="62"/>
      <c r="L923" s="62"/>
      <c r="M923" s="62"/>
      <c r="N923" s="62"/>
      <c r="O923" s="62"/>
      <c r="P923" s="62"/>
      <c r="Q923" s="62"/>
      <c r="R923" s="62"/>
      <c r="S923" s="62"/>
      <c r="T923" s="10">
        <f t="shared" si="1"/>
        <v>0</v>
      </c>
      <c r="U923" s="62"/>
      <c r="V923" s="62"/>
      <c r="W923" s="62"/>
      <c r="X923" s="62"/>
      <c r="Y923" s="62"/>
      <c r="Z923" s="62"/>
      <c r="AA923" s="62"/>
      <c r="AB923" s="62"/>
      <c r="AC923" s="62"/>
      <c r="AD923" s="62"/>
      <c r="AE923" s="62"/>
      <c r="AF923" s="62"/>
      <c r="AG923" s="62"/>
      <c r="AH923" s="62"/>
      <c r="AI923" s="62"/>
      <c r="AJ923" s="62"/>
      <c r="AK923" s="62"/>
      <c r="AL923" s="62"/>
      <c r="AM923" s="62"/>
      <c r="AN923" s="62"/>
      <c r="AO923" s="62"/>
      <c r="AP923" s="62"/>
      <c r="AQ923" s="62"/>
    </row>
    <row r="924">
      <c r="A924" s="62"/>
      <c r="B924" s="63"/>
      <c r="C924" s="62"/>
      <c r="D924" s="62"/>
      <c r="E924" s="62"/>
      <c r="F924" s="62"/>
      <c r="G924" s="62"/>
      <c r="H924" s="62"/>
      <c r="I924" s="62"/>
      <c r="J924" s="62"/>
      <c r="K924" s="62"/>
      <c r="L924" s="62"/>
      <c r="M924" s="62"/>
      <c r="N924" s="62"/>
      <c r="O924" s="62"/>
      <c r="P924" s="62"/>
      <c r="Q924" s="62"/>
      <c r="R924" s="62"/>
      <c r="S924" s="62"/>
      <c r="T924" s="10">
        <f t="shared" si="1"/>
        <v>0</v>
      </c>
      <c r="U924" s="62"/>
      <c r="V924" s="62"/>
      <c r="W924" s="62"/>
      <c r="X924" s="62"/>
      <c r="Y924" s="62"/>
      <c r="Z924" s="62"/>
      <c r="AA924" s="62"/>
      <c r="AB924" s="62"/>
      <c r="AC924" s="62"/>
      <c r="AD924" s="62"/>
      <c r="AE924" s="62"/>
      <c r="AF924" s="62"/>
      <c r="AG924" s="62"/>
      <c r="AH924" s="62"/>
      <c r="AI924" s="62"/>
      <c r="AJ924" s="62"/>
      <c r="AK924" s="62"/>
      <c r="AL924" s="62"/>
      <c r="AM924" s="62"/>
      <c r="AN924" s="62"/>
      <c r="AO924" s="62"/>
      <c r="AP924" s="62"/>
      <c r="AQ924" s="62"/>
    </row>
    <row r="925">
      <c r="A925" s="62"/>
      <c r="B925" s="63"/>
      <c r="C925" s="62"/>
      <c r="D925" s="62"/>
      <c r="E925" s="62"/>
      <c r="F925" s="62"/>
      <c r="G925" s="62"/>
      <c r="H925" s="62"/>
      <c r="I925" s="62"/>
      <c r="J925" s="62"/>
      <c r="K925" s="62"/>
      <c r="L925" s="62"/>
      <c r="M925" s="62"/>
      <c r="N925" s="62"/>
      <c r="O925" s="62"/>
      <c r="P925" s="62"/>
      <c r="Q925" s="62"/>
      <c r="R925" s="62"/>
      <c r="S925" s="62"/>
      <c r="T925" s="10">
        <f t="shared" si="1"/>
        <v>0</v>
      </c>
      <c r="U925" s="62"/>
      <c r="V925" s="62"/>
      <c r="W925" s="62"/>
      <c r="X925" s="62"/>
      <c r="Y925" s="62"/>
      <c r="Z925" s="62"/>
      <c r="AA925" s="62"/>
      <c r="AB925" s="62"/>
      <c r="AC925" s="62"/>
      <c r="AD925" s="62"/>
      <c r="AE925" s="62"/>
      <c r="AF925" s="62"/>
      <c r="AG925" s="62"/>
      <c r="AH925" s="62"/>
      <c r="AI925" s="62"/>
      <c r="AJ925" s="62"/>
      <c r="AK925" s="62"/>
      <c r="AL925" s="62"/>
      <c r="AM925" s="62"/>
      <c r="AN925" s="62"/>
      <c r="AO925" s="62"/>
      <c r="AP925" s="62"/>
      <c r="AQ925" s="62"/>
    </row>
    <row r="926">
      <c r="A926" s="62"/>
      <c r="B926" s="63"/>
      <c r="C926" s="62"/>
      <c r="D926" s="62"/>
      <c r="E926" s="62"/>
      <c r="F926" s="62"/>
      <c r="G926" s="62"/>
      <c r="H926" s="62"/>
      <c r="I926" s="62"/>
      <c r="J926" s="62"/>
      <c r="K926" s="62"/>
      <c r="L926" s="62"/>
      <c r="M926" s="62"/>
      <c r="N926" s="62"/>
      <c r="O926" s="62"/>
      <c r="P926" s="62"/>
      <c r="Q926" s="62"/>
      <c r="R926" s="62"/>
      <c r="S926" s="62"/>
      <c r="T926" s="10">
        <f t="shared" si="1"/>
        <v>0</v>
      </c>
      <c r="U926" s="62"/>
      <c r="V926" s="62"/>
      <c r="W926" s="62"/>
      <c r="X926" s="62"/>
      <c r="Y926" s="62"/>
      <c r="Z926" s="62"/>
      <c r="AA926" s="62"/>
      <c r="AB926" s="62"/>
      <c r="AC926" s="62"/>
      <c r="AD926" s="62"/>
      <c r="AE926" s="62"/>
      <c r="AF926" s="62"/>
      <c r="AG926" s="62"/>
      <c r="AH926" s="62"/>
      <c r="AI926" s="62"/>
      <c r="AJ926" s="62"/>
      <c r="AK926" s="62"/>
      <c r="AL926" s="62"/>
      <c r="AM926" s="62"/>
      <c r="AN926" s="62"/>
      <c r="AO926" s="62"/>
      <c r="AP926" s="62"/>
      <c r="AQ926" s="62"/>
    </row>
    <row r="927">
      <c r="A927" s="62"/>
      <c r="B927" s="63"/>
      <c r="C927" s="62"/>
      <c r="D927" s="62"/>
      <c r="E927" s="62"/>
      <c r="F927" s="62"/>
      <c r="G927" s="62"/>
      <c r="H927" s="62"/>
      <c r="I927" s="62"/>
      <c r="J927" s="62"/>
      <c r="K927" s="62"/>
      <c r="L927" s="62"/>
      <c r="M927" s="62"/>
      <c r="N927" s="62"/>
      <c r="O927" s="62"/>
      <c r="P927" s="62"/>
      <c r="Q927" s="62"/>
      <c r="R927" s="62"/>
      <c r="S927" s="62"/>
      <c r="T927" s="10">
        <f t="shared" si="1"/>
        <v>0</v>
      </c>
      <c r="U927" s="62"/>
      <c r="V927" s="62"/>
      <c r="W927" s="62"/>
      <c r="X927" s="62"/>
      <c r="Y927" s="62"/>
      <c r="Z927" s="62"/>
      <c r="AA927" s="62"/>
      <c r="AB927" s="62"/>
      <c r="AC927" s="62"/>
      <c r="AD927" s="62"/>
      <c r="AE927" s="62"/>
      <c r="AF927" s="62"/>
      <c r="AG927" s="62"/>
      <c r="AH927" s="62"/>
      <c r="AI927" s="62"/>
      <c r="AJ927" s="62"/>
      <c r="AK927" s="62"/>
      <c r="AL927" s="62"/>
      <c r="AM927" s="62"/>
      <c r="AN927" s="62"/>
      <c r="AO927" s="62"/>
      <c r="AP927" s="62"/>
      <c r="AQ927" s="62"/>
    </row>
    <row r="928">
      <c r="A928" s="62"/>
      <c r="B928" s="63"/>
      <c r="C928" s="62"/>
      <c r="D928" s="62"/>
      <c r="E928" s="62"/>
      <c r="F928" s="62"/>
      <c r="G928" s="62"/>
      <c r="H928" s="62"/>
      <c r="I928" s="62"/>
      <c r="J928" s="62"/>
      <c r="K928" s="62"/>
      <c r="L928" s="62"/>
      <c r="M928" s="62"/>
      <c r="N928" s="62"/>
      <c r="O928" s="62"/>
      <c r="P928" s="62"/>
      <c r="Q928" s="62"/>
      <c r="R928" s="62"/>
      <c r="S928" s="62"/>
      <c r="T928" s="10">
        <f t="shared" si="1"/>
        <v>0</v>
      </c>
      <c r="U928" s="62"/>
      <c r="V928" s="62"/>
      <c r="W928" s="62"/>
      <c r="X928" s="62"/>
      <c r="Y928" s="62"/>
      <c r="Z928" s="62"/>
      <c r="AA928" s="62"/>
      <c r="AB928" s="62"/>
      <c r="AC928" s="62"/>
      <c r="AD928" s="62"/>
      <c r="AE928" s="62"/>
      <c r="AF928" s="62"/>
      <c r="AG928" s="62"/>
      <c r="AH928" s="62"/>
      <c r="AI928" s="62"/>
      <c r="AJ928" s="62"/>
      <c r="AK928" s="62"/>
      <c r="AL928" s="62"/>
      <c r="AM928" s="62"/>
      <c r="AN928" s="62"/>
      <c r="AO928" s="62"/>
      <c r="AP928" s="62"/>
      <c r="AQ928" s="62"/>
    </row>
    <row r="929">
      <c r="A929" s="62"/>
      <c r="B929" s="63"/>
      <c r="C929" s="62"/>
      <c r="D929" s="62"/>
      <c r="E929" s="62"/>
      <c r="F929" s="62"/>
      <c r="G929" s="62"/>
      <c r="H929" s="62"/>
      <c r="I929" s="62"/>
      <c r="J929" s="62"/>
      <c r="K929" s="62"/>
      <c r="L929" s="62"/>
      <c r="M929" s="62"/>
      <c r="N929" s="62"/>
      <c r="O929" s="62"/>
      <c r="P929" s="62"/>
      <c r="Q929" s="62"/>
      <c r="R929" s="62"/>
      <c r="S929" s="62"/>
      <c r="T929" s="10">
        <f t="shared" si="1"/>
        <v>0</v>
      </c>
      <c r="U929" s="62"/>
      <c r="V929" s="62"/>
      <c r="W929" s="62"/>
      <c r="X929" s="62"/>
      <c r="Y929" s="62"/>
      <c r="Z929" s="62"/>
      <c r="AA929" s="62"/>
      <c r="AB929" s="62"/>
      <c r="AC929" s="62"/>
      <c r="AD929" s="62"/>
      <c r="AE929" s="62"/>
      <c r="AF929" s="62"/>
      <c r="AG929" s="62"/>
      <c r="AH929" s="62"/>
      <c r="AI929" s="62"/>
      <c r="AJ929" s="62"/>
      <c r="AK929" s="62"/>
      <c r="AL929" s="62"/>
      <c r="AM929" s="62"/>
      <c r="AN929" s="62"/>
      <c r="AO929" s="62"/>
      <c r="AP929" s="62"/>
      <c r="AQ929" s="62"/>
    </row>
    <row r="930">
      <c r="A930" s="62"/>
      <c r="B930" s="63"/>
      <c r="C930" s="62"/>
      <c r="D930" s="62"/>
      <c r="E930" s="62"/>
      <c r="F930" s="62"/>
      <c r="G930" s="62"/>
      <c r="H930" s="62"/>
      <c r="I930" s="62"/>
      <c r="J930" s="62"/>
      <c r="K930" s="62"/>
      <c r="L930" s="62"/>
      <c r="M930" s="62"/>
      <c r="N930" s="62"/>
      <c r="O930" s="62"/>
      <c r="P930" s="62"/>
      <c r="Q930" s="62"/>
      <c r="R930" s="62"/>
      <c r="S930" s="62"/>
      <c r="T930" s="10">
        <f t="shared" si="1"/>
        <v>0</v>
      </c>
      <c r="U930" s="62"/>
      <c r="V930" s="62"/>
      <c r="W930" s="62"/>
      <c r="X930" s="62"/>
      <c r="Y930" s="62"/>
      <c r="Z930" s="62"/>
      <c r="AA930" s="62"/>
      <c r="AB930" s="62"/>
      <c r="AC930" s="62"/>
      <c r="AD930" s="62"/>
      <c r="AE930" s="62"/>
      <c r="AF930" s="62"/>
      <c r="AG930" s="62"/>
      <c r="AH930" s="62"/>
      <c r="AI930" s="62"/>
      <c r="AJ930" s="62"/>
      <c r="AK930" s="62"/>
      <c r="AL930" s="62"/>
      <c r="AM930" s="62"/>
      <c r="AN930" s="62"/>
      <c r="AO930" s="62"/>
      <c r="AP930" s="62"/>
      <c r="AQ930" s="62"/>
    </row>
    <row r="931">
      <c r="A931" s="62"/>
      <c r="B931" s="63"/>
      <c r="C931" s="62"/>
      <c r="D931" s="62"/>
      <c r="E931" s="62"/>
      <c r="F931" s="62"/>
      <c r="G931" s="62"/>
      <c r="H931" s="62"/>
      <c r="I931" s="62"/>
      <c r="J931" s="62"/>
      <c r="K931" s="62"/>
      <c r="L931" s="62"/>
      <c r="M931" s="62"/>
      <c r="N931" s="62"/>
      <c r="O931" s="62"/>
      <c r="P931" s="62"/>
      <c r="Q931" s="62"/>
      <c r="R931" s="62"/>
      <c r="S931" s="62"/>
      <c r="T931" s="10">
        <f t="shared" si="1"/>
        <v>0</v>
      </c>
      <c r="U931" s="62"/>
      <c r="V931" s="62"/>
      <c r="W931" s="62"/>
      <c r="X931" s="62"/>
      <c r="Y931" s="62"/>
      <c r="Z931" s="62"/>
      <c r="AA931" s="62"/>
      <c r="AB931" s="62"/>
      <c r="AC931" s="62"/>
      <c r="AD931" s="62"/>
      <c r="AE931" s="62"/>
      <c r="AF931" s="62"/>
      <c r="AG931" s="62"/>
      <c r="AH931" s="62"/>
      <c r="AI931" s="62"/>
      <c r="AJ931" s="62"/>
      <c r="AK931" s="62"/>
      <c r="AL931" s="62"/>
      <c r="AM931" s="62"/>
      <c r="AN931" s="62"/>
      <c r="AO931" s="62"/>
      <c r="AP931" s="62"/>
      <c r="AQ931" s="62"/>
    </row>
    <row r="932">
      <c r="A932" s="62"/>
      <c r="B932" s="63"/>
      <c r="C932" s="62"/>
      <c r="D932" s="62"/>
      <c r="E932" s="62"/>
      <c r="F932" s="62"/>
      <c r="G932" s="62"/>
      <c r="H932" s="62"/>
      <c r="I932" s="62"/>
      <c r="J932" s="62"/>
      <c r="K932" s="62"/>
      <c r="L932" s="62"/>
      <c r="M932" s="62"/>
      <c r="N932" s="62"/>
      <c r="O932" s="62"/>
      <c r="P932" s="62"/>
      <c r="Q932" s="62"/>
      <c r="R932" s="62"/>
      <c r="S932" s="62"/>
      <c r="T932" s="10">
        <f t="shared" si="1"/>
        <v>0</v>
      </c>
      <c r="U932" s="62"/>
      <c r="V932" s="62"/>
      <c r="W932" s="62"/>
      <c r="X932" s="62"/>
      <c r="Y932" s="62"/>
      <c r="Z932" s="62"/>
      <c r="AA932" s="62"/>
      <c r="AB932" s="62"/>
      <c r="AC932" s="62"/>
      <c r="AD932" s="62"/>
      <c r="AE932" s="62"/>
      <c r="AF932" s="62"/>
      <c r="AG932" s="62"/>
      <c r="AH932" s="62"/>
      <c r="AI932" s="62"/>
      <c r="AJ932" s="62"/>
      <c r="AK932" s="62"/>
      <c r="AL932" s="62"/>
      <c r="AM932" s="62"/>
      <c r="AN932" s="62"/>
      <c r="AO932" s="62"/>
      <c r="AP932" s="62"/>
      <c r="AQ932" s="62"/>
    </row>
    <row r="933">
      <c r="A933" s="62"/>
      <c r="B933" s="63"/>
      <c r="C933" s="62"/>
      <c r="D933" s="62"/>
      <c r="E933" s="62"/>
      <c r="F933" s="62"/>
      <c r="G933" s="62"/>
      <c r="H933" s="62"/>
      <c r="I933" s="62"/>
      <c r="J933" s="62"/>
      <c r="K933" s="62"/>
      <c r="L933" s="62"/>
      <c r="M933" s="62"/>
      <c r="N933" s="62"/>
      <c r="O933" s="62"/>
      <c r="P933" s="62"/>
      <c r="Q933" s="62"/>
      <c r="R933" s="62"/>
      <c r="S933" s="62"/>
      <c r="T933" s="10">
        <f t="shared" si="1"/>
        <v>0</v>
      </c>
      <c r="U933" s="62"/>
      <c r="V933" s="62"/>
      <c r="W933" s="62"/>
      <c r="X933" s="62"/>
      <c r="Y933" s="62"/>
      <c r="Z933" s="62"/>
      <c r="AA933" s="62"/>
      <c r="AB933" s="62"/>
      <c r="AC933" s="62"/>
      <c r="AD933" s="62"/>
      <c r="AE933" s="62"/>
      <c r="AF933" s="62"/>
      <c r="AG933" s="62"/>
      <c r="AH933" s="62"/>
      <c r="AI933" s="62"/>
      <c r="AJ933" s="62"/>
      <c r="AK933" s="62"/>
      <c r="AL933" s="62"/>
      <c r="AM933" s="62"/>
      <c r="AN933" s="62"/>
      <c r="AO933" s="62"/>
      <c r="AP933" s="62"/>
      <c r="AQ933" s="62"/>
    </row>
    <row r="934">
      <c r="A934" s="62"/>
      <c r="B934" s="63"/>
      <c r="C934" s="62"/>
      <c r="D934" s="62"/>
      <c r="E934" s="62"/>
      <c r="F934" s="62"/>
      <c r="G934" s="62"/>
      <c r="H934" s="62"/>
      <c r="I934" s="62"/>
      <c r="J934" s="62"/>
      <c r="K934" s="62"/>
      <c r="L934" s="62"/>
      <c r="M934" s="62"/>
      <c r="N934" s="62"/>
      <c r="O934" s="62"/>
      <c r="P934" s="62"/>
      <c r="Q934" s="62"/>
      <c r="R934" s="62"/>
      <c r="S934" s="62"/>
      <c r="T934" s="10">
        <f t="shared" si="1"/>
        <v>0</v>
      </c>
      <c r="U934" s="62"/>
      <c r="V934" s="62"/>
      <c r="W934" s="62"/>
      <c r="X934" s="62"/>
      <c r="Y934" s="62"/>
      <c r="Z934" s="62"/>
      <c r="AA934" s="62"/>
      <c r="AB934" s="62"/>
      <c r="AC934" s="62"/>
      <c r="AD934" s="62"/>
      <c r="AE934" s="62"/>
      <c r="AF934" s="62"/>
      <c r="AG934" s="62"/>
      <c r="AH934" s="62"/>
      <c r="AI934" s="62"/>
      <c r="AJ934" s="62"/>
      <c r="AK934" s="62"/>
      <c r="AL934" s="62"/>
      <c r="AM934" s="62"/>
      <c r="AN934" s="62"/>
      <c r="AO934" s="62"/>
      <c r="AP934" s="62"/>
      <c r="AQ934" s="62"/>
    </row>
    <row r="935">
      <c r="A935" s="62"/>
      <c r="B935" s="63"/>
      <c r="C935" s="62"/>
      <c r="D935" s="62"/>
      <c r="E935" s="62"/>
      <c r="F935" s="62"/>
      <c r="G935" s="62"/>
      <c r="H935" s="62"/>
      <c r="I935" s="62"/>
      <c r="J935" s="62"/>
      <c r="K935" s="62"/>
      <c r="L935" s="62"/>
      <c r="M935" s="62"/>
      <c r="N935" s="62"/>
      <c r="O935" s="62"/>
      <c r="P935" s="62"/>
      <c r="Q935" s="62"/>
      <c r="R935" s="62"/>
      <c r="S935" s="62"/>
      <c r="T935" s="10">
        <f t="shared" si="1"/>
        <v>0</v>
      </c>
      <c r="U935" s="62"/>
      <c r="V935" s="62"/>
      <c r="W935" s="62"/>
      <c r="X935" s="62"/>
      <c r="Y935" s="62"/>
      <c r="Z935" s="62"/>
      <c r="AA935" s="62"/>
      <c r="AB935" s="62"/>
      <c r="AC935" s="62"/>
      <c r="AD935" s="62"/>
      <c r="AE935" s="62"/>
      <c r="AF935" s="62"/>
      <c r="AG935" s="62"/>
      <c r="AH935" s="62"/>
      <c r="AI935" s="62"/>
      <c r="AJ935" s="62"/>
      <c r="AK935" s="62"/>
      <c r="AL935" s="62"/>
      <c r="AM935" s="62"/>
      <c r="AN935" s="62"/>
      <c r="AO935" s="62"/>
      <c r="AP935" s="62"/>
      <c r="AQ935" s="62"/>
    </row>
    <row r="936">
      <c r="A936" s="62"/>
      <c r="B936" s="63"/>
      <c r="C936" s="62"/>
      <c r="D936" s="62"/>
      <c r="E936" s="62"/>
      <c r="F936" s="62"/>
      <c r="G936" s="62"/>
      <c r="H936" s="62"/>
      <c r="I936" s="62"/>
      <c r="J936" s="62"/>
      <c r="K936" s="62"/>
      <c r="L936" s="62"/>
      <c r="M936" s="62"/>
      <c r="N936" s="62"/>
      <c r="O936" s="62"/>
      <c r="P936" s="62"/>
      <c r="Q936" s="62"/>
      <c r="R936" s="62"/>
      <c r="S936" s="62"/>
      <c r="T936" s="10">
        <f t="shared" si="1"/>
        <v>0</v>
      </c>
      <c r="U936" s="62"/>
      <c r="V936" s="62"/>
      <c r="W936" s="62"/>
      <c r="X936" s="62"/>
      <c r="Y936" s="62"/>
      <c r="Z936" s="62"/>
      <c r="AA936" s="62"/>
      <c r="AB936" s="62"/>
      <c r="AC936" s="62"/>
      <c r="AD936" s="62"/>
      <c r="AE936" s="62"/>
      <c r="AF936" s="62"/>
      <c r="AG936" s="62"/>
      <c r="AH936" s="62"/>
      <c r="AI936" s="62"/>
      <c r="AJ936" s="62"/>
      <c r="AK936" s="62"/>
      <c r="AL936" s="62"/>
      <c r="AM936" s="62"/>
      <c r="AN936" s="62"/>
      <c r="AO936" s="62"/>
      <c r="AP936" s="62"/>
      <c r="AQ936" s="62"/>
    </row>
    <row r="937">
      <c r="A937" s="62"/>
      <c r="B937" s="63"/>
      <c r="C937" s="62"/>
      <c r="D937" s="62"/>
      <c r="E937" s="62"/>
      <c r="F937" s="62"/>
      <c r="G937" s="62"/>
      <c r="H937" s="62"/>
      <c r="I937" s="62"/>
      <c r="J937" s="62"/>
      <c r="K937" s="62"/>
      <c r="L937" s="62"/>
      <c r="M937" s="62"/>
      <c r="N937" s="62"/>
      <c r="O937" s="62"/>
      <c r="P937" s="62"/>
      <c r="Q937" s="62"/>
      <c r="R937" s="62"/>
      <c r="S937" s="62"/>
      <c r="T937" s="10">
        <f t="shared" si="1"/>
        <v>0</v>
      </c>
      <c r="U937" s="62"/>
      <c r="V937" s="62"/>
      <c r="W937" s="62"/>
      <c r="X937" s="62"/>
      <c r="Y937" s="62"/>
      <c r="Z937" s="62"/>
      <c r="AA937" s="62"/>
      <c r="AB937" s="62"/>
      <c r="AC937" s="62"/>
      <c r="AD937" s="62"/>
      <c r="AE937" s="62"/>
      <c r="AF937" s="62"/>
      <c r="AG937" s="62"/>
      <c r="AH937" s="62"/>
      <c r="AI937" s="62"/>
      <c r="AJ937" s="62"/>
      <c r="AK937" s="62"/>
      <c r="AL937" s="62"/>
      <c r="AM937" s="62"/>
      <c r="AN937" s="62"/>
      <c r="AO937" s="62"/>
      <c r="AP937" s="62"/>
      <c r="AQ937" s="62"/>
    </row>
    <row r="938">
      <c r="A938" s="62"/>
      <c r="B938" s="63"/>
      <c r="C938" s="62"/>
      <c r="D938" s="62"/>
      <c r="E938" s="62"/>
      <c r="F938" s="62"/>
      <c r="G938" s="62"/>
      <c r="H938" s="62"/>
      <c r="I938" s="62"/>
      <c r="J938" s="62"/>
      <c r="K938" s="62"/>
      <c r="L938" s="62"/>
      <c r="M938" s="62"/>
      <c r="N938" s="62"/>
      <c r="O938" s="62"/>
      <c r="P938" s="62"/>
      <c r="Q938" s="62"/>
      <c r="R938" s="62"/>
      <c r="S938" s="62"/>
      <c r="T938" s="10">
        <f t="shared" si="1"/>
        <v>0</v>
      </c>
      <c r="U938" s="62"/>
      <c r="V938" s="62"/>
      <c r="W938" s="62"/>
      <c r="X938" s="62"/>
      <c r="Y938" s="62"/>
      <c r="Z938" s="62"/>
      <c r="AA938" s="62"/>
      <c r="AB938" s="62"/>
      <c r="AC938" s="62"/>
      <c r="AD938" s="62"/>
      <c r="AE938" s="62"/>
      <c r="AF938" s="62"/>
      <c r="AG938" s="62"/>
      <c r="AH938" s="62"/>
      <c r="AI938" s="62"/>
      <c r="AJ938" s="62"/>
      <c r="AK938" s="62"/>
      <c r="AL938" s="62"/>
      <c r="AM938" s="62"/>
      <c r="AN938" s="62"/>
      <c r="AO938" s="62"/>
      <c r="AP938" s="62"/>
      <c r="AQ938" s="62"/>
    </row>
    <row r="939">
      <c r="A939" s="62"/>
      <c r="B939" s="63"/>
      <c r="C939" s="62"/>
      <c r="D939" s="62"/>
      <c r="E939" s="62"/>
      <c r="F939" s="62"/>
      <c r="G939" s="62"/>
      <c r="H939" s="62"/>
      <c r="I939" s="62"/>
      <c r="J939" s="62"/>
      <c r="K939" s="62"/>
      <c r="L939" s="62"/>
      <c r="M939" s="62"/>
      <c r="N939" s="62"/>
      <c r="O939" s="62"/>
      <c r="P939" s="62"/>
      <c r="Q939" s="62"/>
      <c r="R939" s="62"/>
      <c r="S939" s="62"/>
      <c r="T939" s="10">
        <f t="shared" si="1"/>
        <v>0</v>
      </c>
      <c r="U939" s="62"/>
      <c r="V939" s="62"/>
      <c r="W939" s="62"/>
      <c r="X939" s="62"/>
      <c r="Y939" s="62"/>
      <c r="Z939" s="62"/>
      <c r="AA939" s="62"/>
      <c r="AB939" s="62"/>
      <c r="AC939" s="62"/>
      <c r="AD939" s="62"/>
      <c r="AE939" s="62"/>
      <c r="AF939" s="62"/>
      <c r="AG939" s="62"/>
      <c r="AH939" s="62"/>
      <c r="AI939" s="62"/>
      <c r="AJ939" s="62"/>
      <c r="AK939" s="62"/>
      <c r="AL939" s="62"/>
      <c r="AM939" s="62"/>
      <c r="AN939" s="62"/>
      <c r="AO939" s="62"/>
      <c r="AP939" s="62"/>
      <c r="AQ939" s="62"/>
    </row>
    <row r="940">
      <c r="A940" s="62"/>
      <c r="B940" s="63"/>
      <c r="C940" s="62"/>
      <c r="D940" s="62"/>
      <c r="E940" s="62"/>
      <c r="F940" s="62"/>
      <c r="G940" s="62"/>
      <c r="H940" s="62"/>
      <c r="I940" s="62"/>
      <c r="J940" s="62"/>
      <c r="K940" s="62"/>
      <c r="L940" s="62"/>
      <c r="M940" s="62"/>
      <c r="N940" s="62"/>
      <c r="O940" s="62"/>
      <c r="P940" s="62"/>
      <c r="Q940" s="62"/>
      <c r="R940" s="62"/>
      <c r="S940" s="62"/>
      <c r="T940" s="10">
        <f t="shared" si="1"/>
        <v>0</v>
      </c>
      <c r="U940" s="62"/>
      <c r="V940" s="62"/>
      <c r="W940" s="62"/>
      <c r="X940" s="62"/>
      <c r="Y940" s="62"/>
      <c r="Z940" s="62"/>
      <c r="AA940" s="62"/>
      <c r="AB940" s="62"/>
      <c r="AC940" s="62"/>
      <c r="AD940" s="62"/>
      <c r="AE940" s="62"/>
      <c r="AF940" s="62"/>
      <c r="AG940" s="62"/>
      <c r="AH940" s="62"/>
      <c r="AI940" s="62"/>
      <c r="AJ940" s="62"/>
      <c r="AK940" s="62"/>
      <c r="AL940" s="62"/>
      <c r="AM940" s="62"/>
      <c r="AN940" s="62"/>
      <c r="AO940" s="62"/>
      <c r="AP940" s="62"/>
      <c r="AQ940" s="62"/>
    </row>
    <row r="941">
      <c r="A941" s="62"/>
      <c r="B941" s="63"/>
      <c r="C941" s="62"/>
      <c r="D941" s="62"/>
      <c r="E941" s="62"/>
      <c r="F941" s="62"/>
      <c r="G941" s="62"/>
      <c r="H941" s="62"/>
      <c r="I941" s="62"/>
      <c r="J941" s="62"/>
      <c r="K941" s="62"/>
      <c r="L941" s="62"/>
      <c r="M941" s="62"/>
      <c r="N941" s="62"/>
      <c r="O941" s="62"/>
      <c r="P941" s="62"/>
      <c r="Q941" s="62"/>
      <c r="R941" s="62"/>
      <c r="S941" s="62"/>
      <c r="T941" s="10">
        <f t="shared" si="1"/>
        <v>0</v>
      </c>
      <c r="U941" s="62"/>
      <c r="V941" s="62"/>
      <c r="W941" s="62"/>
      <c r="X941" s="62"/>
      <c r="Y941" s="62"/>
      <c r="Z941" s="62"/>
      <c r="AA941" s="62"/>
      <c r="AB941" s="62"/>
      <c r="AC941" s="62"/>
      <c r="AD941" s="62"/>
      <c r="AE941" s="62"/>
      <c r="AF941" s="62"/>
      <c r="AG941" s="62"/>
      <c r="AH941" s="62"/>
      <c r="AI941" s="62"/>
      <c r="AJ941" s="62"/>
      <c r="AK941" s="62"/>
      <c r="AL941" s="62"/>
      <c r="AM941" s="62"/>
      <c r="AN941" s="62"/>
      <c r="AO941" s="62"/>
      <c r="AP941" s="62"/>
      <c r="AQ941" s="62"/>
    </row>
    <row r="942">
      <c r="A942" s="62"/>
      <c r="B942" s="63"/>
      <c r="C942" s="62"/>
      <c r="D942" s="62"/>
      <c r="E942" s="62"/>
      <c r="F942" s="62"/>
      <c r="G942" s="62"/>
      <c r="H942" s="62"/>
      <c r="I942" s="62"/>
      <c r="J942" s="62"/>
      <c r="K942" s="62"/>
      <c r="L942" s="62"/>
      <c r="M942" s="62"/>
      <c r="N942" s="62"/>
      <c r="O942" s="62"/>
      <c r="P942" s="62"/>
      <c r="Q942" s="62"/>
      <c r="R942" s="62"/>
      <c r="S942" s="62"/>
      <c r="T942" s="10">
        <f t="shared" si="1"/>
        <v>0</v>
      </c>
      <c r="U942" s="62"/>
      <c r="V942" s="62"/>
      <c r="W942" s="62"/>
      <c r="X942" s="62"/>
      <c r="Y942" s="62"/>
      <c r="Z942" s="62"/>
      <c r="AA942" s="62"/>
      <c r="AB942" s="62"/>
      <c r="AC942" s="62"/>
      <c r="AD942" s="62"/>
      <c r="AE942" s="62"/>
      <c r="AF942" s="62"/>
      <c r="AG942" s="62"/>
      <c r="AH942" s="62"/>
      <c r="AI942" s="62"/>
      <c r="AJ942" s="62"/>
      <c r="AK942" s="62"/>
      <c r="AL942" s="62"/>
      <c r="AM942" s="62"/>
      <c r="AN942" s="62"/>
      <c r="AO942" s="62"/>
      <c r="AP942" s="62"/>
      <c r="AQ942" s="62"/>
    </row>
    <row r="943">
      <c r="A943" s="62"/>
      <c r="B943" s="63"/>
      <c r="C943" s="62"/>
      <c r="D943" s="62"/>
      <c r="E943" s="62"/>
      <c r="F943" s="62"/>
      <c r="G943" s="62"/>
      <c r="H943" s="62"/>
      <c r="I943" s="62"/>
      <c r="J943" s="62"/>
      <c r="K943" s="62"/>
      <c r="L943" s="62"/>
      <c r="M943" s="62"/>
      <c r="N943" s="62"/>
      <c r="O943" s="62"/>
      <c r="P943" s="62"/>
      <c r="Q943" s="62"/>
      <c r="R943" s="62"/>
      <c r="S943" s="62"/>
      <c r="T943" s="10">
        <f t="shared" si="1"/>
        <v>0</v>
      </c>
      <c r="U943" s="62"/>
      <c r="V943" s="62"/>
      <c r="W943" s="62"/>
      <c r="X943" s="62"/>
      <c r="Y943" s="62"/>
      <c r="Z943" s="62"/>
      <c r="AA943" s="62"/>
      <c r="AB943" s="62"/>
      <c r="AC943" s="62"/>
      <c r="AD943" s="62"/>
      <c r="AE943" s="62"/>
      <c r="AF943" s="62"/>
      <c r="AG943" s="62"/>
      <c r="AH943" s="62"/>
      <c r="AI943" s="62"/>
      <c r="AJ943" s="62"/>
      <c r="AK943" s="62"/>
      <c r="AL943" s="62"/>
      <c r="AM943" s="62"/>
      <c r="AN943" s="62"/>
      <c r="AO943" s="62"/>
      <c r="AP943" s="62"/>
      <c r="AQ943" s="62"/>
    </row>
    <row r="944">
      <c r="A944" s="62"/>
      <c r="B944" s="63"/>
      <c r="C944" s="62"/>
      <c r="D944" s="62"/>
      <c r="E944" s="62"/>
      <c r="F944" s="62"/>
      <c r="G944" s="62"/>
      <c r="H944" s="62"/>
      <c r="I944" s="62"/>
      <c r="J944" s="62"/>
      <c r="K944" s="62"/>
      <c r="L944" s="62"/>
      <c r="M944" s="62"/>
      <c r="N944" s="62"/>
      <c r="O944" s="62"/>
      <c r="P944" s="62"/>
      <c r="Q944" s="62"/>
      <c r="R944" s="62"/>
      <c r="S944" s="62"/>
      <c r="T944" s="10">
        <f t="shared" si="1"/>
        <v>0</v>
      </c>
      <c r="U944" s="62"/>
      <c r="V944" s="62"/>
      <c r="W944" s="62"/>
      <c r="X944" s="62"/>
      <c r="Y944" s="62"/>
      <c r="Z944" s="62"/>
      <c r="AA944" s="62"/>
      <c r="AB944" s="62"/>
      <c r="AC944" s="62"/>
      <c r="AD944" s="62"/>
      <c r="AE944" s="62"/>
      <c r="AF944" s="62"/>
      <c r="AG944" s="62"/>
      <c r="AH944" s="62"/>
      <c r="AI944" s="62"/>
      <c r="AJ944" s="62"/>
      <c r="AK944" s="62"/>
      <c r="AL944" s="62"/>
      <c r="AM944" s="62"/>
      <c r="AN944" s="62"/>
      <c r="AO944" s="62"/>
      <c r="AP944" s="62"/>
      <c r="AQ944" s="62"/>
    </row>
    <row r="945">
      <c r="A945" s="62"/>
      <c r="B945" s="63"/>
      <c r="C945" s="62"/>
      <c r="D945" s="62"/>
      <c r="E945" s="62"/>
      <c r="F945" s="62"/>
      <c r="G945" s="62"/>
      <c r="H945" s="62"/>
      <c r="I945" s="62"/>
      <c r="J945" s="62"/>
      <c r="K945" s="62"/>
      <c r="L945" s="62"/>
      <c r="M945" s="62"/>
      <c r="N945" s="62"/>
      <c r="O945" s="62"/>
      <c r="P945" s="62"/>
      <c r="Q945" s="62"/>
      <c r="R945" s="62"/>
      <c r="S945" s="62"/>
      <c r="T945" s="10">
        <f t="shared" si="1"/>
        <v>0</v>
      </c>
      <c r="U945" s="62"/>
      <c r="V945" s="62"/>
      <c r="W945" s="62"/>
      <c r="X945" s="62"/>
      <c r="Y945" s="62"/>
      <c r="Z945" s="62"/>
      <c r="AA945" s="62"/>
      <c r="AB945" s="62"/>
      <c r="AC945" s="62"/>
      <c r="AD945" s="62"/>
      <c r="AE945" s="62"/>
      <c r="AF945" s="62"/>
      <c r="AG945" s="62"/>
      <c r="AH945" s="62"/>
      <c r="AI945" s="62"/>
      <c r="AJ945" s="62"/>
      <c r="AK945" s="62"/>
      <c r="AL945" s="62"/>
      <c r="AM945" s="62"/>
      <c r="AN945" s="62"/>
      <c r="AO945" s="62"/>
      <c r="AP945" s="62"/>
      <c r="AQ945" s="62"/>
    </row>
    <row r="946">
      <c r="A946" s="62"/>
      <c r="B946" s="63"/>
      <c r="C946" s="62"/>
      <c r="D946" s="62"/>
      <c r="E946" s="62"/>
      <c r="F946" s="62"/>
      <c r="G946" s="62"/>
      <c r="H946" s="62"/>
      <c r="I946" s="62"/>
      <c r="J946" s="62"/>
      <c r="K946" s="62"/>
      <c r="L946" s="62"/>
      <c r="M946" s="62"/>
      <c r="N946" s="62"/>
      <c r="O946" s="62"/>
      <c r="P946" s="62"/>
      <c r="Q946" s="62"/>
      <c r="R946" s="62"/>
      <c r="S946" s="62"/>
      <c r="T946" s="10">
        <f t="shared" si="1"/>
        <v>0</v>
      </c>
      <c r="U946" s="62"/>
      <c r="V946" s="62"/>
      <c r="W946" s="62"/>
      <c r="X946" s="62"/>
      <c r="Y946" s="62"/>
      <c r="Z946" s="62"/>
      <c r="AA946" s="62"/>
      <c r="AB946" s="62"/>
      <c r="AC946" s="62"/>
      <c r="AD946" s="62"/>
      <c r="AE946" s="62"/>
      <c r="AF946" s="62"/>
      <c r="AG946" s="62"/>
      <c r="AH946" s="62"/>
      <c r="AI946" s="62"/>
      <c r="AJ946" s="62"/>
      <c r="AK946" s="62"/>
      <c r="AL946" s="62"/>
      <c r="AM946" s="62"/>
      <c r="AN946" s="62"/>
      <c r="AO946" s="62"/>
      <c r="AP946" s="62"/>
      <c r="AQ946" s="62"/>
    </row>
    <row r="947">
      <c r="A947" s="62"/>
      <c r="B947" s="63"/>
      <c r="C947" s="62"/>
      <c r="D947" s="62"/>
      <c r="E947" s="62"/>
      <c r="F947" s="62"/>
      <c r="G947" s="62"/>
      <c r="H947" s="62"/>
      <c r="I947" s="62"/>
      <c r="J947" s="62"/>
      <c r="K947" s="62"/>
      <c r="L947" s="62"/>
      <c r="M947" s="62"/>
      <c r="N947" s="62"/>
      <c r="O947" s="62"/>
      <c r="P947" s="62"/>
      <c r="Q947" s="62"/>
      <c r="R947" s="62"/>
      <c r="S947" s="62"/>
      <c r="T947" s="10">
        <f t="shared" si="1"/>
        <v>0</v>
      </c>
      <c r="U947" s="62"/>
      <c r="V947" s="62"/>
      <c r="W947" s="62"/>
      <c r="X947" s="62"/>
      <c r="Y947" s="62"/>
      <c r="Z947" s="62"/>
      <c r="AA947" s="62"/>
      <c r="AB947" s="62"/>
      <c r="AC947" s="62"/>
      <c r="AD947" s="62"/>
      <c r="AE947" s="62"/>
      <c r="AF947" s="62"/>
      <c r="AG947" s="62"/>
      <c r="AH947" s="62"/>
      <c r="AI947" s="62"/>
      <c r="AJ947" s="62"/>
      <c r="AK947" s="62"/>
      <c r="AL947" s="62"/>
      <c r="AM947" s="62"/>
      <c r="AN947" s="62"/>
      <c r="AO947" s="62"/>
      <c r="AP947" s="62"/>
      <c r="AQ947" s="62"/>
    </row>
    <row r="948">
      <c r="A948" s="62"/>
      <c r="B948" s="63"/>
      <c r="C948" s="62"/>
      <c r="D948" s="62"/>
      <c r="E948" s="62"/>
      <c r="F948" s="62"/>
      <c r="G948" s="62"/>
      <c r="H948" s="62"/>
      <c r="I948" s="62"/>
      <c r="J948" s="62"/>
      <c r="K948" s="62"/>
      <c r="L948" s="62"/>
      <c r="M948" s="62"/>
      <c r="N948" s="62"/>
      <c r="O948" s="62"/>
      <c r="P948" s="62"/>
      <c r="Q948" s="62"/>
      <c r="R948" s="62"/>
      <c r="S948" s="62"/>
      <c r="T948" s="10">
        <f t="shared" si="1"/>
        <v>0</v>
      </c>
      <c r="U948" s="62"/>
      <c r="V948" s="62"/>
      <c r="W948" s="62"/>
      <c r="X948" s="62"/>
      <c r="Y948" s="62"/>
      <c r="Z948" s="62"/>
      <c r="AA948" s="62"/>
      <c r="AB948" s="62"/>
      <c r="AC948" s="62"/>
      <c r="AD948" s="62"/>
      <c r="AE948" s="62"/>
      <c r="AF948" s="62"/>
      <c r="AG948" s="62"/>
      <c r="AH948" s="62"/>
      <c r="AI948" s="62"/>
      <c r="AJ948" s="62"/>
      <c r="AK948" s="62"/>
      <c r="AL948" s="62"/>
      <c r="AM948" s="62"/>
      <c r="AN948" s="62"/>
      <c r="AO948" s="62"/>
      <c r="AP948" s="62"/>
      <c r="AQ948" s="62"/>
    </row>
    <row r="949">
      <c r="A949" s="62"/>
      <c r="B949" s="63"/>
      <c r="C949" s="62"/>
      <c r="D949" s="62"/>
      <c r="E949" s="62"/>
      <c r="F949" s="62"/>
      <c r="G949" s="62"/>
      <c r="H949" s="62"/>
      <c r="I949" s="62"/>
      <c r="J949" s="62"/>
      <c r="K949" s="62"/>
      <c r="L949" s="62"/>
      <c r="M949" s="62"/>
      <c r="N949" s="62"/>
      <c r="O949" s="62"/>
      <c r="P949" s="62"/>
      <c r="Q949" s="62"/>
      <c r="R949" s="62"/>
      <c r="S949" s="62"/>
      <c r="T949" s="10">
        <f t="shared" si="1"/>
        <v>0</v>
      </c>
      <c r="U949" s="62"/>
      <c r="V949" s="62"/>
      <c r="W949" s="62"/>
      <c r="X949" s="62"/>
      <c r="Y949" s="62"/>
      <c r="Z949" s="62"/>
      <c r="AA949" s="62"/>
      <c r="AB949" s="62"/>
      <c r="AC949" s="62"/>
      <c r="AD949" s="62"/>
      <c r="AE949" s="62"/>
      <c r="AF949" s="62"/>
      <c r="AG949" s="62"/>
      <c r="AH949" s="62"/>
      <c r="AI949" s="62"/>
      <c r="AJ949" s="62"/>
      <c r="AK949" s="62"/>
      <c r="AL949" s="62"/>
      <c r="AM949" s="62"/>
      <c r="AN949" s="62"/>
      <c r="AO949" s="62"/>
      <c r="AP949" s="62"/>
      <c r="AQ949" s="62"/>
    </row>
    <row r="950">
      <c r="A950" s="62"/>
      <c r="B950" s="63"/>
      <c r="C950" s="62"/>
      <c r="D950" s="62"/>
      <c r="E950" s="62"/>
      <c r="F950" s="62"/>
      <c r="G950" s="62"/>
      <c r="H950" s="62"/>
      <c r="I950" s="62"/>
      <c r="J950" s="62"/>
      <c r="K950" s="62"/>
      <c r="L950" s="62"/>
      <c r="M950" s="62"/>
      <c r="N950" s="62"/>
      <c r="O950" s="62"/>
      <c r="P950" s="62"/>
      <c r="Q950" s="62"/>
      <c r="R950" s="62"/>
      <c r="S950" s="62"/>
      <c r="T950" s="10">
        <f t="shared" si="1"/>
        <v>0</v>
      </c>
      <c r="U950" s="62"/>
      <c r="V950" s="62"/>
      <c r="W950" s="62"/>
      <c r="X950" s="62"/>
      <c r="Y950" s="62"/>
      <c r="Z950" s="62"/>
      <c r="AA950" s="62"/>
      <c r="AB950" s="62"/>
      <c r="AC950" s="62"/>
      <c r="AD950" s="62"/>
      <c r="AE950" s="62"/>
      <c r="AF950" s="62"/>
      <c r="AG950" s="62"/>
      <c r="AH950" s="62"/>
      <c r="AI950" s="62"/>
      <c r="AJ950" s="62"/>
      <c r="AK950" s="62"/>
      <c r="AL950" s="62"/>
      <c r="AM950" s="62"/>
      <c r="AN950" s="62"/>
      <c r="AO950" s="62"/>
      <c r="AP950" s="62"/>
      <c r="AQ950" s="62"/>
    </row>
    <row r="951">
      <c r="A951" s="62"/>
      <c r="B951" s="63"/>
      <c r="C951" s="62"/>
      <c r="D951" s="62"/>
      <c r="E951" s="62"/>
      <c r="F951" s="62"/>
      <c r="G951" s="62"/>
      <c r="H951" s="62"/>
      <c r="I951" s="62"/>
      <c r="J951" s="62"/>
      <c r="K951" s="62"/>
      <c r="L951" s="62"/>
      <c r="M951" s="62"/>
      <c r="N951" s="62"/>
      <c r="O951" s="62"/>
      <c r="P951" s="62"/>
      <c r="Q951" s="62"/>
      <c r="R951" s="62"/>
      <c r="S951" s="62"/>
      <c r="T951" s="10">
        <f t="shared" si="1"/>
        <v>0</v>
      </c>
      <c r="U951" s="62"/>
      <c r="V951" s="62"/>
      <c r="W951" s="62"/>
      <c r="X951" s="62"/>
      <c r="Y951" s="62"/>
      <c r="Z951" s="62"/>
      <c r="AA951" s="62"/>
      <c r="AB951" s="62"/>
      <c r="AC951" s="62"/>
      <c r="AD951" s="62"/>
      <c r="AE951" s="62"/>
      <c r="AF951" s="62"/>
      <c r="AG951" s="62"/>
      <c r="AH951" s="62"/>
      <c r="AI951" s="62"/>
      <c r="AJ951" s="62"/>
      <c r="AK951" s="62"/>
      <c r="AL951" s="62"/>
      <c r="AM951" s="62"/>
      <c r="AN951" s="62"/>
      <c r="AO951" s="62"/>
      <c r="AP951" s="62"/>
      <c r="AQ951" s="62"/>
    </row>
    <row r="952">
      <c r="A952" s="62"/>
      <c r="B952" s="63"/>
      <c r="C952" s="62"/>
      <c r="D952" s="62"/>
      <c r="E952" s="62"/>
      <c r="F952" s="62"/>
      <c r="G952" s="62"/>
      <c r="H952" s="62"/>
      <c r="I952" s="62"/>
      <c r="J952" s="62"/>
      <c r="K952" s="62"/>
      <c r="L952" s="62"/>
      <c r="M952" s="62"/>
      <c r="N952" s="62"/>
      <c r="O952" s="62"/>
      <c r="P952" s="62"/>
      <c r="Q952" s="62"/>
      <c r="R952" s="62"/>
      <c r="S952" s="62"/>
      <c r="T952" s="10">
        <f t="shared" si="1"/>
        <v>0</v>
      </c>
      <c r="U952" s="62"/>
      <c r="V952" s="62"/>
      <c r="W952" s="62"/>
      <c r="X952" s="62"/>
      <c r="Y952" s="62"/>
      <c r="Z952" s="62"/>
      <c r="AA952" s="62"/>
      <c r="AB952" s="62"/>
      <c r="AC952" s="62"/>
      <c r="AD952" s="62"/>
      <c r="AE952" s="62"/>
      <c r="AF952" s="62"/>
      <c r="AG952" s="62"/>
      <c r="AH952" s="62"/>
      <c r="AI952" s="62"/>
      <c r="AJ952" s="62"/>
      <c r="AK952" s="62"/>
      <c r="AL952" s="62"/>
      <c r="AM952" s="62"/>
      <c r="AN952" s="62"/>
      <c r="AO952" s="62"/>
      <c r="AP952" s="62"/>
      <c r="AQ952" s="62"/>
    </row>
    <row r="953">
      <c r="A953" s="62"/>
      <c r="B953" s="63"/>
      <c r="C953" s="62"/>
      <c r="D953" s="62"/>
      <c r="E953" s="62"/>
      <c r="F953" s="62"/>
      <c r="G953" s="62"/>
      <c r="H953" s="62"/>
      <c r="I953" s="62"/>
      <c r="J953" s="62"/>
      <c r="K953" s="62"/>
      <c r="L953" s="62"/>
      <c r="M953" s="62"/>
      <c r="N953" s="62"/>
      <c r="O953" s="62"/>
      <c r="P953" s="62"/>
      <c r="Q953" s="62"/>
      <c r="R953" s="62"/>
      <c r="S953" s="62"/>
      <c r="T953" s="10">
        <f t="shared" si="1"/>
        <v>0</v>
      </c>
      <c r="U953" s="62"/>
      <c r="V953" s="62"/>
      <c r="W953" s="62"/>
      <c r="X953" s="62"/>
      <c r="Y953" s="62"/>
      <c r="Z953" s="62"/>
      <c r="AA953" s="62"/>
      <c r="AB953" s="62"/>
      <c r="AC953" s="62"/>
      <c r="AD953" s="62"/>
      <c r="AE953" s="62"/>
      <c r="AF953" s="62"/>
      <c r="AG953" s="62"/>
      <c r="AH953" s="62"/>
      <c r="AI953" s="62"/>
      <c r="AJ953" s="62"/>
      <c r="AK953" s="62"/>
      <c r="AL953" s="62"/>
      <c r="AM953" s="62"/>
      <c r="AN953" s="62"/>
      <c r="AO953" s="62"/>
      <c r="AP953" s="62"/>
      <c r="AQ953" s="62"/>
    </row>
    <row r="954">
      <c r="A954" s="62"/>
      <c r="B954" s="63"/>
      <c r="C954" s="62"/>
      <c r="D954" s="62"/>
      <c r="E954" s="62"/>
      <c r="F954" s="62"/>
      <c r="G954" s="62"/>
      <c r="H954" s="62"/>
      <c r="I954" s="62"/>
      <c r="J954" s="62"/>
      <c r="K954" s="62"/>
      <c r="L954" s="62"/>
      <c r="M954" s="62"/>
      <c r="N954" s="62"/>
      <c r="O954" s="62"/>
      <c r="P954" s="62"/>
      <c r="Q954" s="62"/>
      <c r="R954" s="62"/>
      <c r="S954" s="62"/>
      <c r="T954" s="10">
        <f t="shared" si="1"/>
        <v>0</v>
      </c>
      <c r="U954" s="62"/>
      <c r="V954" s="62"/>
      <c r="W954" s="62"/>
      <c r="X954" s="62"/>
      <c r="Y954" s="62"/>
      <c r="Z954" s="62"/>
      <c r="AA954" s="62"/>
      <c r="AB954" s="62"/>
      <c r="AC954" s="62"/>
      <c r="AD954" s="62"/>
      <c r="AE954" s="62"/>
      <c r="AF954" s="62"/>
      <c r="AG954" s="62"/>
      <c r="AH954" s="62"/>
      <c r="AI954" s="62"/>
      <c r="AJ954" s="62"/>
      <c r="AK954" s="62"/>
      <c r="AL954" s="62"/>
      <c r="AM954" s="62"/>
      <c r="AN954" s="62"/>
      <c r="AO954" s="62"/>
      <c r="AP954" s="62"/>
      <c r="AQ954" s="62"/>
    </row>
    <row r="955">
      <c r="A955" s="62"/>
      <c r="B955" s="63"/>
      <c r="C955" s="62"/>
      <c r="D955" s="62"/>
      <c r="E955" s="62"/>
      <c r="F955" s="62"/>
      <c r="G955" s="62"/>
      <c r="H955" s="62"/>
      <c r="I955" s="62"/>
      <c r="J955" s="62"/>
      <c r="K955" s="62"/>
      <c r="L955" s="62"/>
      <c r="M955" s="62"/>
      <c r="N955" s="62"/>
      <c r="O955" s="62"/>
      <c r="P955" s="62"/>
      <c r="Q955" s="62"/>
      <c r="R955" s="62"/>
      <c r="S955" s="62"/>
      <c r="T955" s="10">
        <f t="shared" si="1"/>
        <v>0</v>
      </c>
      <c r="U955" s="62"/>
      <c r="V955" s="62"/>
      <c r="W955" s="62"/>
      <c r="X955" s="62"/>
      <c r="Y955" s="62"/>
      <c r="Z955" s="62"/>
      <c r="AA955" s="62"/>
      <c r="AB955" s="62"/>
      <c r="AC955" s="62"/>
      <c r="AD955" s="62"/>
      <c r="AE955" s="62"/>
      <c r="AF955" s="62"/>
      <c r="AG955" s="62"/>
      <c r="AH955" s="62"/>
      <c r="AI955" s="62"/>
      <c r="AJ955" s="62"/>
      <c r="AK955" s="62"/>
      <c r="AL955" s="62"/>
      <c r="AM955" s="62"/>
      <c r="AN955" s="62"/>
      <c r="AO955" s="62"/>
      <c r="AP955" s="62"/>
      <c r="AQ955" s="62"/>
    </row>
    <row r="956">
      <c r="A956" s="62"/>
      <c r="B956" s="63"/>
      <c r="C956" s="62"/>
      <c r="D956" s="62"/>
      <c r="E956" s="62"/>
      <c r="F956" s="62"/>
      <c r="G956" s="62"/>
      <c r="H956" s="62"/>
      <c r="I956" s="62"/>
      <c r="J956" s="62"/>
      <c r="K956" s="62"/>
      <c r="L956" s="62"/>
      <c r="M956" s="62"/>
      <c r="N956" s="62"/>
      <c r="O956" s="62"/>
      <c r="P956" s="62"/>
      <c r="Q956" s="62"/>
      <c r="R956" s="62"/>
      <c r="S956" s="62"/>
      <c r="T956" s="10">
        <f t="shared" si="1"/>
        <v>0</v>
      </c>
      <c r="U956" s="62"/>
      <c r="V956" s="62"/>
      <c r="W956" s="62"/>
      <c r="X956" s="62"/>
      <c r="Y956" s="62"/>
      <c r="Z956" s="62"/>
      <c r="AA956" s="62"/>
      <c r="AB956" s="62"/>
      <c r="AC956" s="62"/>
      <c r="AD956" s="62"/>
      <c r="AE956" s="62"/>
      <c r="AF956" s="62"/>
      <c r="AG956" s="62"/>
      <c r="AH956" s="62"/>
      <c r="AI956" s="62"/>
      <c r="AJ956" s="62"/>
      <c r="AK956" s="62"/>
      <c r="AL956" s="62"/>
      <c r="AM956" s="62"/>
      <c r="AN956" s="62"/>
      <c r="AO956" s="62"/>
      <c r="AP956" s="62"/>
      <c r="AQ956" s="62"/>
    </row>
    <row r="957">
      <c r="A957" s="62"/>
      <c r="B957" s="63"/>
      <c r="C957" s="62"/>
      <c r="D957" s="62"/>
      <c r="E957" s="62"/>
      <c r="F957" s="62"/>
      <c r="G957" s="62"/>
      <c r="H957" s="62"/>
      <c r="I957" s="62"/>
      <c r="J957" s="62"/>
      <c r="K957" s="62"/>
      <c r="L957" s="62"/>
      <c r="M957" s="62"/>
      <c r="N957" s="62"/>
      <c r="O957" s="62"/>
      <c r="P957" s="62"/>
      <c r="Q957" s="62"/>
      <c r="R957" s="62"/>
      <c r="S957" s="62"/>
      <c r="T957" s="10">
        <f t="shared" si="1"/>
        <v>0</v>
      </c>
      <c r="U957" s="62"/>
      <c r="V957" s="62"/>
      <c r="W957" s="62"/>
      <c r="X957" s="62"/>
      <c r="Y957" s="62"/>
      <c r="Z957" s="62"/>
      <c r="AA957" s="62"/>
      <c r="AB957" s="62"/>
      <c r="AC957" s="62"/>
      <c r="AD957" s="62"/>
      <c r="AE957" s="62"/>
      <c r="AF957" s="62"/>
      <c r="AG957" s="62"/>
      <c r="AH957" s="62"/>
      <c r="AI957" s="62"/>
      <c r="AJ957" s="62"/>
      <c r="AK957" s="62"/>
      <c r="AL957" s="62"/>
      <c r="AM957" s="62"/>
      <c r="AN957" s="62"/>
      <c r="AO957" s="62"/>
      <c r="AP957" s="62"/>
      <c r="AQ957" s="62"/>
    </row>
    <row r="958">
      <c r="A958" s="62"/>
      <c r="B958" s="63"/>
      <c r="C958" s="62"/>
      <c r="D958" s="62"/>
      <c r="E958" s="62"/>
      <c r="F958" s="62"/>
      <c r="G958" s="62"/>
      <c r="H958" s="62"/>
      <c r="I958" s="62"/>
      <c r="J958" s="62"/>
      <c r="K958" s="62"/>
      <c r="L958" s="62"/>
      <c r="M958" s="62"/>
      <c r="N958" s="62"/>
      <c r="O958" s="62"/>
      <c r="P958" s="62"/>
      <c r="Q958" s="62"/>
      <c r="R958" s="62"/>
      <c r="S958" s="62"/>
      <c r="T958" s="10">
        <f t="shared" si="1"/>
        <v>0</v>
      </c>
      <c r="U958" s="62"/>
      <c r="V958" s="62"/>
      <c r="W958" s="62"/>
      <c r="X958" s="62"/>
      <c r="Y958" s="62"/>
      <c r="Z958" s="62"/>
      <c r="AA958" s="62"/>
      <c r="AB958" s="62"/>
      <c r="AC958" s="62"/>
      <c r="AD958" s="62"/>
      <c r="AE958" s="62"/>
      <c r="AF958" s="62"/>
      <c r="AG958" s="62"/>
      <c r="AH958" s="62"/>
      <c r="AI958" s="62"/>
      <c r="AJ958" s="62"/>
      <c r="AK958" s="62"/>
      <c r="AL958" s="62"/>
      <c r="AM958" s="62"/>
      <c r="AN958" s="62"/>
      <c r="AO958" s="62"/>
      <c r="AP958" s="62"/>
      <c r="AQ958" s="62"/>
    </row>
    <row r="959">
      <c r="A959" s="62"/>
      <c r="B959" s="63"/>
      <c r="C959" s="62"/>
      <c r="D959" s="62"/>
      <c r="E959" s="62"/>
      <c r="F959" s="62"/>
      <c r="G959" s="62"/>
      <c r="H959" s="62"/>
      <c r="I959" s="62"/>
      <c r="J959" s="62"/>
      <c r="K959" s="62"/>
      <c r="L959" s="62"/>
      <c r="M959" s="62"/>
      <c r="N959" s="62"/>
      <c r="O959" s="62"/>
      <c r="P959" s="62"/>
      <c r="Q959" s="62"/>
      <c r="R959" s="62"/>
      <c r="S959" s="62"/>
      <c r="T959" s="10">
        <f t="shared" si="1"/>
        <v>0</v>
      </c>
      <c r="U959" s="62"/>
      <c r="V959" s="62"/>
      <c r="W959" s="62"/>
      <c r="X959" s="62"/>
      <c r="Y959" s="62"/>
      <c r="Z959" s="62"/>
      <c r="AA959" s="62"/>
      <c r="AB959" s="62"/>
      <c r="AC959" s="62"/>
      <c r="AD959" s="62"/>
      <c r="AE959" s="62"/>
      <c r="AF959" s="62"/>
      <c r="AG959" s="62"/>
      <c r="AH959" s="62"/>
      <c r="AI959" s="62"/>
      <c r="AJ959" s="62"/>
      <c r="AK959" s="62"/>
      <c r="AL959" s="62"/>
      <c r="AM959" s="62"/>
      <c r="AN959" s="62"/>
      <c r="AO959" s="62"/>
      <c r="AP959" s="62"/>
      <c r="AQ959" s="62"/>
    </row>
    <row r="960">
      <c r="A960" s="62"/>
      <c r="B960" s="63"/>
      <c r="C960" s="62"/>
      <c r="D960" s="62"/>
      <c r="E960" s="62"/>
      <c r="F960" s="62"/>
      <c r="G960" s="62"/>
      <c r="H960" s="62"/>
      <c r="I960" s="62"/>
      <c r="J960" s="62"/>
      <c r="K960" s="62"/>
      <c r="L960" s="62"/>
      <c r="M960" s="62"/>
      <c r="N960" s="62"/>
      <c r="O960" s="62"/>
      <c r="P960" s="62"/>
      <c r="Q960" s="62"/>
      <c r="R960" s="62"/>
      <c r="S960" s="62"/>
      <c r="T960" s="10">
        <f t="shared" si="1"/>
        <v>0</v>
      </c>
      <c r="U960" s="62"/>
      <c r="V960" s="62"/>
      <c r="W960" s="62"/>
      <c r="X960" s="62"/>
      <c r="Y960" s="62"/>
      <c r="Z960" s="62"/>
      <c r="AA960" s="62"/>
      <c r="AB960" s="62"/>
      <c r="AC960" s="62"/>
      <c r="AD960" s="62"/>
      <c r="AE960" s="62"/>
      <c r="AF960" s="62"/>
      <c r="AG960" s="62"/>
      <c r="AH960" s="62"/>
      <c r="AI960" s="62"/>
      <c r="AJ960" s="62"/>
      <c r="AK960" s="62"/>
      <c r="AL960" s="62"/>
      <c r="AM960" s="62"/>
      <c r="AN960" s="62"/>
      <c r="AO960" s="62"/>
      <c r="AP960" s="62"/>
      <c r="AQ960" s="62"/>
    </row>
    <row r="961">
      <c r="A961" s="62"/>
      <c r="B961" s="63"/>
      <c r="C961" s="62"/>
      <c r="D961" s="62"/>
      <c r="E961" s="62"/>
      <c r="F961" s="62"/>
      <c r="G961" s="62"/>
      <c r="H961" s="62"/>
      <c r="I961" s="62"/>
      <c r="J961" s="62"/>
      <c r="K961" s="62"/>
      <c r="L961" s="62"/>
      <c r="M961" s="62"/>
      <c r="N961" s="62"/>
      <c r="O961" s="62"/>
      <c r="P961" s="62"/>
      <c r="Q961" s="62"/>
      <c r="R961" s="62"/>
      <c r="S961" s="62"/>
      <c r="T961" s="10">
        <f t="shared" si="1"/>
        <v>0</v>
      </c>
      <c r="U961" s="62"/>
      <c r="V961" s="62"/>
      <c r="W961" s="62"/>
      <c r="X961" s="62"/>
      <c r="Y961" s="62"/>
      <c r="Z961" s="62"/>
      <c r="AA961" s="62"/>
      <c r="AB961" s="62"/>
      <c r="AC961" s="62"/>
      <c r="AD961" s="62"/>
      <c r="AE961" s="62"/>
      <c r="AF961" s="62"/>
      <c r="AG961" s="62"/>
      <c r="AH961" s="62"/>
      <c r="AI961" s="62"/>
      <c r="AJ961" s="62"/>
      <c r="AK961" s="62"/>
      <c r="AL961" s="62"/>
      <c r="AM961" s="62"/>
      <c r="AN961" s="62"/>
      <c r="AO961" s="62"/>
      <c r="AP961" s="62"/>
      <c r="AQ961" s="62"/>
    </row>
    <row r="962">
      <c r="A962" s="62"/>
      <c r="B962" s="63"/>
      <c r="C962" s="62"/>
      <c r="D962" s="62"/>
      <c r="E962" s="62"/>
      <c r="F962" s="62"/>
      <c r="G962" s="62"/>
      <c r="H962" s="62"/>
      <c r="I962" s="62"/>
      <c r="J962" s="62"/>
      <c r="K962" s="62"/>
      <c r="L962" s="62"/>
      <c r="M962" s="62"/>
      <c r="N962" s="62"/>
      <c r="O962" s="62"/>
      <c r="P962" s="62"/>
      <c r="Q962" s="62"/>
      <c r="R962" s="62"/>
      <c r="S962" s="62"/>
      <c r="T962" s="10">
        <f t="shared" si="1"/>
        <v>0</v>
      </c>
      <c r="U962" s="62"/>
      <c r="V962" s="62"/>
      <c r="W962" s="62"/>
      <c r="X962" s="62"/>
      <c r="Y962" s="62"/>
      <c r="Z962" s="62"/>
      <c r="AA962" s="62"/>
      <c r="AB962" s="62"/>
      <c r="AC962" s="62"/>
      <c r="AD962" s="62"/>
      <c r="AE962" s="62"/>
      <c r="AF962" s="62"/>
      <c r="AG962" s="62"/>
      <c r="AH962" s="62"/>
      <c r="AI962" s="62"/>
      <c r="AJ962" s="62"/>
      <c r="AK962" s="62"/>
      <c r="AL962" s="62"/>
      <c r="AM962" s="62"/>
      <c r="AN962" s="62"/>
      <c r="AO962" s="62"/>
      <c r="AP962" s="62"/>
      <c r="AQ962" s="62"/>
    </row>
    <row r="963">
      <c r="A963" s="62"/>
      <c r="B963" s="63"/>
      <c r="C963" s="62"/>
      <c r="D963" s="62"/>
      <c r="E963" s="62"/>
      <c r="F963" s="62"/>
      <c r="G963" s="62"/>
      <c r="H963" s="62"/>
      <c r="I963" s="62"/>
      <c r="J963" s="62"/>
      <c r="K963" s="62"/>
      <c r="L963" s="62"/>
      <c r="M963" s="62"/>
      <c r="N963" s="62"/>
      <c r="O963" s="62"/>
      <c r="P963" s="62"/>
      <c r="Q963" s="62"/>
      <c r="R963" s="62"/>
      <c r="S963" s="62"/>
      <c r="T963" s="10">
        <f t="shared" si="1"/>
        <v>0</v>
      </c>
      <c r="U963" s="62"/>
      <c r="V963" s="62"/>
      <c r="W963" s="62"/>
      <c r="X963" s="62"/>
      <c r="Y963" s="62"/>
      <c r="Z963" s="62"/>
      <c r="AA963" s="62"/>
      <c r="AB963" s="62"/>
      <c r="AC963" s="62"/>
      <c r="AD963" s="62"/>
      <c r="AE963" s="62"/>
      <c r="AF963" s="62"/>
      <c r="AG963" s="62"/>
      <c r="AH963" s="62"/>
      <c r="AI963" s="62"/>
      <c r="AJ963" s="62"/>
      <c r="AK963" s="62"/>
      <c r="AL963" s="62"/>
      <c r="AM963" s="62"/>
      <c r="AN963" s="62"/>
      <c r="AO963" s="62"/>
      <c r="AP963" s="62"/>
      <c r="AQ963" s="62"/>
    </row>
    <row r="964">
      <c r="A964" s="62"/>
      <c r="B964" s="63"/>
      <c r="C964" s="62"/>
      <c r="D964" s="62"/>
      <c r="E964" s="62"/>
      <c r="F964" s="62"/>
      <c r="G964" s="62"/>
      <c r="H964" s="62"/>
      <c r="I964" s="62"/>
      <c r="J964" s="62"/>
      <c r="K964" s="62"/>
      <c r="L964" s="62"/>
      <c r="M964" s="62"/>
      <c r="N964" s="62"/>
      <c r="O964" s="62"/>
      <c r="P964" s="62"/>
      <c r="Q964" s="62"/>
      <c r="R964" s="62"/>
      <c r="S964" s="62"/>
      <c r="T964" s="10">
        <f t="shared" si="1"/>
        <v>0</v>
      </c>
      <c r="U964" s="62"/>
      <c r="V964" s="62"/>
      <c r="W964" s="62"/>
      <c r="X964" s="62"/>
      <c r="Y964" s="62"/>
      <c r="Z964" s="62"/>
      <c r="AA964" s="62"/>
      <c r="AB964" s="62"/>
      <c r="AC964" s="62"/>
      <c r="AD964" s="62"/>
      <c r="AE964" s="62"/>
      <c r="AF964" s="62"/>
      <c r="AG964" s="62"/>
      <c r="AH964" s="62"/>
      <c r="AI964" s="62"/>
      <c r="AJ964" s="62"/>
      <c r="AK964" s="62"/>
      <c r="AL964" s="62"/>
      <c r="AM964" s="62"/>
      <c r="AN964" s="62"/>
      <c r="AO964" s="62"/>
      <c r="AP964" s="62"/>
      <c r="AQ964" s="62"/>
    </row>
    <row r="965">
      <c r="A965" s="62"/>
      <c r="B965" s="63"/>
      <c r="C965" s="62"/>
      <c r="D965" s="62"/>
      <c r="E965" s="62"/>
      <c r="F965" s="62"/>
      <c r="G965" s="62"/>
      <c r="H965" s="62"/>
      <c r="I965" s="62"/>
      <c r="J965" s="62"/>
      <c r="K965" s="62"/>
      <c r="L965" s="62"/>
      <c r="M965" s="62"/>
      <c r="N965" s="62"/>
      <c r="O965" s="62"/>
      <c r="P965" s="62"/>
      <c r="Q965" s="62"/>
      <c r="R965" s="62"/>
      <c r="S965" s="62"/>
      <c r="T965" s="10">
        <f t="shared" si="1"/>
        <v>0</v>
      </c>
      <c r="U965" s="62"/>
      <c r="V965" s="62"/>
      <c r="W965" s="62"/>
      <c r="X965" s="62"/>
      <c r="Y965" s="62"/>
      <c r="Z965" s="62"/>
      <c r="AA965" s="62"/>
      <c r="AB965" s="62"/>
      <c r="AC965" s="62"/>
      <c r="AD965" s="62"/>
      <c r="AE965" s="62"/>
      <c r="AF965" s="62"/>
      <c r="AG965" s="62"/>
      <c r="AH965" s="62"/>
      <c r="AI965" s="62"/>
      <c r="AJ965" s="62"/>
      <c r="AK965" s="62"/>
      <c r="AL965" s="62"/>
      <c r="AM965" s="62"/>
      <c r="AN965" s="62"/>
      <c r="AO965" s="62"/>
      <c r="AP965" s="62"/>
      <c r="AQ965" s="62"/>
    </row>
    <row r="966">
      <c r="A966" s="62"/>
      <c r="B966" s="63"/>
      <c r="C966" s="62"/>
      <c r="D966" s="62"/>
      <c r="E966" s="62"/>
      <c r="F966" s="62"/>
      <c r="G966" s="62"/>
      <c r="H966" s="62"/>
      <c r="I966" s="62"/>
      <c r="J966" s="62"/>
      <c r="K966" s="62"/>
      <c r="L966" s="62"/>
      <c r="M966" s="62"/>
      <c r="N966" s="62"/>
      <c r="O966" s="62"/>
      <c r="P966" s="62"/>
      <c r="Q966" s="62"/>
      <c r="R966" s="62"/>
      <c r="S966" s="62"/>
      <c r="T966" s="10">
        <f t="shared" si="1"/>
        <v>0</v>
      </c>
      <c r="U966" s="62"/>
      <c r="V966" s="62"/>
      <c r="W966" s="62"/>
      <c r="X966" s="62"/>
      <c r="Y966" s="62"/>
      <c r="Z966" s="62"/>
      <c r="AA966" s="62"/>
      <c r="AB966" s="62"/>
      <c r="AC966" s="62"/>
      <c r="AD966" s="62"/>
      <c r="AE966" s="62"/>
      <c r="AF966" s="62"/>
      <c r="AG966" s="62"/>
      <c r="AH966" s="62"/>
      <c r="AI966" s="62"/>
      <c r="AJ966" s="62"/>
      <c r="AK966" s="62"/>
      <c r="AL966" s="62"/>
      <c r="AM966" s="62"/>
      <c r="AN966" s="62"/>
      <c r="AO966" s="62"/>
      <c r="AP966" s="62"/>
      <c r="AQ966" s="62"/>
    </row>
    <row r="967">
      <c r="A967" s="62"/>
      <c r="B967" s="63"/>
      <c r="C967" s="62"/>
      <c r="D967" s="62"/>
      <c r="E967" s="62"/>
      <c r="F967" s="62"/>
      <c r="G967" s="62"/>
      <c r="H967" s="62"/>
      <c r="I967" s="62"/>
      <c r="J967" s="62"/>
      <c r="K967" s="62"/>
      <c r="L967" s="62"/>
      <c r="M967" s="62"/>
      <c r="N967" s="62"/>
      <c r="O967" s="62"/>
      <c r="P967" s="62"/>
      <c r="Q967" s="62"/>
      <c r="R967" s="62"/>
      <c r="S967" s="62"/>
      <c r="T967" s="10">
        <f t="shared" si="1"/>
        <v>0</v>
      </c>
      <c r="U967" s="62"/>
      <c r="V967" s="62"/>
      <c r="W967" s="62"/>
      <c r="X967" s="62"/>
      <c r="Y967" s="62"/>
      <c r="Z967" s="62"/>
      <c r="AA967" s="62"/>
      <c r="AB967" s="62"/>
      <c r="AC967" s="62"/>
      <c r="AD967" s="62"/>
      <c r="AE967" s="62"/>
      <c r="AF967" s="62"/>
      <c r="AG967" s="62"/>
      <c r="AH967" s="62"/>
      <c r="AI967" s="62"/>
      <c r="AJ967" s="62"/>
      <c r="AK967" s="62"/>
      <c r="AL967" s="62"/>
      <c r="AM967" s="62"/>
      <c r="AN967" s="62"/>
      <c r="AO967" s="62"/>
      <c r="AP967" s="62"/>
      <c r="AQ967" s="62"/>
    </row>
    <row r="968">
      <c r="A968" s="62"/>
      <c r="B968" s="63"/>
      <c r="C968" s="62"/>
      <c r="D968" s="62"/>
      <c r="E968" s="62"/>
      <c r="F968" s="62"/>
      <c r="G968" s="62"/>
      <c r="H968" s="62"/>
      <c r="I968" s="62"/>
      <c r="J968" s="62"/>
      <c r="K968" s="62"/>
      <c r="L968" s="62"/>
      <c r="M968" s="62"/>
      <c r="N968" s="62"/>
      <c r="O968" s="62"/>
      <c r="P968" s="62"/>
      <c r="Q968" s="62"/>
      <c r="R968" s="62"/>
      <c r="S968" s="62"/>
      <c r="T968" s="10">
        <f t="shared" si="1"/>
        <v>0</v>
      </c>
      <c r="U968" s="62"/>
      <c r="V968" s="62"/>
      <c r="W968" s="62"/>
      <c r="X968" s="62"/>
      <c r="Y968" s="62"/>
      <c r="Z968" s="62"/>
      <c r="AA968" s="62"/>
      <c r="AB968" s="62"/>
      <c r="AC968" s="62"/>
      <c r="AD968" s="62"/>
      <c r="AE968" s="62"/>
      <c r="AF968" s="62"/>
      <c r="AG968" s="62"/>
      <c r="AH968" s="62"/>
      <c r="AI968" s="62"/>
      <c r="AJ968" s="62"/>
      <c r="AK968" s="62"/>
      <c r="AL968" s="62"/>
      <c r="AM968" s="62"/>
      <c r="AN968" s="62"/>
      <c r="AO968" s="62"/>
      <c r="AP968" s="62"/>
      <c r="AQ968" s="62"/>
    </row>
    <row r="969">
      <c r="A969" s="62"/>
      <c r="B969" s="63"/>
      <c r="C969" s="62"/>
      <c r="D969" s="62"/>
      <c r="E969" s="62"/>
      <c r="F969" s="62"/>
      <c r="G969" s="62"/>
      <c r="H969" s="62"/>
      <c r="I969" s="62"/>
      <c r="J969" s="62"/>
      <c r="K969" s="62"/>
      <c r="L969" s="62"/>
      <c r="M969" s="62"/>
      <c r="N969" s="62"/>
      <c r="O969" s="62"/>
      <c r="P969" s="62"/>
      <c r="Q969" s="62"/>
      <c r="R969" s="62"/>
      <c r="S969" s="62"/>
      <c r="T969" s="10">
        <f t="shared" si="1"/>
        <v>0</v>
      </c>
      <c r="U969" s="62"/>
      <c r="V969" s="62"/>
      <c r="W969" s="62"/>
      <c r="X969" s="62"/>
      <c r="Y969" s="62"/>
      <c r="Z969" s="62"/>
      <c r="AA969" s="62"/>
      <c r="AB969" s="62"/>
      <c r="AC969" s="62"/>
      <c r="AD969" s="62"/>
      <c r="AE969" s="62"/>
      <c r="AF969" s="62"/>
      <c r="AG969" s="62"/>
      <c r="AH969" s="62"/>
      <c r="AI969" s="62"/>
      <c r="AJ969" s="62"/>
      <c r="AK969" s="62"/>
      <c r="AL969" s="62"/>
      <c r="AM969" s="62"/>
      <c r="AN969" s="62"/>
      <c r="AO969" s="62"/>
      <c r="AP969" s="62"/>
      <c r="AQ969" s="62"/>
    </row>
    <row r="970">
      <c r="A970" s="62"/>
      <c r="B970" s="63"/>
      <c r="C970" s="62"/>
      <c r="D970" s="62"/>
      <c r="E970" s="62"/>
      <c r="F970" s="62"/>
      <c r="G970" s="62"/>
      <c r="H970" s="62"/>
      <c r="I970" s="62"/>
      <c r="J970" s="62"/>
      <c r="K970" s="62"/>
      <c r="L970" s="62"/>
      <c r="M970" s="62"/>
      <c r="N970" s="62"/>
      <c r="O970" s="62"/>
      <c r="P970" s="62"/>
      <c r="Q970" s="62"/>
      <c r="R970" s="62"/>
      <c r="S970" s="62"/>
      <c r="T970" s="10">
        <f t="shared" si="1"/>
        <v>0</v>
      </c>
      <c r="U970" s="62"/>
      <c r="V970" s="62"/>
      <c r="W970" s="62"/>
      <c r="X970" s="62"/>
      <c r="Y970" s="62"/>
      <c r="Z970" s="62"/>
      <c r="AA970" s="62"/>
      <c r="AB970" s="62"/>
      <c r="AC970" s="62"/>
      <c r="AD970" s="62"/>
      <c r="AE970" s="62"/>
      <c r="AF970" s="62"/>
      <c r="AG970" s="62"/>
      <c r="AH970" s="62"/>
      <c r="AI970" s="62"/>
      <c r="AJ970" s="62"/>
      <c r="AK970" s="62"/>
      <c r="AL970" s="62"/>
      <c r="AM970" s="62"/>
      <c r="AN970" s="62"/>
      <c r="AO970" s="62"/>
      <c r="AP970" s="62"/>
      <c r="AQ970" s="62"/>
    </row>
    <row r="971">
      <c r="A971" s="62"/>
      <c r="B971" s="63"/>
      <c r="C971" s="62"/>
      <c r="D971" s="62"/>
      <c r="E971" s="62"/>
      <c r="F971" s="62"/>
      <c r="G971" s="62"/>
      <c r="H971" s="62"/>
      <c r="I971" s="62"/>
      <c r="J971" s="62"/>
      <c r="K971" s="62"/>
      <c r="L971" s="62"/>
      <c r="M971" s="62"/>
      <c r="N971" s="62"/>
      <c r="O971" s="62"/>
      <c r="P971" s="62"/>
      <c r="Q971" s="62"/>
      <c r="R971" s="62"/>
      <c r="S971" s="62"/>
      <c r="T971" s="10">
        <f t="shared" si="1"/>
        <v>0</v>
      </c>
      <c r="U971" s="62"/>
      <c r="V971" s="62"/>
      <c r="W971" s="62"/>
      <c r="X971" s="62"/>
      <c r="Y971" s="62"/>
      <c r="Z971" s="62"/>
      <c r="AA971" s="62"/>
      <c r="AB971" s="62"/>
      <c r="AC971" s="62"/>
      <c r="AD971" s="62"/>
      <c r="AE971" s="62"/>
      <c r="AF971" s="62"/>
      <c r="AG971" s="62"/>
      <c r="AH971" s="62"/>
      <c r="AI971" s="62"/>
      <c r="AJ971" s="62"/>
      <c r="AK971" s="62"/>
      <c r="AL971" s="62"/>
      <c r="AM971" s="62"/>
      <c r="AN971" s="62"/>
      <c r="AO971" s="62"/>
      <c r="AP971" s="62"/>
      <c r="AQ971" s="62"/>
    </row>
    <row r="972">
      <c r="A972" s="62"/>
      <c r="B972" s="63"/>
      <c r="C972" s="62"/>
      <c r="D972" s="62"/>
      <c r="E972" s="62"/>
      <c r="F972" s="62"/>
      <c r="G972" s="62"/>
      <c r="H972" s="62"/>
      <c r="I972" s="62"/>
      <c r="J972" s="62"/>
      <c r="K972" s="62"/>
      <c r="L972" s="62"/>
      <c r="M972" s="62"/>
      <c r="N972" s="62"/>
      <c r="O972" s="62"/>
      <c r="P972" s="62"/>
      <c r="Q972" s="62"/>
      <c r="R972" s="62"/>
      <c r="S972" s="62"/>
      <c r="T972" s="10">
        <f t="shared" si="1"/>
        <v>0</v>
      </c>
      <c r="U972" s="62"/>
      <c r="V972" s="62"/>
      <c r="W972" s="62"/>
      <c r="X972" s="62"/>
      <c r="Y972" s="62"/>
      <c r="Z972" s="62"/>
      <c r="AA972" s="62"/>
      <c r="AB972" s="62"/>
      <c r="AC972" s="62"/>
      <c r="AD972" s="62"/>
      <c r="AE972" s="62"/>
      <c r="AF972" s="62"/>
      <c r="AG972" s="62"/>
      <c r="AH972" s="62"/>
      <c r="AI972" s="62"/>
      <c r="AJ972" s="62"/>
      <c r="AK972" s="62"/>
      <c r="AL972" s="62"/>
      <c r="AM972" s="62"/>
      <c r="AN972" s="62"/>
      <c r="AO972" s="62"/>
      <c r="AP972" s="62"/>
      <c r="AQ972" s="62"/>
    </row>
    <row r="973">
      <c r="A973" s="62"/>
      <c r="B973" s="63"/>
      <c r="C973" s="62"/>
      <c r="D973" s="62"/>
      <c r="E973" s="62"/>
      <c r="F973" s="62"/>
      <c r="G973" s="62"/>
      <c r="H973" s="62"/>
      <c r="I973" s="62"/>
      <c r="J973" s="62"/>
      <c r="K973" s="62"/>
      <c r="L973" s="62"/>
      <c r="M973" s="62"/>
      <c r="N973" s="62"/>
      <c r="O973" s="62"/>
      <c r="P973" s="62"/>
      <c r="Q973" s="62"/>
      <c r="R973" s="62"/>
      <c r="S973" s="62"/>
      <c r="T973" s="10">
        <f t="shared" si="1"/>
        <v>0</v>
      </c>
      <c r="U973" s="62"/>
      <c r="V973" s="62"/>
      <c r="W973" s="62"/>
      <c r="X973" s="62"/>
      <c r="Y973" s="62"/>
      <c r="Z973" s="62"/>
      <c r="AA973" s="62"/>
      <c r="AB973" s="62"/>
      <c r="AC973" s="62"/>
      <c r="AD973" s="62"/>
      <c r="AE973" s="62"/>
      <c r="AF973" s="62"/>
      <c r="AG973" s="62"/>
      <c r="AH973" s="62"/>
      <c r="AI973" s="62"/>
      <c r="AJ973" s="62"/>
      <c r="AK973" s="62"/>
      <c r="AL973" s="62"/>
      <c r="AM973" s="62"/>
      <c r="AN973" s="62"/>
      <c r="AO973" s="62"/>
      <c r="AP973" s="62"/>
      <c r="AQ973" s="62"/>
    </row>
    <row r="974">
      <c r="A974" s="62"/>
      <c r="B974" s="63"/>
      <c r="C974" s="62"/>
      <c r="D974" s="62"/>
      <c r="E974" s="62"/>
      <c r="F974" s="62"/>
      <c r="G974" s="62"/>
      <c r="H974" s="62"/>
      <c r="I974" s="62"/>
      <c r="J974" s="62"/>
      <c r="K974" s="62"/>
      <c r="L974" s="62"/>
      <c r="M974" s="62"/>
      <c r="N974" s="62"/>
      <c r="O974" s="62"/>
      <c r="P974" s="62"/>
      <c r="Q974" s="62"/>
      <c r="R974" s="62"/>
      <c r="S974" s="62"/>
      <c r="T974" s="10">
        <f t="shared" si="1"/>
        <v>0</v>
      </c>
      <c r="U974" s="62"/>
      <c r="V974" s="62"/>
      <c r="W974" s="62"/>
      <c r="X974" s="62"/>
      <c r="Y974" s="62"/>
      <c r="Z974" s="62"/>
      <c r="AA974" s="62"/>
      <c r="AB974" s="62"/>
      <c r="AC974" s="62"/>
      <c r="AD974" s="62"/>
      <c r="AE974" s="62"/>
      <c r="AF974" s="62"/>
      <c r="AG974" s="62"/>
      <c r="AH974" s="62"/>
      <c r="AI974" s="62"/>
      <c r="AJ974" s="62"/>
      <c r="AK974" s="62"/>
      <c r="AL974" s="62"/>
      <c r="AM974" s="62"/>
      <c r="AN974" s="62"/>
      <c r="AO974" s="62"/>
      <c r="AP974" s="62"/>
      <c r="AQ974" s="62"/>
    </row>
    <row r="975">
      <c r="A975" s="62"/>
      <c r="B975" s="63"/>
      <c r="C975" s="62"/>
      <c r="D975" s="62"/>
      <c r="E975" s="62"/>
      <c r="F975" s="62"/>
      <c r="G975" s="62"/>
      <c r="H975" s="62"/>
      <c r="I975" s="62"/>
      <c r="J975" s="62"/>
      <c r="K975" s="62"/>
      <c r="L975" s="62"/>
      <c r="M975" s="62"/>
      <c r="N975" s="62"/>
      <c r="O975" s="62"/>
      <c r="P975" s="62"/>
      <c r="Q975" s="62"/>
      <c r="R975" s="62"/>
      <c r="S975" s="62"/>
      <c r="T975" s="10">
        <f t="shared" si="1"/>
        <v>0</v>
      </c>
      <c r="U975" s="62"/>
      <c r="V975" s="62"/>
      <c r="W975" s="62"/>
      <c r="X975" s="62"/>
      <c r="Y975" s="62"/>
      <c r="Z975" s="62"/>
      <c r="AA975" s="62"/>
      <c r="AB975" s="62"/>
      <c r="AC975" s="62"/>
      <c r="AD975" s="62"/>
      <c r="AE975" s="62"/>
      <c r="AF975" s="62"/>
      <c r="AG975" s="62"/>
      <c r="AH975" s="62"/>
      <c r="AI975" s="62"/>
      <c r="AJ975" s="62"/>
      <c r="AK975" s="62"/>
      <c r="AL975" s="62"/>
      <c r="AM975" s="62"/>
      <c r="AN975" s="62"/>
      <c r="AO975" s="62"/>
      <c r="AP975" s="62"/>
      <c r="AQ975" s="62"/>
    </row>
    <row r="976">
      <c r="A976" s="62"/>
      <c r="B976" s="63"/>
      <c r="C976" s="62"/>
      <c r="D976" s="62"/>
      <c r="E976" s="62"/>
      <c r="F976" s="62"/>
      <c r="G976" s="62"/>
      <c r="H976" s="62"/>
      <c r="I976" s="62"/>
      <c r="J976" s="62"/>
      <c r="K976" s="62"/>
      <c r="L976" s="62"/>
      <c r="M976" s="62"/>
      <c r="N976" s="62"/>
      <c r="O976" s="62"/>
      <c r="P976" s="62"/>
      <c r="Q976" s="62"/>
      <c r="R976" s="62"/>
      <c r="S976" s="62"/>
      <c r="T976" s="10">
        <f t="shared" si="1"/>
        <v>0</v>
      </c>
      <c r="U976" s="62"/>
      <c r="V976" s="62"/>
      <c r="W976" s="62"/>
      <c r="X976" s="62"/>
      <c r="Y976" s="62"/>
      <c r="Z976" s="62"/>
      <c r="AA976" s="62"/>
      <c r="AB976" s="62"/>
      <c r="AC976" s="62"/>
      <c r="AD976" s="62"/>
      <c r="AE976" s="62"/>
      <c r="AF976" s="62"/>
      <c r="AG976" s="62"/>
      <c r="AH976" s="62"/>
      <c r="AI976" s="62"/>
      <c r="AJ976" s="62"/>
      <c r="AK976" s="62"/>
      <c r="AL976" s="62"/>
      <c r="AM976" s="62"/>
      <c r="AN976" s="62"/>
      <c r="AO976" s="62"/>
      <c r="AP976" s="62"/>
      <c r="AQ976" s="62"/>
    </row>
    <row r="977">
      <c r="A977" s="62"/>
      <c r="B977" s="63"/>
      <c r="C977" s="62"/>
      <c r="D977" s="62"/>
      <c r="E977" s="62"/>
      <c r="F977" s="62"/>
      <c r="G977" s="62"/>
      <c r="H977" s="62"/>
      <c r="I977" s="62"/>
      <c r="J977" s="62"/>
      <c r="K977" s="62"/>
      <c r="L977" s="62"/>
      <c r="M977" s="62"/>
      <c r="N977" s="62"/>
      <c r="O977" s="62"/>
      <c r="P977" s="62"/>
      <c r="Q977" s="62"/>
      <c r="R977" s="62"/>
      <c r="S977" s="62"/>
      <c r="T977" s="10">
        <f t="shared" si="1"/>
        <v>0</v>
      </c>
      <c r="U977" s="62"/>
      <c r="V977" s="62"/>
      <c r="W977" s="62"/>
      <c r="X977" s="62"/>
      <c r="Y977" s="62"/>
      <c r="Z977" s="62"/>
      <c r="AA977" s="62"/>
      <c r="AB977" s="62"/>
      <c r="AC977" s="62"/>
      <c r="AD977" s="62"/>
      <c r="AE977" s="62"/>
      <c r="AF977" s="62"/>
      <c r="AG977" s="62"/>
      <c r="AH977" s="62"/>
      <c r="AI977" s="62"/>
      <c r="AJ977" s="62"/>
      <c r="AK977" s="62"/>
      <c r="AL977" s="62"/>
      <c r="AM977" s="62"/>
      <c r="AN977" s="62"/>
      <c r="AO977" s="62"/>
      <c r="AP977" s="62"/>
      <c r="AQ977" s="62"/>
    </row>
    <row r="978">
      <c r="A978" s="62"/>
      <c r="B978" s="63"/>
      <c r="C978" s="62"/>
      <c r="D978" s="62"/>
      <c r="E978" s="62"/>
      <c r="F978" s="62"/>
      <c r="G978" s="62"/>
      <c r="H978" s="62"/>
      <c r="I978" s="62"/>
      <c r="J978" s="62"/>
      <c r="K978" s="62"/>
      <c r="L978" s="62"/>
      <c r="M978" s="62"/>
      <c r="N978" s="62"/>
      <c r="O978" s="62"/>
      <c r="P978" s="62"/>
      <c r="Q978" s="62"/>
      <c r="R978" s="62"/>
      <c r="S978" s="62"/>
      <c r="T978" s="10">
        <f t="shared" si="1"/>
        <v>0</v>
      </c>
      <c r="U978" s="62"/>
      <c r="V978" s="62"/>
      <c r="W978" s="62"/>
      <c r="X978" s="62"/>
      <c r="Y978" s="62"/>
      <c r="Z978" s="62"/>
      <c r="AA978" s="62"/>
      <c r="AB978" s="62"/>
      <c r="AC978" s="62"/>
      <c r="AD978" s="62"/>
      <c r="AE978" s="62"/>
      <c r="AF978" s="62"/>
      <c r="AG978" s="62"/>
      <c r="AH978" s="62"/>
      <c r="AI978" s="62"/>
      <c r="AJ978" s="62"/>
      <c r="AK978" s="62"/>
      <c r="AL978" s="62"/>
      <c r="AM978" s="62"/>
      <c r="AN978" s="62"/>
      <c r="AO978" s="62"/>
      <c r="AP978" s="62"/>
      <c r="AQ978" s="62"/>
    </row>
    <row r="979">
      <c r="A979" s="62"/>
      <c r="B979" s="63"/>
      <c r="C979" s="62"/>
      <c r="D979" s="62"/>
      <c r="E979" s="62"/>
      <c r="F979" s="62"/>
      <c r="G979" s="62"/>
      <c r="H979" s="62"/>
      <c r="I979" s="62"/>
      <c r="J979" s="62"/>
      <c r="K979" s="62"/>
      <c r="L979" s="62"/>
      <c r="M979" s="62"/>
      <c r="N979" s="62"/>
      <c r="O979" s="62"/>
      <c r="P979" s="62"/>
      <c r="Q979" s="62"/>
      <c r="R979" s="62"/>
      <c r="S979" s="62"/>
      <c r="T979" s="10">
        <f t="shared" si="1"/>
        <v>0</v>
      </c>
      <c r="U979" s="62"/>
      <c r="V979" s="62"/>
      <c r="W979" s="62"/>
      <c r="X979" s="62"/>
      <c r="Y979" s="62"/>
      <c r="Z979" s="62"/>
      <c r="AA979" s="62"/>
      <c r="AB979" s="62"/>
      <c r="AC979" s="62"/>
      <c r="AD979" s="62"/>
      <c r="AE979" s="62"/>
      <c r="AF979" s="62"/>
      <c r="AG979" s="62"/>
      <c r="AH979" s="62"/>
      <c r="AI979" s="62"/>
      <c r="AJ979" s="62"/>
      <c r="AK979" s="62"/>
      <c r="AL979" s="62"/>
      <c r="AM979" s="62"/>
      <c r="AN979" s="62"/>
      <c r="AO979" s="62"/>
      <c r="AP979" s="62"/>
      <c r="AQ979" s="62"/>
    </row>
    <row r="980">
      <c r="A980" s="62"/>
      <c r="B980" s="63"/>
      <c r="C980" s="62"/>
      <c r="D980" s="62"/>
      <c r="E980" s="62"/>
      <c r="F980" s="62"/>
      <c r="G980" s="62"/>
      <c r="H980" s="62"/>
      <c r="I980" s="62"/>
      <c r="J980" s="62"/>
      <c r="K980" s="62"/>
      <c r="L980" s="62"/>
      <c r="M980" s="62"/>
      <c r="N980" s="62"/>
      <c r="O980" s="62"/>
      <c r="P980" s="62"/>
      <c r="Q980" s="62"/>
      <c r="R980" s="62"/>
      <c r="S980" s="62"/>
      <c r="T980" s="10">
        <f t="shared" si="1"/>
        <v>0</v>
      </c>
      <c r="U980" s="62"/>
      <c r="V980" s="62"/>
      <c r="W980" s="62"/>
      <c r="X980" s="62"/>
      <c r="Y980" s="62"/>
      <c r="Z980" s="62"/>
      <c r="AA980" s="62"/>
      <c r="AB980" s="62"/>
      <c r="AC980" s="62"/>
      <c r="AD980" s="62"/>
      <c r="AE980" s="62"/>
      <c r="AF980" s="62"/>
      <c r="AG980" s="62"/>
      <c r="AH980" s="62"/>
      <c r="AI980" s="62"/>
      <c r="AJ980" s="62"/>
      <c r="AK980" s="62"/>
      <c r="AL980" s="62"/>
      <c r="AM980" s="62"/>
      <c r="AN980" s="62"/>
      <c r="AO980" s="62"/>
      <c r="AP980" s="62"/>
      <c r="AQ980" s="62"/>
    </row>
    <row r="981">
      <c r="A981" s="62"/>
      <c r="B981" s="63"/>
      <c r="C981" s="62"/>
      <c r="D981" s="62"/>
      <c r="E981" s="62"/>
      <c r="F981" s="62"/>
      <c r="G981" s="62"/>
      <c r="H981" s="62"/>
      <c r="I981" s="62"/>
      <c r="J981" s="62"/>
      <c r="K981" s="62"/>
      <c r="L981" s="62"/>
      <c r="M981" s="62"/>
      <c r="N981" s="62"/>
      <c r="O981" s="62"/>
      <c r="P981" s="62"/>
      <c r="Q981" s="62"/>
      <c r="R981" s="62"/>
      <c r="S981" s="62"/>
      <c r="T981" s="10">
        <f t="shared" si="1"/>
        <v>0</v>
      </c>
      <c r="U981" s="62"/>
      <c r="V981" s="62"/>
      <c r="W981" s="62"/>
      <c r="X981" s="62"/>
      <c r="Y981" s="62"/>
      <c r="Z981" s="62"/>
      <c r="AA981" s="62"/>
      <c r="AB981" s="62"/>
      <c r="AC981" s="62"/>
      <c r="AD981" s="62"/>
      <c r="AE981" s="62"/>
      <c r="AF981" s="62"/>
      <c r="AG981" s="62"/>
      <c r="AH981" s="62"/>
      <c r="AI981" s="62"/>
      <c r="AJ981" s="62"/>
      <c r="AK981" s="62"/>
      <c r="AL981" s="62"/>
      <c r="AM981" s="62"/>
      <c r="AN981" s="62"/>
      <c r="AO981" s="62"/>
      <c r="AP981" s="62"/>
      <c r="AQ981" s="62"/>
    </row>
    <row r="982">
      <c r="A982" s="62"/>
      <c r="B982" s="63"/>
      <c r="C982" s="62"/>
      <c r="D982" s="62"/>
      <c r="E982" s="62"/>
      <c r="F982" s="62"/>
      <c r="G982" s="62"/>
      <c r="H982" s="62"/>
      <c r="I982" s="62"/>
      <c r="J982" s="62"/>
      <c r="K982" s="62"/>
      <c r="L982" s="62"/>
      <c r="M982" s="62"/>
      <c r="N982" s="62"/>
      <c r="O982" s="62"/>
      <c r="P982" s="62"/>
      <c r="Q982" s="62"/>
      <c r="R982" s="62"/>
      <c r="S982" s="62"/>
      <c r="T982" s="10">
        <f t="shared" si="1"/>
        <v>0</v>
      </c>
      <c r="U982" s="62"/>
      <c r="V982" s="62"/>
      <c r="W982" s="62"/>
      <c r="X982" s="62"/>
      <c r="Y982" s="62"/>
      <c r="Z982" s="62"/>
      <c r="AA982" s="62"/>
      <c r="AB982" s="62"/>
      <c r="AC982" s="62"/>
      <c r="AD982" s="62"/>
      <c r="AE982" s="62"/>
      <c r="AF982" s="62"/>
      <c r="AG982" s="62"/>
      <c r="AH982" s="62"/>
      <c r="AI982" s="62"/>
      <c r="AJ982" s="62"/>
      <c r="AK982" s="62"/>
      <c r="AL982" s="62"/>
      <c r="AM982" s="62"/>
      <c r="AN982" s="62"/>
      <c r="AO982" s="62"/>
      <c r="AP982" s="62"/>
      <c r="AQ982" s="62"/>
    </row>
    <row r="983">
      <c r="A983" s="62"/>
      <c r="B983" s="63"/>
      <c r="C983" s="62"/>
      <c r="D983" s="62"/>
      <c r="E983" s="62"/>
      <c r="F983" s="62"/>
      <c r="G983" s="62"/>
      <c r="H983" s="62"/>
      <c r="I983" s="62"/>
      <c r="J983" s="62"/>
      <c r="K983" s="62"/>
      <c r="L983" s="62"/>
      <c r="M983" s="62"/>
      <c r="N983" s="62"/>
      <c r="O983" s="62"/>
      <c r="P983" s="62"/>
      <c r="Q983" s="62"/>
      <c r="R983" s="62"/>
      <c r="S983" s="62"/>
      <c r="T983" s="10">
        <f t="shared" si="1"/>
        <v>0</v>
      </c>
      <c r="U983" s="62"/>
      <c r="V983" s="62"/>
      <c r="W983" s="62"/>
      <c r="X983" s="62"/>
      <c r="Y983" s="62"/>
      <c r="Z983" s="62"/>
      <c r="AA983" s="62"/>
      <c r="AB983" s="62"/>
      <c r="AC983" s="62"/>
      <c r="AD983" s="62"/>
      <c r="AE983" s="62"/>
      <c r="AF983" s="62"/>
      <c r="AG983" s="62"/>
      <c r="AH983" s="62"/>
      <c r="AI983" s="62"/>
      <c r="AJ983" s="62"/>
      <c r="AK983" s="62"/>
      <c r="AL983" s="62"/>
      <c r="AM983" s="62"/>
      <c r="AN983" s="62"/>
      <c r="AO983" s="62"/>
      <c r="AP983" s="62"/>
      <c r="AQ983" s="62"/>
    </row>
    <row r="984">
      <c r="A984" s="62"/>
      <c r="B984" s="63"/>
      <c r="C984" s="62"/>
      <c r="D984" s="62"/>
      <c r="E984" s="62"/>
      <c r="F984" s="62"/>
      <c r="G984" s="62"/>
      <c r="H984" s="62"/>
      <c r="I984" s="62"/>
      <c r="J984" s="62"/>
      <c r="K984" s="62"/>
      <c r="L984" s="62"/>
      <c r="M984" s="62"/>
      <c r="N984" s="62"/>
      <c r="O984" s="62"/>
      <c r="P984" s="62"/>
      <c r="Q984" s="62"/>
      <c r="R984" s="62"/>
      <c r="S984" s="62"/>
      <c r="T984" s="10">
        <f t="shared" si="1"/>
        <v>0</v>
      </c>
      <c r="U984" s="62"/>
      <c r="V984" s="62"/>
      <c r="W984" s="62"/>
      <c r="X984" s="62"/>
      <c r="Y984" s="62"/>
      <c r="Z984" s="62"/>
      <c r="AA984" s="62"/>
      <c r="AB984" s="62"/>
      <c r="AC984" s="62"/>
      <c r="AD984" s="62"/>
      <c r="AE984" s="62"/>
      <c r="AF984" s="62"/>
      <c r="AG984" s="62"/>
      <c r="AH984" s="62"/>
      <c r="AI984" s="62"/>
      <c r="AJ984" s="62"/>
      <c r="AK984" s="62"/>
      <c r="AL984" s="62"/>
      <c r="AM984" s="62"/>
      <c r="AN984" s="62"/>
      <c r="AO984" s="62"/>
      <c r="AP984" s="62"/>
      <c r="AQ984" s="62"/>
    </row>
    <row r="985">
      <c r="A985" s="62"/>
      <c r="B985" s="63"/>
      <c r="C985" s="62"/>
      <c r="D985" s="62"/>
      <c r="E985" s="62"/>
      <c r="F985" s="62"/>
      <c r="G985" s="62"/>
      <c r="H985" s="62"/>
      <c r="I985" s="62"/>
      <c r="J985" s="62"/>
      <c r="K985" s="62"/>
      <c r="L985" s="62"/>
      <c r="M985" s="62"/>
      <c r="N985" s="62"/>
      <c r="O985" s="62"/>
      <c r="P985" s="62"/>
      <c r="Q985" s="62"/>
      <c r="R985" s="62"/>
      <c r="S985" s="62"/>
      <c r="T985" s="10">
        <f t="shared" si="1"/>
        <v>0</v>
      </c>
      <c r="U985" s="62"/>
      <c r="V985" s="62"/>
      <c r="W985" s="62"/>
      <c r="X985" s="62"/>
      <c r="Y985" s="62"/>
      <c r="Z985" s="62"/>
      <c r="AA985" s="62"/>
      <c r="AB985" s="62"/>
      <c r="AC985" s="62"/>
      <c r="AD985" s="62"/>
      <c r="AE985" s="62"/>
      <c r="AF985" s="62"/>
      <c r="AG985" s="62"/>
      <c r="AH985" s="62"/>
      <c r="AI985" s="62"/>
      <c r="AJ985" s="62"/>
      <c r="AK985" s="62"/>
      <c r="AL985" s="62"/>
      <c r="AM985" s="62"/>
      <c r="AN985" s="62"/>
      <c r="AO985" s="62"/>
      <c r="AP985" s="62"/>
      <c r="AQ985" s="62"/>
    </row>
    <row r="986">
      <c r="A986" s="62"/>
      <c r="B986" s="63"/>
      <c r="C986" s="62"/>
      <c r="D986" s="62"/>
      <c r="E986" s="62"/>
      <c r="F986" s="62"/>
      <c r="G986" s="62"/>
      <c r="H986" s="62"/>
      <c r="I986" s="62"/>
      <c r="J986" s="62"/>
      <c r="K986" s="62"/>
      <c r="L986" s="62"/>
      <c r="M986" s="62"/>
      <c r="N986" s="62"/>
      <c r="O986" s="62"/>
      <c r="P986" s="62"/>
      <c r="Q986" s="62"/>
      <c r="R986" s="62"/>
      <c r="S986" s="62"/>
      <c r="T986" s="10">
        <f t="shared" si="1"/>
        <v>0</v>
      </c>
      <c r="U986" s="62"/>
      <c r="V986" s="62"/>
      <c r="W986" s="62"/>
      <c r="X986" s="62"/>
      <c r="Y986" s="62"/>
      <c r="Z986" s="62"/>
      <c r="AA986" s="62"/>
      <c r="AB986" s="62"/>
      <c r="AC986" s="62"/>
      <c r="AD986" s="62"/>
      <c r="AE986" s="62"/>
      <c r="AF986" s="62"/>
      <c r="AG986" s="62"/>
      <c r="AH986" s="62"/>
      <c r="AI986" s="62"/>
      <c r="AJ986" s="62"/>
      <c r="AK986" s="62"/>
      <c r="AL986" s="62"/>
      <c r="AM986" s="62"/>
      <c r="AN986" s="62"/>
      <c r="AO986" s="62"/>
      <c r="AP986" s="62"/>
      <c r="AQ986" s="62"/>
    </row>
    <row r="987">
      <c r="A987" s="62"/>
      <c r="B987" s="63"/>
      <c r="C987" s="62"/>
      <c r="D987" s="62"/>
      <c r="E987" s="62"/>
      <c r="F987" s="62"/>
      <c r="G987" s="62"/>
      <c r="H987" s="62"/>
      <c r="I987" s="62"/>
      <c r="J987" s="62"/>
      <c r="K987" s="62"/>
      <c r="L987" s="62"/>
      <c r="M987" s="62"/>
      <c r="N987" s="62"/>
      <c r="O987" s="62"/>
      <c r="P987" s="62"/>
      <c r="Q987" s="62"/>
      <c r="R987" s="62"/>
      <c r="S987" s="62"/>
      <c r="T987" s="10">
        <f t="shared" si="1"/>
        <v>0</v>
      </c>
      <c r="U987" s="62"/>
      <c r="V987" s="62"/>
      <c r="W987" s="62"/>
      <c r="X987" s="62"/>
      <c r="Y987" s="62"/>
      <c r="Z987" s="62"/>
      <c r="AA987" s="62"/>
      <c r="AB987" s="62"/>
      <c r="AC987" s="62"/>
      <c r="AD987" s="62"/>
      <c r="AE987" s="62"/>
      <c r="AF987" s="62"/>
      <c r="AG987" s="62"/>
      <c r="AH987" s="62"/>
      <c r="AI987" s="62"/>
      <c r="AJ987" s="62"/>
      <c r="AK987" s="62"/>
      <c r="AL987" s="62"/>
      <c r="AM987" s="62"/>
      <c r="AN987" s="62"/>
      <c r="AO987" s="62"/>
      <c r="AP987" s="62"/>
      <c r="AQ987" s="62"/>
    </row>
    <row r="988">
      <c r="A988" s="62"/>
      <c r="B988" s="63"/>
      <c r="C988" s="62"/>
      <c r="D988" s="62"/>
      <c r="E988" s="62"/>
      <c r="F988" s="62"/>
      <c r="G988" s="62"/>
      <c r="H988" s="62"/>
      <c r="I988" s="62"/>
      <c r="J988" s="62"/>
      <c r="K988" s="62"/>
      <c r="L988" s="62"/>
      <c r="M988" s="62"/>
      <c r="N988" s="62"/>
      <c r="O988" s="62"/>
      <c r="P988" s="62"/>
      <c r="Q988" s="62"/>
      <c r="R988" s="62"/>
      <c r="S988" s="62"/>
      <c r="T988" s="10">
        <f t="shared" si="1"/>
        <v>0</v>
      </c>
      <c r="U988" s="62"/>
      <c r="V988" s="62"/>
      <c r="W988" s="62"/>
      <c r="X988" s="62"/>
      <c r="Y988" s="62"/>
      <c r="Z988" s="62"/>
      <c r="AA988" s="62"/>
      <c r="AB988" s="62"/>
      <c r="AC988" s="62"/>
      <c r="AD988" s="62"/>
      <c r="AE988" s="62"/>
      <c r="AF988" s="62"/>
      <c r="AG988" s="62"/>
      <c r="AH988" s="62"/>
      <c r="AI988" s="62"/>
      <c r="AJ988" s="62"/>
      <c r="AK988" s="62"/>
      <c r="AL988" s="62"/>
      <c r="AM988" s="62"/>
      <c r="AN988" s="62"/>
      <c r="AO988" s="62"/>
      <c r="AP988" s="62"/>
      <c r="AQ988" s="62"/>
    </row>
    <row r="989">
      <c r="A989" s="62"/>
      <c r="B989" s="63"/>
      <c r="C989" s="62"/>
      <c r="D989" s="62"/>
      <c r="E989" s="62"/>
      <c r="F989" s="62"/>
      <c r="G989" s="62"/>
      <c r="H989" s="62"/>
      <c r="I989" s="62"/>
      <c r="J989" s="62"/>
      <c r="K989" s="62"/>
      <c r="L989" s="62"/>
      <c r="M989" s="62"/>
      <c r="N989" s="62"/>
      <c r="O989" s="62"/>
      <c r="P989" s="62"/>
      <c r="Q989" s="62"/>
      <c r="R989" s="62"/>
      <c r="S989" s="62"/>
      <c r="T989" s="10">
        <f t="shared" si="1"/>
        <v>0</v>
      </c>
      <c r="U989" s="62"/>
      <c r="V989" s="62"/>
      <c r="W989" s="62"/>
      <c r="X989" s="62"/>
      <c r="Y989" s="62"/>
      <c r="Z989" s="62"/>
      <c r="AA989" s="62"/>
      <c r="AB989" s="62"/>
      <c r="AC989" s="62"/>
      <c r="AD989" s="62"/>
      <c r="AE989" s="62"/>
      <c r="AF989" s="62"/>
      <c r="AG989" s="62"/>
      <c r="AH989" s="62"/>
      <c r="AI989" s="62"/>
      <c r="AJ989" s="62"/>
      <c r="AK989" s="62"/>
      <c r="AL989" s="62"/>
      <c r="AM989" s="62"/>
      <c r="AN989" s="62"/>
      <c r="AO989" s="62"/>
      <c r="AP989" s="62"/>
      <c r="AQ989" s="62"/>
    </row>
    <row r="990">
      <c r="A990" s="62"/>
      <c r="B990" s="63"/>
      <c r="C990" s="62"/>
      <c r="D990" s="62"/>
      <c r="E990" s="62"/>
      <c r="F990" s="62"/>
      <c r="G990" s="62"/>
      <c r="H990" s="62"/>
      <c r="I990" s="62"/>
      <c r="J990" s="62"/>
      <c r="K990" s="62"/>
      <c r="L990" s="62"/>
      <c r="M990" s="62"/>
      <c r="N990" s="62"/>
      <c r="O990" s="62"/>
      <c r="P990" s="62"/>
      <c r="Q990" s="62"/>
      <c r="R990" s="62"/>
      <c r="S990" s="62"/>
      <c r="T990" s="10">
        <f t="shared" si="1"/>
        <v>0</v>
      </c>
      <c r="U990" s="62"/>
      <c r="V990" s="62"/>
      <c r="W990" s="62"/>
      <c r="X990" s="62"/>
      <c r="Y990" s="62"/>
      <c r="Z990" s="62"/>
      <c r="AA990" s="62"/>
      <c r="AB990" s="62"/>
      <c r="AC990" s="62"/>
      <c r="AD990" s="62"/>
      <c r="AE990" s="62"/>
      <c r="AF990" s="62"/>
      <c r="AG990" s="62"/>
      <c r="AH990" s="62"/>
      <c r="AI990" s="62"/>
      <c r="AJ990" s="62"/>
      <c r="AK990" s="62"/>
      <c r="AL990" s="62"/>
      <c r="AM990" s="62"/>
      <c r="AN990" s="62"/>
      <c r="AO990" s="62"/>
      <c r="AP990" s="62"/>
      <c r="AQ990" s="62"/>
    </row>
    <row r="991">
      <c r="A991" s="62"/>
      <c r="B991" s="63"/>
      <c r="C991" s="62"/>
      <c r="D991" s="62"/>
      <c r="E991" s="62"/>
      <c r="F991" s="62"/>
      <c r="G991" s="62"/>
      <c r="H991" s="62"/>
      <c r="I991" s="62"/>
      <c r="J991" s="62"/>
      <c r="K991" s="62"/>
      <c r="L991" s="62"/>
      <c r="M991" s="62"/>
      <c r="N991" s="62"/>
      <c r="O991" s="62"/>
      <c r="P991" s="62"/>
      <c r="Q991" s="62"/>
      <c r="R991" s="62"/>
      <c r="S991" s="62"/>
      <c r="T991" s="10">
        <f t="shared" si="1"/>
        <v>0</v>
      </c>
      <c r="U991" s="62"/>
      <c r="V991" s="62"/>
      <c r="W991" s="62"/>
      <c r="X991" s="62"/>
      <c r="Y991" s="62"/>
      <c r="Z991" s="62"/>
      <c r="AA991" s="62"/>
      <c r="AB991" s="62"/>
      <c r="AC991" s="62"/>
      <c r="AD991" s="62"/>
      <c r="AE991" s="62"/>
      <c r="AF991" s="62"/>
      <c r="AG991" s="62"/>
      <c r="AH991" s="62"/>
      <c r="AI991" s="62"/>
      <c r="AJ991" s="62"/>
      <c r="AK991" s="62"/>
      <c r="AL991" s="62"/>
      <c r="AM991" s="62"/>
      <c r="AN991" s="62"/>
      <c r="AO991" s="62"/>
      <c r="AP991" s="62"/>
      <c r="AQ991" s="62"/>
    </row>
    <row r="992">
      <c r="A992" s="62"/>
      <c r="B992" s="63"/>
      <c r="C992" s="62"/>
      <c r="D992" s="62"/>
      <c r="E992" s="62"/>
      <c r="F992" s="62"/>
      <c r="G992" s="62"/>
      <c r="H992" s="62"/>
      <c r="I992" s="62"/>
      <c r="J992" s="62"/>
      <c r="K992" s="62"/>
      <c r="L992" s="62"/>
      <c r="M992" s="62"/>
      <c r="N992" s="62"/>
      <c r="O992" s="62"/>
      <c r="P992" s="62"/>
      <c r="Q992" s="62"/>
      <c r="R992" s="62"/>
      <c r="S992" s="62"/>
      <c r="T992" s="10">
        <f t="shared" si="1"/>
        <v>0</v>
      </c>
      <c r="U992" s="62"/>
      <c r="V992" s="62"/>
      <c r="W992" s="62"/>
      <c r="X992" s="62"/>
      <c r="Y992" s="62"/>
      <c r="Z992" s="62"/>
      <c r="AA992" s="62"/>
      <c r="AB992" s="62"/>
      <c r="AC992" s="62"/>
      <c r="AD992" s="62"/>
      <c r="AE992" s="62"/>
      <c r="AF992" s="62"/>
      <c r="AG992" s="62"/>
      <c r="AH992" s="62"/>
      <c r="AI992" s="62"/>
      <c r="AJ992" s="62"/>
      <c r="AK992" s="62"/>
      <c r="AL992" s="62"/>
      <c r="AM992" s="62"/>
      <c r="AN992" s="62"/>
      <c r="AO992" s="62"/>
      <c r="AP992" s="62"/>
      <c r="AQ992" s="62"/>
    </row>
    <row r="993">
      <c r="A993" s="62"/>
      <c r="B993" s="63"/>
      <c r="C993" s="62"/>
      <c r="D993" s="62"/>
      <c r="E993" s="62"/>
      <c r="F993" s="62"/>
      <c r="G993" s="62"/>
      <c r="H993" s="62"/>
      <c r="I993" s="62"/>
      <c r="J993" s="62"/>
      <c r="K993" s="62"/>
      <c r="L993" s="62"/>
      <c r="M993" s="62"/>
      <c r="N993" s="62"/>
      <c r="O993" s="62"/>
      <c r="P993" s="62"/>
      <c r="Q993" s="62"/>
      <c r="R993" s="62"/>
      <c r="S993" s="62"/>
      <c r="T993" s="10">
        <f t="shared" si="1"/>
        <v>0</v>
      </c>
      <c r="U993" s="62"/>
      <c r="V993" s="62"/>
      <c r="W993" s="62"/>
      <c r="X993" s="62"/>
      <c r="Y993" s="62"/>
      <c r="Z993" s="62"/>
      <c r="AA993" s="62"/>
      <c r="AB993" s="62"/>
      <c r="AC993" s="62"/>
      <c r="AD993" s="62"/>
      <c r="AE993" s="62"/>
      <c r="AF993" s="62"/>
      <c r="AG993" s="62"/>
      <c r="AH993" s="62"/>
      <c r="AI993" s="62"/>
      <c r="AJ993" s="62"/>
      <c r="AK993" s="62"/>
      <c r="AL993" s="62"/>
      <c r="AM993" s="62"/>
      <c r="AN993" s="62"/>
      <c r="AO993" s="62"/>
      <c r="AP993" s="62"/>
      <c r="AQ993" s="62"/>
    </row>
    <row r="994">
      <c r="A994" s="62"/>
      <c r="B994" s="63"/>
      <c r="C994" s="62"/>
      <c r="D994" s="62"/>
      <c r="E994" s="62"/>
      <c r="F994" s="62"/>
      <c r="G994" s="62"/>
      <c r="H994" s="62"/>
      <c r="I994" s="62"/>
      <c r="J994" s="62"/>
      <c r="K994" s="62"/>
      <c r="L994" s="62"/>
      <c r="M994" s="62"/>
      <c r="N994" s="62"/>
      <c r="O994" s="62"/>
      <c r="P994" s="62"/>
      <c r="Q994" s="62"/>
      <c r="R994" s="62"/>
      <c r="S994" s="62"/>
      <c r="T994" s="10">
        <f t="shared" si="1"/>
        <v>0</v>
      </c>
      <c r="U994" s="62"/>
      <c r="V994" s="62"/>
      <c r="W994" s="62"/>
      <c r="X994" s="62"/>
      <c r="Y994" s="62"/>
      <c r="Z994" s="62"/>
      <c r="AA994" s="62"/>
      <c r="AB994" s="62"/>
      <c r="AC994" s="62"/>
      <c r="AD994" s="62"/>
      <c r="AE994" s="62"/>
      <c r="AF994" s="62"/>
      <c r="AG994" s="62"/>
      <c r="AH994" s="62"/>
      <c r="AI994" s="62"/>
      <c r="AJ994" s="62"/>
      <c r="AK994" s="62"/>
      <c r="AL994" s="62"/>
      <c r="AM994" s="62"/>
      <c r="AN994" s="62"/>
      <c r="AO994" s="62"/>
      <c r="AP994" s="62"/>
      <c r="AQ994" s="62"/>
    </row>
    <row r="995">
      <c r="A995" s="62"/>
      <c r="B995" s="63"/>
      <c r="C995" s="62"/>
      <c r="D995" s="62"/>
      <c r="E995" s="62"/>
      <c r="F995" s="62"/>
      <c r="G995" s="62"/>
      <c r="H995" s="62"/>
      <c r="I995" s="62"/>
      <c r="J995" s="62"/>
      <c r="K995" s="62"/>
      <c r="L995" s="62"/>
      <c r="M995" s="62"/>
      <c r="N995" s="62"/>
      <c r="O995" s="62"/>
      <c r="P995" s="62"/>
      <c r="Q995" s="62"/>
      <c r="R995" s="62"/>
      <c r="S995" s="62"/>
      <c r="T995" s="10">
        <f t="shared" si="1"/>
        <v>0</v>
      </c>
      <c r="U995" s="62"/>
      <c r="V995" s="62"/>
      <c r="W995" s="62"/>
      <c r="X995" s="62"/>
      <c r="Y995" s="62"/>
      <c r="Z995" s="62"/>
      <c r="AA995" s="62"/>
      <c r="AB995" s="62"/>
      <c r="AC995" s="62"/>
      <c r="AD995" s="62"/>
      <c r="AE995" s="62"/>
      <c r="AF995" s="62"/>
      <c r="AG995" s="62"/>
      <c r="AH995" s="62"/>
      <c r="AI995" s="62"/>
      <c r="AJ995" s="62"/>
      <c r="AK995" s="62"/>
      <c r="AL995" s="62"/>
      <c r="AM995" s="62"/>
      <c r="AN995" s="62"/>
      <c r="AO995" s="62"/>
      <c r="AP995" s="62"/>
      <c r="AQ995" s="62"/>
    </row>
    <row r="996">
      <c r="A996" s="62"/>
      <c r="B996" s="63"/>
      <c r="C996" s="62"/>
      <c r="D996" s="62"/>
      <c r="E996" s="62"/>
      <c r="F996" s="62"/>
      <c r="G996" s="62"/>
      <c r="H996" s="62"/>
      <c r="I996" s="62"/>
      <c r="J996" s="62"/>
      <c r="K996" s="62"/>
      <c r="L996" s="62"/>
      <c r="M996" s="62"/>
      <c r="N996" s="62"/>
      <c r="O996" s="62"/>
      <c r="P996" s="62"/>
      <c r="Q996" s="62"/>
      <c r="R996" s="62"/>
      <c r="S996" s="62"/>
      <c r="T996" s="10">
        <f t="shared" si="1"/>
        <v>0</v>
      </c>
      <c r="U996" s="62"/>
      <c r="V996" s="62"/>
      <c r="W996" s="62"/>
      <c r="X996" s="62"/>
      <c r="Y996" s="62"/>
      <c r="Z996" s="62"/>
      <c r="AA996" s="62"/>
      <c r="AB996" s="62"/>
      <c r="AC996" s="62"/>
      <c r="AD996" s="62"/>
      <c r="AE996" s="62"/>
      <c r="AF996" s="62"/>
      <c r="AG996" s="62"/>
      <c r="AH996" s="62"/>
      <c r="AI996" s="62"/>
      <c r="AJ996" s="62"/>
      <c r="AK996" s="62"/>
      <c r="AL996" s="62"/>
      <c r="AM996" s="62"/>
      <c r="AN996" s="62"/>
      <c r="AO996" s="62"/>
      <c r="AP996" s="62"/>
      <c r="AQ996" s="62"/>
    </row>
    <row r="997">
      <c r="A997" s="62"/>
      <c r="B997" s="63"/>
      <c r="C997" s="62"/>
      <c r="D997" s="62"/>
      <c r="E997" s="62"/>
      <c r="F997" s="62"/>
      <c r="G997" s="62"/>
      <c r="H997" s="62"/>
      <c r="I997" s="62"/>
      <c r="J997" s="62"/>
      <c r="K997" s="62"/>
      <c r="L997" s="62"/>
      <c r="M997" s="62"/>
      <c r="N997" s="62"/>
      <c r="O997" s="62"/>
      <c r="P997" s="62"/>
      <c r="Q997" s="62"/>
      <c r="R997" s="62"/>
      <c r="S997" s="62"/>
      <c r="T997" s="10">
        <f t="shared" si="1"/>
        <v>0</v>
      </c>
      <c r="U997" s="62"/>
      <c r="V997" s="62"/>
      <c r="W997" s="62"/>
      <c r="X997" s="62"/>
      <c r="Y997" s="62"/>
      <c r="Z997" s="62"/>
      <c r="AA997" s="62"/>
      <c r="AB997" s="62"/>
      <c r="AC997" s="62"/>
      <c r="AD997" s="62"/>
      <c r="AE997" s="62"/>
      <c r="AF997" s="62"/>
      <c r="AG997" s="62"/>
      <c r="AH997" s="62"/>
      <c r="AI997" s="62"/>
      <c r="AJ997" s="62"/>
      <c r="AK997" s="62"/>
      <c r="AL997" s="62"/>
      <c r="AM997" s="62"/>
      <c r="AN997" s="62"/>
      <c r="AO997" s="62"/>
      <c r="AP997" s="62"/>
      <c r="AQ997" s="62"/>
    </row>
    <row r="998">
      <c r="A998" s="62"/>
      <c r="B998" s="63"/>
      <c r="C998" s="62"/>
      <c r="D998" s="62"/>
      <c r="E998" s="62"/>
      <c r="F998" s="62"/>
      <c r="G998" s="62"/>
      <c r="H998" s="62"/>
      <c r="I998" s="62"/>
      <c r="J998" s="62"/>
      <c r="K998" s="62"/>
      <c r="L998" s="62"/>
      <c r="M998" s="62"/>
      <c r="N998" s="62"/>
      <c r="O998" s="62"/>
      <c r="P998" s="62"/>
      <c r="Q998" s="62"/>
      <c r="R998" s="62"/>
      <c r="S998" s="62"/>
      <c r="T998" s="10">
        <f t="shared" si="1"/>
        <v>0</v>
      </c>
      <c r="U998" s="62"/>
      <c r="V998" s="62"/>
      <c r="W998" s="62"/>
      <c r="X998" s="62"/>
      <c r="Y998" s="62"/>
      <c r="Z998" s="62"/>
      <c r="AA998" s="62"/>
      <c r="AB998" s="62"/>
      <c r="AC998" s="62"/>
      <c r="AD998" s="62"/>
      <c r="AE998" s="62"/>
      <c r="AF998" s="62"/>
      <c r="AG998" s="62"/>
      <c r="AH998" s="62"/>
      <c r="AI998" s="62"/>
      <c r="AJ998" s="62"/>
      <c r="AK998" s="62"/>
      <c r="AL998" s="62"/>
      <c r="AM998" s="62"/>
      <c r="AN998" s="62"/>
      <c r="AO998" s="62"/>
      <c r="AP998" s="62"/>
      <c r="AQ998" s="62"/>
    </row>
    <row r="999">
      <c r="A999" s="62"/>
      <c r="B999" s="63"/>
      <c r="C999" s="62"/>
      <c r="D999" s="62"/>
      <c r="E999" s="62"/>
      <c r="F999" s="62"/>
      <c r="G999" s="62"/>
      <c r="H999" s="62"/>
      <c r="I999" s="62"/>
      <c r="J999" s="62"/>
      <c r="K999" s="62"/>
      <c r="L999" s="62"/>
      <c r="M999" s="62"/>
      <c r="N999" s="62"/>
      <c r="O999" s="62"/>
      <c r="P999" s="62"/>
      <c r="Q999" s="62"/>
      <c r="R999" s="62"/>
      <c r="S999" s="62"/>
      <c r="T999" s="10">
        <f t="shared" si="1"/>
        <v>0</v>
      </c>
      <c r="U999" s="62"/>
      <c r="V999" s="62"/>
      <c r="W999" s="62"/>
      <c r="X999" s="62"/>
      <c r="Y999" s="62"/>
      <c r="Z999" s="62"/>
      <c r="AA999" s="62"/>
      <c r="AB999" s="62"/>
      <c r="AC999" s="62"/>
      <c r="AD999" s="62"/>
      <c r="AE999" s="62"/>
      <c r="AF999" s="62"/>
      <c r="AG999" s="62"/>
      <c r="AH999" s="62"/>
      <c r="AI999" s="62"/>
      <c r="AJ999" s="62"/>
      <c r="AK999" s="62"/>
      <c r="AL999" s="62"/>
      <c r="AM999" s="62"/>
      <c r="AN999" s="62"/>
      <c r="AO999" s="62"/>
      <c r="AP999" s="62"/>
      <c r="AQ999" s="62"/>
    </row>
    <row r="1000">
      <c r="A1000" s="62"/>
      <c r="B1000" s="63"/>
      <c r="C1000" s="62"/>
      <c r="D1000" s="62"/>
      <c r="E1000" s="62"/>
      <c r="F1000" s="62"/>
      <c r="G1000" s="62"/>
      <c r="H1000" s="62"/>
      <c r="I1000" s="62"/>
      <c r="J1000" s="62"/>
      <c r="K1000" s="62"/>
      <c r="L1000" s="62"/>
      <c r="M1000" s="62"/>
      <c r="N1000" s="62"/>
      <c r="O1000" s="62"/>
      <c r="P1000" s="62"/>
      <c r="Q1000" s="62"/>
      <c r="R1000" s="62"/>
      <c r="S1000" s="62"/>
      <c r="T1000" s="10">
        <f t="shared" si="1"/>
        <v>0</v>
      </c>
      <c r="U1000" s="62"/>
      <c r="V1000" s="62"/>
      <c r="W1000" s="62"/>
      <c r="X1000" s="62"/>
      <c r="Y1000" s="62"/>
      <c r="Z1000" s="62"/>
      <c r="AA1000" s="62"/>
      <c r="AB1000" s="62"/>
      <c r="AC1000" s="62"/>
      <c r="AD1000" s="62"/>
      <c r="AE1000" s="62"/>
      <c r="AF1000" s="62"/>
      <c r="AG1000" s="62"/>
      <c r="AH1000" s="62"/>
      <c r="AI1000" s="62"/>
      <c r="AJ1000" s="62"/>
      <c r="AK1000" s="62"/>
      <c r="AL1000" s="62"/>
      <c r="AM1000" s="62"/>
      <c r="AN1000" s="62"/>
      <c r="AO1000" s="62"/>
      <c r="AP1000" s="62"/>
      <c r="AQ1000" s="62"/>
    </row>
    <row r="1001">
      <c r="A1001" s="62"/>
      <c r="B1001" s="63"/>
      <c r="C1001" s="62"/>
      <c r="D1001" s="62"/>
      <c r="E1001" s="62"/>
      <c r="F1001" s="62"/>
      <c r="G1001" s="62"/>
      <c r="H1001" s="62"/>
      <c r="I1001" s="62"/>
      <c r="J1001" s="62"/>
      <c r="K1001" s="62"/>
      <c r="L1001" s="62"/>
      <c r="M1001" s="62"/>
      <c r="N1001" s="62"/>
      <c r="O1001" s="62"/>
      <c r="P1001" s="62"/>
      <c r="Q1001" s="62"/>
      <c r="R1001" s="62"/>
      <c r="S1001" s="62"/>
      <c r="T1001" s="10">
        <f t="shared" si="1"/>
        <v>0</v>
      </c>
      <c r="U1001" s="62"/>
      <c r="V1001" s="62"/>
      <c r="W1001" s="62"/>
      <c r="X1001" s="62"/>
      <c r="Y1001" s="62"/>
      <c r="Z1001" s="62"/>
      <c r="AA1001" s="62"/>
      <c r="AB1001" s="62"/>
      <c r="AC1001" s="62"/>
      <c r="AD1001" s="62"/>
      <c r="AE1001" s="62"/>
      <c r="AF1001" s="62"/>
      <c r="AG1001" s="62"/>
      <c r="AH1001" s="62"/>
      <c r="AI1001" s="62"/>
      <c r="AJ1001" s="62"/>
      <c r="AK1001" s="62"/>
      <c r="AL1001" s="62"/>
      <c r="AM1001" s="62"/>
      <c r="AN1001" s="62"/>
      <c r="AO1001" s="62"/>
      <c r="AP1001" s="62"/>
      <c r="AQ1001" s="62"/>
    </row>
    <row r="1002">
      <c r="A1002" s="62"/>
      <c r="B1002" s="63"/>
      <c r="C1002" s="62"/>
      <c r="D1002" s="62"/>
      <c r="E1002" s="62"/>
      <c r="F1002" s="62"/>
      <c r="G1002" s="62"/>
      <c r="H1002" s="62"/>
      <c r="I1002" s="62"/>
      <c r="J1002" s="62"/>
      <c r="K1002" s="62"/>
      <c r="L1002" s="62"/>
      <c r="M1002" s="62"/>
      <c r="N1002" s="62"/>
      <c r="O1002" s="62"/>
      <c r="P1002" s="62"/>
      <c r="Q1002" s="62"/>
      <c r="R1002" s="62"/>
      <c r="S1002" s="62"/>
      <c r="T1002" s="10">
        <f t="shared" si="1"/>
        <v>0</v>
      </c>
      <c r="U1002" s="62"/>
      <c r="V1002" s="62"/>
      <c r="W1002" s="62"/>
      <c r="X1002" s="62"/>
      <c r="Y1002" s="62"/>
      <c r="Z1002" s="62"/>
      <c r="AA1002" s="62"/>
      <c r="AB1002" s="62"/>
      <c r="AC1002" s="62"/>
      <c r="AD1002" s="62"/>
      <c r="AE1002" s="62"/>
      <c r="AF1002" s="62"/>
      <c r="AG1002" s="62"/>
      <c r="AH1002" s="62"/>
      <c r="AI1002" s="62"/>
      <c r="AJ1002" s="62"/>
      <c r="AK1002" s="62"/>
      <c r="AL1002" s="62"/>
      <c r="AM1002" s="62"/>
      <c r="AN1002" s="62"/>
      <c r="AO1002" s="62"/>
      <c r="AP1002" s="62"/>
      <c r="AQ1002" s="62"/>
    </row>
    <row r="1003">
      <c r="A1003" s="62"/>
      <c r="B1003" s="63"/>
      <c r="C1003" s="62"/>
      <c r="D1003" s="62"/>
      <c r="E1003" s="62"/>
      <c r="F1003" s="62"/>
      <c r="G1003" s="62"/>
      <c r="H1003" s="62"/>
      <c r="I1003" s="62"/>
      <c r="J1003" s="62"/>
      <c r="K1003" s="62"/>
      <c r="L1003" s="62"/>
      <c r="M1003" s="62"/>
      <c r="N1003" s="62"/>
      <c r="O1003" s="62"/>
      <c r="P1003" s="62"/>
      <c r="Q1003" s="62"/>
      <c r="R1003" s="62"/>
      <c r="S1003" s="62"/>
      <c r="T1003" s="10">
        <f t="shared" si="1"/>
        <v>0</v>
      </c>
      <c r="U1003" s="62"/>
      <c r="V1003" s="62"/>
      <c r="W1003" s="62"/>
      <c r="X1003" s="62"/>
      <c r="Y1003" s="62"/>
      <c r="Z1003" s="62"/>
      <c r="AA1003" s="62"/>
      <c r="AB1003" s="62"/>
      <c r="AC1003" s="62"/>
      <c r="AD1003" s="62"/>
      <c r="AE1003" s="62"/>
      <c r="AF1003" s="62"/>
      <c r="AG1003" s="62"/>
      <c r="AH1003" s="62"/>
      <c r="AI1003" s="62"/>
      <c r="AJ1003" s="62"/>
      <c r="AK1003" s="62"/>
      <c r="AL1003" s="62"/>
      <c r="AM1003" s="62"/>
      <c r="AN1003" s="62"/>
      <c r="AO1003" s="62"/>
      <c r="AP1003" s="62"/>
      <c r="AQ1003" s="62"/>
    </row>
    <row r="1004">
      <c r="A1004" s="62"/>
      <c r="B1004" s="63"/>
      <c r="C1004" s="62"/>
      <c r="D1004" s="62"/>
      <c r="E1004" s="62"/>
      <c r="F1004" s="62"/>
      <c r="G1004" s="62"/>
      <c r="H1004" s="62"/>
      <c r="I1004" s="62"/>
      <c r="J1004" s="62"/>
      <c r="K1004" s="62"/>
      <c r="L1004" s="62"/>
      <c r="M1004" s="62"/>
      <c r="N1004" s="62"/>
      <c r="O1004" s="62"/>
      <c r="P1004" s="62"/>
      <c r="Q1004" s="62"/>
      <c r="R1004" s="62"/>
      <c r="S1004" s="62"/>
      <c r="T1004" s="10">
        <f t="shared" si="1"/>
        <v>0</v>
      </c>
      <c r="U1004" s="62"/>
      <c r="V1004" s="62"/>
      <c r="W1004" s="62"/>
      <c r="X1004" s="62"/>
      <c r="Y1004" s="62"/>
      <c r="Z1004" s="62"/>
      <c r="AA1004" s="62"/>
      <c r="AB1004" s="62"/>
      <c r="AC1004" s="62"/>
      <c r="AD1004" s="62"/>
      <c r="AE1004" s="62"/>
      <c r="AF1004" s="62"/>
      <c r="AG1004" s="62"/>
      <c r="AH1004" s="62"/>
      <c r="AI1004" s="62"/>
      <c r="AJ1004" s="62"/>
      <c r="AK1004" s="62"/>
      <c r="AL1004" s="62"/>
      <c r="AM1004" s="62"/>
      <c r="AN1004" s="62"/>
      <c r="AO1004" s="62"/>
      <c r="AP1004" s="62"/>
      <c r="AQ1004" s="62"/>
    </row>
    <row r="1005">
      <c r="A1005" s="62"/>
      <c r="B1005" s="63"/>
      <c r="C1005" s="62"/>
      <c r="D1005" s="62"/>
      <c r="E1005" s="62"/>
      <c r="F1005" s="62"/>
      <c r="G1005" s="62"/>
      <c r="H1005" s="62"/>
      <c r="I1005" s="62"/>
      <c r="J1005" s="62"/>
      <c r="K1005" s="62"/>
      <c r="L1005" s="62"/>
      <c r="M1005" s="62"/>
      <c r="N1005" s="62"/>
      <c r="O1005" s="62"/>
      <c r="P1005" s="62"/>
      <c r="Q1005" s="62"/>
      <c r="R1005" s="62"/>
      <c r="S1005" s="62"/>
      <c r="T1005" s="10">
        <f t="shared" si="1"/>
        <v>0</v>
      </c>
      <c r="U1005" s="62"/>
      <c r="V1005" s="62"/>
      <c r="W1005" s="62"/>
      <c r="X1005" s="62"/>
      <c r="Y1005" s="62"/>
      <c r="Z1005" s="62"/>
      <c r="AA1005" s="62"/>
      <c r="AB1005" s="62"/>
      <c r="AC1005" s="62"/>
      <c r="AD1005" s="62"/>
      <c r="AE1005" s="62"/>
      <c r="AF1005" s="62"/>
      <c r="AG1005" s="62"/>
      <c r="AH1005" s="62"/>
      <c r="AI1005" s="62"/>
      <c r="AJ1005" s="62"/>
      <c r="AK1005" s="62"/>
      <c r="AL1005" s="62"/>
      <c r="AM1005" s="62"/>
      <c r="AN1005" s="62"/>
      <c r="AO1005" s="62"/>
      <c r="AP1005" s="62"/>
      <c r="AQ1005" s="62"/>
    </row>
    <row r="1006">
      <c r="A1006" s="62"/>
      <c r="B1006" s="63"/>
      <c r="C1006" s="62"/>
      <c r="D1006" s="62"/>
      <c r="E1006" s="62"/>
      <c r="F1006" s="62"/>
      <c r="G1006" s="62"/>
      <c r="H1006" s="62"/>
      <c r="I1006" s="62"/>
      <c r="J1006" s="62"/>
      <c r="K1006" s="62"/>
      <c r="L1006" s="62"/>
      <c r="M1006" s="62"/>
      <c r="N1006" s="62"/>
      <c r="O1006" s="62"/>
      <c r="P1006" s="62"/>
      <c r="Q1006" s="62"/>
      <c r="R1006" s="62"/>
      <c r="S1006" s="62"/>
      <c r="T1006" s="10">
        <f t="shared" si="1"/>
        <v>0</v>
      </c>
      <c r="U1006" s="62"/>
      <c r="V1006" s="62"/>
      <c r="W1006" s="62"/>
      <c r="X1006" s="62"/>
      <c r="Y1006" s="62"/>
      <c r="Z1006" s="62"/>
      <c r="AA1006" s="62"/>
      <c r="AB1006" s="62"/>
      <c r="AC1006" s="62"/>
      <c r="AD1006" s="62"/>
      <c r="AE1006" s="62"/>
      <c r="AF1006" s="62"/>
      <c r="AG1006" s="62"/>
      <c r="AH1006" s="62"/>
      <c r="AI1006" s="62"/>
      <c r="AJ1006" s="62"/>
      <c r="AK1006" s="62"/>
      <c r="AL1006" s="62"/>
      <c r="AM1006" s="62"/>
      <c r="AN1006" s="62"/>
      <c r="AO1006" s="62"/>
      <c r="AP1006" s="62"/>
      <c r="AQ1006" s="62"/>
    </row>
    <row r="1007">
      <c r="A1007" s="62"/>
      <c r="B1007" s="63"/>
      <c r="C1007" s="62"/>
      <c r="D1007" s="62"/>
      <c r="E1007" s="62"/>
      <c r="F1007" s="62"/>
      <c r="G1007" s="62"/>
      <c r="H1007" s="62"/>
      <c r="I1007" s="62"/>
      <c r="J1007" s="62"/>
      <c r="K1007" s="62"/>
      <c r="L1007" s="62"/>
      <c r="M1007" s="62"/>
      <c r="N1007" s="62"/>
      <c r="O1007" s="62"/>
      <c r="P1007" s="62"/>
      <c r="Q1007" s="62"/>
      <c r="R1007" s="62"/>
      <c r="S1007" s="62"/>
      <c r="T1007" s="10">
        <f t="shared" si="1"/>
        <v>0</v>
      </c>
      <c r="U1007" s="62"/>
      <c r="V1007" s="62"/>
      <c r="W1007" s="62"/>
      <c r="X1007" s="62"/>
      <c r="Y1007" s="62"/>
      <c r="Z1007" s="62"/>
      <c r="AA1007" s="62"/>
      <c r="AB1007" s="62"/>
      <c r="AC1007" s="62"/>
      <c r="AD1007" s="62"/>
      <c r="AE1007" s="62"/>
      <c r="AF1007" s="62"/>
      <c r="AG1007" s="62"/>
      <c r="AH1007" s="62"/>
      <c r="AI1007" s="62"/>
      <c r="AJ1007" s="62"/>
      <c r="AK1007" s="62"/>
      <c r="AL1007" s="62"/>
      <c r="AM1007" s="62"/>
      <c r="AN1007" s="62"/>
      <c r="AO1007" s="62"/>
      <c r="AP1007" s="62"/>
      <c r="AQ1007" s="62"/>
    </row>
    <row r="1008">
      <c r="A1008" s="62"/>
      <c r="B1008" s="63"/>
      <c r="C1008" s="62"/>
      <c r="D1008" s="62"/>
      <c r="E1008" s="62"/>
      <c r="F1008" s="62"/>
      <c r="G1008" s="62"/>
      <c r="H1008" s="62"/>
      <c r="I1008" s="62"/>
      <c r="J1008" s="62"/>
      <c r="K1008" s="62"/>
      <c r="L1008" s="62"/>
      <c r="M1008" s="62"/>
      <c r="N1008" s="62"/>
      <c r="O1008" s="62"/>
      <c r="P1008" s="62"/>
      <c r="Q1008" s="62"/>
      <c r="R1008" s="62"/>
      <c r="S1008" s="62"/>
      <c r="T1008" s="10">
        <f t="shared" si="1"/>
        <v>0</v>
      </c>
      <c r="U1008" s="62"/>
      <c r="V1008" s="62"/>
      <c r="W1008" s="62"/>
      <c r="X1008" s="62"/>
      <c r="Y1008" s="62"/>
      <c r="Z1008" s="62"/>
      <c r="AA1008" s="62"/>
      <c r="AB1008" s="62"/>
      <c r="AC1008" s="62"/>
      <c r="AD1008" s="62"/>
      <c r="AE1008" s="62"/>
      <c r="AF1008" s="62"/>
      <c r="AG1008" s="62"/>
      <c r="AH1008" s="62"/>
      <c r="AI1008" s="62"/>
      <c r="AJ1008" s="62"/>
      <c r="AK1008" s="62"/>
      <c r="AL1008" s="62"/>
      <c r="AM1008" s="62"/>
      <c r="AN1008" s="62"/>
      <c r="AO1008" s="62"/>
      <c r="AP1008" s="62"/>
      <c r="AQ1008" s="62"/>
    </row>
    <row r="1009">
      <c r="A1009" s="62"/>
      <c r="B1009" s="63"/>
      <c r="C1009" s="62"/>
      <c r="D1009" s="62"/>
      <c r="E1009" s="62"/>
      <c r="F1009" s="62"/>
      <c r="G1009" s="62"/>
      <c r="H1009" s="62"/>
      <c r="I1009" s="62"/>
      <c r="J1009" s="62"/>
      <c r="K1009" s="62"/>
      <c r="L1009" s="62"/>
      <c r="M1009" s="62"/>
      <c r="N1009" s="62"/>
      <c r="O1009" s="62"/>
      <c r="P1009" s="62"/>
      <c r="Q1009" s="62"/>
      <c r="R1009" s="62"/>
      <c r="S1009" s="62"/>
      <c r="T1009" s="10">
        <f t="shared" si="1"/>
        <v>0</v>
      </c>
      <c r="U1009" s="62"/>
      <c r="V1009" s="62"/>
      <c r="W1009" s="62"/>
      <c r="X1009" s="62"/>
      <c r="Y1009" s="62"/>
      <c r="Z1009" s="62"/>
      <c r="AA1009" s="62"/>
      <c r="AB1009" s="62"/>
      <c r="AC1009" s="62"/>
      <c r="AD1009" s="62"/>
      <c r="AE1009" s="62"/>
      <c r="AF1009" s="62"/>
      <c r="AG1009" s="62"/>
      <c r="AH1009" s="62"/>
      <c r="AI1009" s="62"/>
      <c r="AJ1009" s="62"/>
      <c r="AK1009" s="62"/>
      <c r="AL1009" s="62"/>
      <c r="AM1009" s="62"/>
      <c r="AN1009" s="62"/>
      <c r="AO1009" s="62"/>
      <c r="AP1009" s="62"/>
      <c r="AQ1009" s="62"/>
    </row>
    <row r="1010">
      <c r="A1010" s="62"/>
      <c r="B1010" s="63"/>
      <c r="C1010" s="62"/>
      <c r="D1010" s="62"/>
      <c r="E1010" s="62"/>
      <c r="F1010" s="62"/>
      <c r="G1010" s="62"/>
      <c r="H1010" s="62"/>
      <c r="I1010" s="62"/>
      <c r="J1010" s="62"/>
      <c r="K1010" s="62"/>
      <c r="L1010" s="62"/>
      <c r="M1010" s="62"/>
      <c r="N1010" s="62"/>
      <c r="O1010" s="62"/>
      <c r="P1010" s="62"/>
      <c r="Q1010" s="62"/>
      <c r="R1010" s="62"/>
      <c r="S1010" s="62"/>
      <c r="T1010" s="10">
        <f t="shared" si="1"/>
        <v>0</v>
      </c>
      <c r="U1010" s="62"/>
      <c r="V1010" s="62"/>
      <c r="W1010" s="62"/>
      <c r="X1010" s="62"/>
      <c r="Y1010" s="62"/>
      <c r="Z1010" s="62"/>
      <c r="AA1010" s="62"/>
      <c r="AB1010" s="62"/>
      <c r="AC1010" s="62"/>
      <c r="AD1010" s="62"/>
      <c r="AE1010" s="62"/>
      <c r="AF1010" s="62"/>
      <c r="AG1010" s="62"/>
      <c r="AH1010" s="62"/>
      <c r="AI1010" s="62"/>
      <c r="AJ1010" s="62"/>
      <c r="AK1010" s="62"/>
      <c r="AL1010" s="62"/>
      <c r="AM1010" s="62"/>
      <c r="AN1010" s="62"/>
      <c r="AO1010" s="62"/>
      <c r="AP1010" s="62"/>
      <c r="AQ1010" s="62"/>
    </row>
    <row r="1011">
      <c r="A1011" s="62"/>
      <c r="B1011" s="63"/>
      <c r="C1011" s="62"/>
      <c r="D1011" s="62"/>
      <c r="E1011" s="62"/>
      <c r="F1011" s="62"/>
      <c r="G1011" s="62"/>
      <c r="H1011" s="62"/>
      <c r="I1011" s="62"/>
      <c r="J1011" s="62"/>
      <c r="K1011" s="62"/>
      <c r="L1011" s="62"/>
      <c r="M1011" s="62"/>
      <c r="N1011" s="62"/>
      <c r="O1011" s="62"/>
      <c r="P1011" s="62"/>
      <c r="Q1011" s="62"/>
      <c r="R1011" s="62"/>
      <c r="S1011" s="62"/>
      <c r="T1011" s="10">
        <f t="shared" si="1"/>
        <v>0</v>
      </c>
      <c r="U1011" s="62"/>
      <c r="V1011" s="62"/>
      <c r="W1011" s="62"/>
      <c r="X1011" s="62"/>
      <c r="Y1011" s="62"/>
      <c r="Z1011" s="62"/>
      <c r="AA1011" s="62"/>
      <c r="AB1011" s="62"/>
      <c r="AC1011" s="62"/>
      <c r="AD1011" s="62"/>
      <c r="AE1011" s="62"/>
      <c r="AF1011" s="62"/>
      <c r="AG1011" s="62"/>
      <c r="AH1011" s="62"/>
      <c r="AI1011" s="62"/>
      <c r="AJ1011" s="62"/>
      <c r="AK1011" s="62"/>
      <c r="AL1011" s="62"/>
      <c r="AM1011" s="62"/>
      <c r="AN1011" s="62"/>
      <c r="AO1011" s="62"/>
      <c r="AP1011" s="62"/>
      <c r="AQ1011" s="62"/>
    </row>
    <row r="1012">
      <c r="A1012" s="62"/>
      <c r="B1012" s="63"/>
      <c r="C1012" s="62"/>
      <c r="D1012" s="62"/>
      <c r="E1012" s="62"/>
      <c r="F1012" s="62"/>
      <c r="G1012" s="62"/>
      <c r="H1012" s="62"/>
      <c r="I1012" s="62"/>
      <c r="J1012" s="62"/>
      <c r="K1012" s="62"/>
      <c r="L1012" s="62"/>
      <c r="M1012" s="62"/>
      <c r="N1012" s="62"/>
      <c r="O1012" s="62"/>
      <c r="P1012" s="62"/>
      <c r="Q1012" s="62"/>
      <c r="R1012" s="62"/>
      <c r="S1012" s="62"/>
      <c r="T1012" s="10">
        <f t="shared" si="1"/>
        <v>0</v>
      </c>
      <c r="U1012" s="62"/>
      <c r="V1012" s="62"/>
      <c r="W1012" s="62"/>
      <c r="X1012" s="62"/>
      <c r="Y1012" s="62"/>
      <c r="Z1012" s="62"/>
      <c r="AA1012" s="62"/>
      <c r="AB1012" s="62"/>
      <c r="AC1012" s="62"/>
      <c r="AD1012" s="62"/>
      <c r="AE1012" s="62"/>
      <c r="AF1012" s="62"/>
      <c r="AG1012" s="62"/>
      <c r="AH1012" s="62"/>
      <c r="AI1012" s="62"/>
      <c r="AJ1012" s="62"/>
      <c r="AK1012" s="62"/>
      <c r="AL1012" s="62"/>
      <c r="AM1012" s="62"/>
      <c r="AN1012" s="62"/>
      <c r="AO1012" s="62"/>
      <c r="AP1012" s="62"/>
      <c r="AQ1012" s="62"/>
    </row>
    <row r="1013">
      <c r="A1013" s="62"/>
      <c r="B1013" s="63"/>
      <c r="C1013" s="62"/>
      <c r="D1013" s="62"/>
      <c r="E1013" s="62"/>
      <c r="F1013" s="62"/>
      <c r="G1013" s="62"/>
      <c r="H1013" s="62"/>
      <c r="I1013" s="62"/>
      <c r="J1013" s="62"/>
      <c r="K1013" s="62"/>
      <c r="L1013" s="62"/>
      <c r="M1013" s="62"/>
      <c r="N1013" s="62"/>
      <c r="O1013" s="62"/>
      <c r="P1013" s="62"/>
      <c r="Q1013" s="62"/>
      <c r="R1013" s="62"/>
      <c r="S1013" s="62"/>
      <c r="T1013" s="10">
        <f t="shared" si="1"/>
        <v>0</v>
      </c>
      <c r="U1013" s="62"/>
      <c r="V1013" s="62"/>
      <c r="W1013" s="62"/>
      <c r="X1013" s="62"/>
      <c r="Y1013" s="62"/>
      <c r="Z1013" s="62"/>
      <c r="AA1013" s="62"/>
      <c r="AB1013" s="62"/>
      <c r="AC1013" s="62"/>
      <c r="AD1013" s="62"/>
      <c r="AE1013" s="62"/>
      <c r="AF1013" s="62"/>
      <c r="AG1013" s="62"/>
      <c r="AH1013" s="62"/>
      <c r="AI1013" s="62"/>
      <c r="AJ1013" s="62"/>
      <c r="AK1013" s="62"/>
      <c r="AL1013" s="62"/>
      <c r="AM1013" s="62"/>
      <c r="AN1013" s="62"/>
      <c r="AO1013" s="62"/>
      <c r="AP1013" s="62"/>
      <c r="AQ1013" s="62"/>
    </row>
    <row r="1014">
      <c r="A1014" s="62"/>
      <c r="B1014" s="63"/>
      <c r="C1014" s="62"/>
      <c r="D1014" s="62"/>
      <c r="E1014" s="62"/>
      <c r="F1014" s="62"/>
      <c r="G1014" s="62"/>
      <c r="H1014" s="62"/>
      <c r="I1014" s="62"/>
      <c r="J1014" s="62"/>
      <c r="K1014" s="62"/>
      <c r="L1014" s="62"/>
      <c r="M1014" s="62"/>
      <c r="N1014" s="62"/>
      <c r="O1014" s="62"/>
      <c r="P1014" s="62"/>
      <c r="Q1014" s="62"/>
      <c r="R1014" s="62"/>
      <c r="S1014" s="62"/>
      <c r="T1014" s="10">
        <f t="shared" si="1"/>
        <v>0</v>
      </c>
      <c r="U1014" s="62"/>
      <c r="V1014" s="62"/>
      <c r="W1014" s="62"/>
      <c r="X1014" s="62"/>
      <c r="Y1014" s="62"/>
      <c r="Z1014" s="62"/>
      <c r="AA1014" s="62"/>
      <c r="AB1014" s="62"/>
      <c r="AC1014" s="62"/>
      <c r="AD1014" s="62"/>
      <c r="AE1014" s="62"/>
      <c r="AF1014" s="62"/>
      <c r="AG1014" s="62"/>
      <c r="AH1014" s="62"/>
      <c r="AI1014" s="62"/>
      <c r="AJ1014" s="62"/>
      <c r="AK1014" s="62"/>
      <c r="AL1014" s="62"/>
      <c r="AM1014" s="62"/>
      <c r="AN1014" s="62"/>
      <c r="AO1014" s="62"/>
      <c r="AP1014" s="62"/>
      <c r="AQ1014" s="62"/>
    </row>
    <row r="1015">
      <c r="A1015" s="62"/>
      <c r="B1015" s="63"/>
      <c r="C1015" s="62"/>
      <c r="D1015" s="62"/>
      <c r="E1015" s="62"/>
      <c r="F1015" s="62"/>
      <c r="G1015" s="62"/>
      <c r="H1015" s="62"/>
      <c r="I1015" s="62"/>
      <c r="J1015" s="62"/>
      <c r="K1015" s="62"/>
      <c r="L1015" s="62"/>
      <c r="M1015" s="62"/>
      <c r="N1015" s="62"/>
      <c r="O1015" s="62"/>
      <c r="P1015" s="62"/>
      <c r="Q1015" s="62"/>
      <c r="R1015" s="62"/>
      <c r="S1015" s="62"/>
      <c r="T1015" s="10">
        <f t="shared" si="1"/>
        <v>0</v>
      </c>
      <c r="U1015" s="62"/>
      <c r="V1015" s="62"/>
      <c r="W1015" s="62"/>
      <c r="X1015" s="62"/>
      <c r="Y1015" s="62"/>
      <c r="Z1015" s="62"/>
      <c r="AA1015" s="62"/>
      <c r="AB1015" s="62"/>
      <c r="AC1015" s="62"/>
      <c r="AD1015" s="62"/>
      <c r="AE1015" s="62"/>
      <c r="AF1015" s="62"/>
      <c r="AG1015" s="62"/>
      <c r="AH1015" s="62"/>
      <c r="AI1015" s="62"/>
      <c r="AJ1015" s="62"/>
      <c r="AK1015" s="62"/>
      <c r="AL1015" s="62"/>
      <c r="AM1015" s="62"/>
      <c r="AN1015" s="62"/>
      <c r="AO1015" s="62"/>
      <c r="AP1015" s="62"/>
      <c r="AQ1015" s="62"/>
    </row>
    <row r="1016">
      <c r="A1016" s="62"/>
      <c r="B1016" s="63"/>
      <c r="C1016" s="62"/>
      <c r="D1016" s="62"/>
      <c r="E1016" s="62"/>
      <c r="F1016" s="62"/>
      <c r="G1016" s="62"/>
      <c r="H1016" s="62"/>
      <c r="I1016" s="62"/>
      <c r="J1016" s="62"/>
      <c r="K1016" s="62"/>
      <c r="L1016" s="62"/>
      <c r="M1016" s="62"/>
      <c r="N1016" s="62"/>
      <c r="O1016" s="62"/>
      <c r="P1016" s="62"/>
      <c r="Q1016" s="62"/>
      <c r="R1016" s="62"/>
      <c r="S1016" s="62"/>
      <c r="T1016" s="10">
        <f t="shared" si="1"/>
        <v>0</v>
      </c>
      <c r="U1016" s="62"/>
      <c r="V1016" s="62"/>
      <c r="W1016" s="62"/>
      <c r="X1016" s="62"/>
      <c r="Y1016" s="62"/>
      <c r="Z1016" s="62"/>
      <c r="AA1016" s="62"/>
      <c r="AB1016" s="62"/>
      <c r="AC1016" s="62"/>
      <c r="AD1016" s="62"/>
      <c r="AE1016" s="62"/>
      <c r="AF1016" s="62"/>
      <c r="AG1016" s="62"/>
      <c r="AH1016" s="62"/>
      <c r="AI1016" s="62"/>
      <c r="AJ1016" s="62"/>
      <c r="AK1016" s="62"/>
      <c r="AL1016" s="62"/>
      <c r="AM1016" s="62"/>
      <c r="AN1016" s="62"/>
      <c r="AO1016" s="62"/>
      <c r="AP1016" s="62"/>
      <c r="AQ1016" s="62"/>
    </row>
    <row r="1017">
      <c r="A1017" s="62"/>
      <c r="B1017" s="63"/>
      <c r="C1017" s="62"/>
      <c r="D1017" s="62"/>
      <c r="E1017" s="62"/>
      <c r="F1017" s="62"/>
      <c r="G1017" s="62"/>
      <c r="H1017" s="62"/>
      <c r="I1017" s="62"/>
      <c r="J1017" s="62"/>
      <c r="K1017" s="62"/>
      <c r="L1017" s="62"/>
      <c r="M1017" s="62"/>
      <c r="N1017" s="62"/>
      <c r="O1017" s="62"/>
      <c r="P1017" s="62"/>
      <c r="Q1017" s="62"/>
      <c r="R1017" s="62"/>
      <c r="S1017" s="62"/>
      <c r="T1017" s="10">
        <f t="shared" si="1"/>
        <v>0</v>
      </c>
      <c r="U1017" s="62"/>
      <c r="V1017" s="62"/>
      <c r="W1017" s="62"/>
      <c r="X1017" s="62"/>
      <c r="Y1017" s="62"/>
      <c r="Z1017" s="62"/>
      <c r="AA1017" s="62"/>
      <c r="AB1017" s="62"/>
      <c r="AC1017" s="62"/>
      <c r="AD1017" s="62"/>
      <c r="AE1017" s="62"/>
      <c r="AF1017" s="62"/>
      <c r="AG1017" s="62"/>
      <c r="AH1017" s="62"/>
      <c r="AI1017" s="62"/>
      <c r="AJ1017" s="62"/>
      <c r="AK1017" s="62"/>
      <c r="AL1017" s="62"/>
      <c r="AM1017" s="62"/>
      <c r="AN1017" s="62"/>
      <c r="AO1017" s="62"/>
      <c r="AP1017" s="62"/>
      <c r="AQ1017" s="62"/>
    </row>
    <row r="1018">
      <c r="A1018" s="62"/>
      <c r="B1018" s="63"/>
      <c r="C1018" s="62"/>
      <c r="D1018" s="62"/>
      <c r="E1018" s="62"/>
      <c r="F1018" s="62"/>
      <c r="G1018" s="62"/>
      <c r="H1018" s="62"/>
      <c r="I1018" s="62"/>
      <c r="J1018" s="62"/>
      <c r="K1018" s="62"/>
      <c r="L1018" s="62"/>
      <c r="M1018" s="62"/>
      <c r="N1018" s="62"/>
      <c r="O1018" s="62"/>
      <c r="P1018" s="62"/>
      <c r="Q1018" s="62"/>
      <c r="R1018" s="62"/>
      <c r="S1018" s="62"/>
      <c r="T1018" s="10">
        <f t="shared" si="1"/>
        <v>0</v>
      </c>
      <c r="U1018" s="62"/>
      <c r="V1018" s="62"/>
      <c r="W1018" s="62"/>
      <c r="X1018" s="62"/>
      <c r="Y1018" s="62"/>
      <c r="Z1018" s="62"/>
      <c r="AA1018" s="62"/>
      <c r="AB1018" s="62"/>
      <c r="AC1018" s="62"/>
      <c r="AD1018" s="62"/>
      <c r="AE1018" s="62"/>
      <c r="AF1018" s="62"/>
      <c r="AG1018" s="62"/>
      <c r="AH1018" s="62"/>
      <c r="AI1018" s="62"/>
      <c r="AJ1018" s="62"/>
      <c r="AK1018" s="62"/>
      <c r="AL1018" s="62"/>
      <c r="AM1018" s="62"/>
      <c r="AN1018" s="62"/>
      <c r="AO1018" s="62"/>
      <c r="AP1018" s="62"/>
      <c r="AQ1018" s="62"/>
    </row>
    <row r="1019">
      <c r="A1019" s="62"/>
      <c r="B1019" s="63"/>
      <c r="C1019" s="62"/>
      <c r="D1019" s="62"/>
      <c r="E1019" s="62"/>
      <c r="F1019" s="62"/>
      <c r="G1019" s="62"/>
      <c r="H1019" s="62"/>
      <c r="I1019" s="62"/>
      <c r="J1019" s="62"/>
      <c r="K1019" s="62"/>
      <c r="L1019" s="62"/>
      <c r="M1019" s="62"/>
      <c r="N1019" s="62"/>
      <c r="O1019" s="62"/>
      <c r="P1019" s="62"/>
      <c r="Q1019" s="62"/>
      <c r="R1019" s="62"/>
      <c r="S1019" s="62"/>
      <c r="T1019" s="10">
        <f t="shared" si="1"/>
        <v>0</v>
      </c>
      <c r="U1019" s="62"/>
      <c r="V1019" s="62"/>
      <c r="W1019" s="62"/>
      <c r="X1019" s="62"/>
      <c r="Y1019" s="62"/>
      <c r="Z1019" s="62"/>
      <c r="AA1019" s="62"/>
      <c r="AB1019" s="62"/>
      <c r="AC1019" s="62"/>
      <c r="AD1019" s="62"/>
      <c r="AE1019" s="62"/>
      <c r="AF1019" s="62"/>
      <c r="AG1019" s="62"/>
      <c r="AH1019" s="62"/>
      <c r="AI1019" s="62"/>
      <c r="AJ1019" s="62"/>
      <c r="AK1019" s="62"/>
      <c r="AL1019" s="62"/>
      <c r="AM1019" s="62"/>
      <c r="AN1019" s="62"/>
      <c r="AO1019" s="62"/>
      <c r="AP1019" s="62"/>
      <c r="AQ1019" s="62"/>
    </row>
    <row r="1020">
      <c r="A1020" s="62"/>
      <c r="B1020" s="63"/>
      <c r="C1020" s="62"/>
      <c r="D1020" s="62"/>
      <c r="E1020" s="62"/>
      <c r="F1020" s="62"/>
      <c r="G1020" s="62"/>
      <c r="H1020" s="62"/>
      <c r="I1020" s="62"/>
      <c r="J1020" s="62"/>
      <c r="K1020" s="62"/>
      <c r="L1020" s="62"/>
      <c r="M1020" s="62"/>
      <c r="N1020" s="62"/>
      <c r="O1020" s="62"/>
      <c r="P1020" s="62"/>
      <c r="Q1020" s="62"/>
      <c r="R1020" s="62"/>
      <c r="S1020" s="62"/>
      <c r="T1020" s="10">
        <f t="shared" si="1"/>
        <v>0</v>
      </c>
      <c r="U1020" s="62"/>
      <c r="V1020" s="62"/>
      <c r="W1020" s="62"/>
      <c r="X1020" s="62"/>
      <c r="Y1020" s="62"/>
      <c r="Z1020" s="62"/>
      <c r="AA1020" s="62"/>
      <c r="AB1020" s="62"/>
      <c r="AC1020" s="62"/>
      <c r="AD1020" s="62"/>
      <c r="AE1020" s="62"/>
      <c r="AF1020" s="62"/>
      <c r="AG1020" s="62"/>
      <c r="AH1020" s="62"/>
      <c r="AI1020" s="62"/>
      <c r="AJ1020" s="62"/>
      <c r="AK1020" s="62"/>
      <c r="AL1020" s="62"/>
      <c r="AM1020" s="62"/>
      <c r="AN1020" s="62"/>
      <c r="AO1020" s="62"/>
      <c r="AP1020" s="62"/>
      <c r="AQ1020" s="62"/>
    </row>
    <row r="1021">
      <c r="A1021" s="62"/>
      <c r="B1021" s="63"/>
      <c r="C1021" s="62"/>
      <c r="D1021" s="62"/>
      <c r="E1021" s="62"/>
      <c r="F1021" s="62"/>
      <c r="G1021" s="62"/>
      <c r="H1021" s="62"/>
      <c r="I1021" s="62"/>
      <c r="J1021" s="62"/>
      <c r="K1021" s="62"/>
      <c r="L1021" s="62"/>
      <c r="M1021" s="62"/>
      <c r="N1021" s="62"/>
      <c r="O1021" s="62"/>
      <c r="P1021" s="62"/>
      <c r="Q1021" s="62"/>
      <c r="R1021" s="62"/>
      <c r="S1021" s="62"/>
      <c r="T1021" s="10">
        <f t="shared" si="1"/>
        <v>0</v>
      </c>
      <c r="U1021" s="62"/>
      <c r="V1021" s="62"/>
      <c r="W1021" s="62"/>
      <c r="X1021" s="62"/>
      <c r="Y1021" s="62"/>
      <c r="Z1021" s="62"/>
      <c r="AA1021" s="62"/>
      <c r="AB1021" s="62"/>
      <c r="AC1021" s="62"/>
      <c r="AD1021" s="62"/>
      <c r="AE1021" s="62"/>
      <c r="AF1021" s="62"/>
      <c r="AG1021" s="62"/>
      <c r="AH1021" s="62"/>
      <c r="AI1021" s="62"/>
      <c r="AJ1021" s="62"/>
      <c r="AK1021" s="62"/>
      <c r="AL1021" s="62"/>
      <c r="AM1021" s="62"/>
      <c r="AN1021" s="62"/>
      <c r="AO1021" s="62"/>
      <c r="AP1021" s="62"/>
      <c r="AQ1021" s="62"/>
    </row>
    <row r="1022">
      <c r="A1022" s="62"/>
      <c r="B1022" s="63"/>
      <c r="C1022" s="62"/>
      <c r="D1022" s="62"/>
      <c r="E1022" s="62"/>
      <c r="F1022" s="62"/>
      <c r="G1022" s="62"/>
      <c r="H1022" s="62"/>
      <c r="I1022" s="62"/>
      <c r="J1022" s="62"/>
      <c r="K1022" s="62"/>
      <c r="L1022" s="62"/>
      <c r="M1022" s="62"/>
      <c r="N1022" s="62"/>
      <c r="O1022" s="62"/>
      <c r="P1022" s="62"/>
      <c r="Q1022" s="62"/>
      <c r="R1022" s="62"/>
      <c r="S1022" s="62"/>
      <c r="T1022" s="10">
        <f t="shared" si="1"/>
        <v>0</v>
      </c>
      <c r="U1022" s="62"/>
      <c r="V1022" s="62"/>
      <c r="W1022" s="62"/>
      <c r="X1022" s="62"/>
      <c r="Y1022" s="62"/>
      <c r="Z1022" s="62"/>
      <c r="AA1022" s="62"/>
      <c r="AB1022" s="62"/>
      <c r="AC1022" s="62"/>
      <c r="AD1022" s="62"/>
      <c r="AE1022" s="62"/>
      <c r="AF1022" s="62"/>
      <c r="AG1022" s="62"/>
      <c r="AH1022" s="62"/>
      <c r="AI1022" s="62"/>
      <c r="AJ1022" s="62"/>
      <c r="AK1022" s="62"/>
      <c r="AL1022" s="62"/>
      <c r="AM1022" s="62"/>
      <c r="AN1022" s="62"/>
      <c r="AO1022" s="62"/>
      <c r="AP1022" s="62"/>
      <c r="AQ1022" s="62"/>
    </row>
    <row r="1023">
      <c r="A1023" s="62"/>
      <c r="B1023" s="63"/>
      <c r="C1023" s="62"/>
      <c r="D1023" s="62"/>
      <c r="E1023" s="62"/>
      <c r="F1023" s="62"/>
      <c r="G1023" s="62"/>
      <c r="H1023" s="62"/>
      <c r="I1023" s="62"/>
      <c r="J1023" s="62"/>
      <c r="K1023" s="62"/>
      <c r="L1023" s="62"/>
      <c r="M1023" s="62"/>
      <c r="N1023" s="62"/>
      <c r="O1023" s="62"/>
      <c r="P1023" s="62"/>
      <c r="Q1023" s="62"/>
      <c r="R1023" s="62"/>
      <c r="S1023" s="62"/>
      <c r="T1023" s="10">
        <f t="shared" si="1"/>
        <v>0</v>
      </c>
      <c r="U1023" s="62"/>
      <c r="V1023" s="62"/>
      <c r="W1023" s="62"/>
      <c r="X1023" s="62"/>
      <c r="Y1023" s="62"/>
      <c r="Z1023" s="62"/>
      <c r="AA1023" s="62"/>
      <c r="AB1023" s="62"/>
      <c r="AC1023" s="62"/>
      <c r="AD1023" s="62"/>
      <c r="AE1023" s="62"/>
      <c r="AF1023" s="62"/>
      <c r="AG1023" s="62"/>
      <c r="AH1023" s="62"/>
      <c r="AI1023" s="62"/>
      <c r="AJ1023" s="62"/>
      <c r="AK1023" s="62"/>
      <c r="AL1023" s="62"/>
      <c r="AM1023" s="62"/>
      <c r="AN1023" s="62"/>
      <c r="AO1023" s="62"/>
      <c r="AP1023" s="62"/>
      <c r="AQ1023" s="62"/>
    </row>
    <row r="1024">
      <c r="A1024" s="62"/>
      <c r="B1024" s="63"/>
      <c r="C1024" s="62"/>
      <c r="D1024" s="62"/>
      <c r="E1024" s="62"/>
      <c r="F1024" s="62"/>
      <c r="G1024" s="62"/>
      <c r="H1024" s="62"/>
      <c r="I1024" s="62"/>
      <c r="J1024" s="62"/>
      <c r="K1024" s="62"/>
      <c r="L1024" s="62"/>
      <c r="M1024" s="62"/>
      <c r="N1024" s="62"/>
      <c r="O1024" s="62"/>
      <c r="P1024" s="62"/>
      <c r="Q1024" s="62"/>
      <c r="R1024" s="62"/>
      <c r="S1024" s="62"/>
      <c r="T1024" s="10">
        <f t="shared" si="1"/>
        <v>0</v>
      </c>
      <c r="U1024" s="62"/>
      <c r="V1024" s="62"/>
      <c r="W1024" s="62"/>
      <c r="X1024" s="62"/>
      <c r="Y1024" s="62"/>
      <c r="Z1024" s="62"/>
      <c r="AA1024" s="62"/>
      <c r="AB1024" s="62"/>
      <c r="AC1024" s="62"/>
      <c r="AD1024" s="62"/>
      <c r="AE1024" s="62"/>
      <c r="AF1024" s="62"/>
      <c r="AG1024" s="62"/>
      <c r="AH1024" s="62"/>
      <c r="AI1024" s="62"/>
      <c r="AJ1024" s="62"/>
      <c r="AK1024" s="62"/>
      <c r="AL1024" s="62"/>
      <c r="AM1024" s="62"/>
      <c r="AN1024" s="62"/>
      <c r="AO1024" s="62"/>
      <c r="AP1024" s="62"/>
      <c r="AQ1024" s="62"/>
    </row>
    <row r="1025">
      <c r="A1025" s="62"/>
      <c r="B1025" s="63"/>
      <c r="C1025" s="62"/>
      <c r="D1025" s="62"/>
      <c r="E1025" s="62"/>
      <c r="F1025" s="62"/>
      <c r="G1025" s="62"/>
      <c r="H1025" s="62"/>
      <c r="I1025" s="62"/>
      <c r="J1025" s="62"/>
      <c r="K1025" s="62"/>
      <c r="L1025" s="62"/>
      <c r="M1025" s="62"/>
      <c r="N1025" s="62"/>
      <c r="O1025" s="62"/>
      <c r="P1025" s="62"/>
      <c r="Q1025" s="62"/>
      <c r="R1025" s="62"/>
      <c r="S1025" s="62"/>
      <c r="T1025" s="10">
        <f t="shared" si="1"/>
        <v>0</v>
      </c>
      <c r="U1025" s="62"/>
      <c r="V1025" s="62"/>
      <c r="W1025" s="62"/>
      <c r="X1025" s="62"/>
      <c r="Y1025" s="62"/>
      <c r="Z1025" s="62"/>
      <c r="AA1025" s="62"/>
      <c r="AB1025" s="62"/>
      <c r="AC1025" s="62"/>
      <c r="AD1025" s="62"/>
      <c r="AE1025" s="62"/>
      <c r="AF1025" s="62"/>
      <c r="AG1025" s="62"/>
      <c r="AH1025" s="62"/>
      <c r="AI1025" s="62"/>
      <c r="AJ1025" s="62"/>
      <c r="AK1025" s="62"/>
      <c r="AL1025" s="62"/>
      <c r="AM1025" s="62"/>
      <c r="AN1025" s="62"/>
      <c r="AO1025" s="62"/>
      <c r="AP1025" s="62"/>
      <c r="AQ1025" s="62"/>
    </row>
    <row r="1026">
      <c r="A1026" s="62"/>
      <c r="B1026" s="63"/>
      <c r="C1026" s="62"/>
      <c r="D1026" s="62"/>
      <c r="E1026" s="62"/>
      <c r="F1026" s="62"/>
      <c r="G1026" s="62"/>
      <c r="H1026" s="62"/>
      <c r="I1026" s="62"/>
      <c r="J1026" s="62"/>
      <c r="K1026" s="62"/>
      <c r="L1026" s="62"/>
      <c r="M1026" s="62"/>
      <c r="N1026" s="62"/>
      <c r="O1026" s="62"/>
      <c r="P1026" s="62"/>
      <c r="Q1026" s="62"/>
      <c r="R1026" s="62"/>
      <c r="S1026" s="62"/>
      <c r="T1026" s="10">
        <f t="shared" si="1"/>
        <v>0</v>
      </c>
      <c r="U1026" s="62"/>
      <c r="V1026" s="62"/>
      <c r="W1026" s="62"/>
      <c r="X1026" s="62"/>
      <c r="Y1026" s="62"/>
      <c r="Z1026" s="62"/>
      <c r="AA1026" s="62"/>
      <c r="AB1026" s="62"/>
      <c r="AC1026" s="62"/>
      <c r="AD1026" s="62"/>
      <c r="AE1026" s="62"/>
      <c r="AF1026" s="62"/>
      <c r="AG1026" s="62"/>
      <c r="AH1026" s="62"/>
      <c r="AI1026" s="62"/>
      <c r="AJ1026" s="62"/>
      <c r="AK1026" s="62"/>
      <c r="AL1026" s="62"/>
      <c r="AM1026" s="62"/>
      <c r="AN1026" s="62"/>
      <c r="AO1026" s="62"/>
      <c r="AP1026" s="62"/>
      <c r="AQ1026" s="62"/>
    </row>
    <row r="1027">
      <c r="A1027" s="62"/>
      <c r="B1027" s="63"/>
      <c r="C1027" s="62"/>
      <c r="D1027" s="62"/>
      <c r="E1027" s="62"/>
      <c r="F1027" s="62"/>
      <c r="G1027" s="62"/>
      <c r="H1027" s="62"/>
      <c r="I1027" s="62"/>
      <c r="J1027" s="62"/>
      <c r="K1027" s="62"/>
      <c r="L1027" s="62"/>
      <c r="M1027" s="62"/>
      <c r="N1027" s="62"/>
      <c r="O1027" s="62"/>
      <c r="P1027" s="62"/>
      <c r="Q1027" s="62"/>
      <c r="R1027" s="62"/>
      <c r="S1027" s="62"/>
      <c r="T1027" s="10">
        <f t="shared" si="1"/>
        <v>0</v>
      </c>
      <c r="U1027" s="62"/>
      <c r="V1027" s="62"/>
      <c r="W1027" s="62"/>
      <c r="X1027" s="62"/>
      <c r="Y1027" s="62"/>
      <c r="Z1027" s="62"/>
      <c r="AA1027" s="62"/>
      <c r="AB1027" s="62"/>
      <c r="AC1027" s="62"/>
      <c r="AD1027" s="62"/>
      <c r="AE1027" s="62"/>
      <c r="AF1027" s="62"/>
      <c r="AG1027" s="62"/>
      <c r="AH1027" s="62"/>
      <c r="AI1027" s="62"/>
      <c r="AJ1027" s="62"/>
      <c r="AK1027" s="62"/>
      <c r="AL1027" s="62"/>
      <c r="AM1027" s="62"/>
      <c r="AN1027" s="62"/>
      <c r="AO1027" s="62"/>
      <c r="AP1027" s="62"/>
      <c r="AQ1027" s="62"/>
    </row>
    <row r="1028">
      <c r="A1028" s="62"/>
      <c r="B1028" s="63"/>
      <c r="C1028" s="62"/>
      <c r="D1028" s="62"/>
      <c r="E1028" s="62"/>
      <c r="F1028" s="62"/>
      <c r="G1028" s="62"/>
      <c r="H1028" s="62"/>
      <c r="I1028" s="62"/>
      <c r="J1028" s="62"/>
      <c r="K1028" s="62"/>
      <c r="L1028" s="62"/>
      <c r="M1028" s="62"/>
      <c r="N1028" s="62"/>
      <c r="O1028" s="62"/>
      <c r="P1028" s="62"/>
      <c r="Q1028" s="62"/>
      <c r="R1028" s="62"/>
      <c r="S1028" s="62"/>
      <c r="T1028" s="10">
        <f t="shared" si="1"/>
        <v>0</v>
      </c>
      <c r="U1028" s="62"/>
      <c r="V1028" s="62"/>
      <c r="W1028" s="62"/>
      <c r="X1028" s="62"/>
      <c r="Y1028" s="62"/>
      <c r="Z1028" s="62"/>
      <c r="AA1028" s="62"/>
      <c r="AB1028" s="62"/>
      <c r="AC1028" s="62"/>
      <c r="AD1028" s="62"/>
      <c r="AE1028" s="62"/>
      <c r="AF1028" s="62"/>
      <c r="AG1028" s="62"/>
      <c r="AH1028" s="62"/>
      <c r="AI1028" s="62"/>
      <c r="AJ1028" s="62"/>
      <c r="AK1028" s="62"/>
      <c r="AL1028" s="62"/>
      <c r="AM1028" s="62"/>
      <c r="AN1028" s="62"/>
      <c r="AO1028" s="62"/>
      <c r="AP1028" s="62"/>
      <c r="AQ1028" s="62"/>
    </row>
    <row r="1029">
      <c r="A1029" s="62"/>
      <c r="B1029" s="63"/>
      <c r="C1029" s="62"/>
      <c r="D1029" s="62"/>
      <c r="E1029" s="62"/>
      <c r="F1029" s="62"/>
      <c r="G1029" s="62"/>
      <c r="H1029" s="62"/>
      <c r="I1029" s="62"/>
      <c r="J1029" s="62"/>
      <c r="K1029" s="62"/>
      <c r="L1029" s="62"/>
      <c r="M1029" s="62"/>
      <c r="N1029" s="62"/>
      <c r="O1029" s="62"/>
      <c r="P1029" s="62"/>
      <c r="Q1029" s="62"/>
      <c r="R1029" s="62"/>
      <c r="S1029" s="62"/>
      <c r="T1029" s="10">
        <f t="shared" si="1"/>
        <v>0</v>
      </c>
      <c r="U1029" s="62"/>
      <c r="V1029" s="62"/>
      <c r="W1029" s="62"/>
      <c r="X1029" s="62"/>
      <c r="Y1029" s="62"/>
      <c r="Z1029" s="62"/>
      <c r="AA1029" s="62"/>
      <c r="AB1029" s="62"/>
      <c r="AC1029" s="62"/>
      <c r="AD1029" s="62"/>
      <c r="AE1029" s="62"/>
      <c r="AF1029" s="62"/>
      <c r="AG1029" s="62"/>
      <c r="AH1029" s="62"/>
      <c r="AI1029" s="62"/>
      <c r="AJ1029" s="62"/>
      <c r="AK1029" s="62"/>
      <c r="AL1029" s="62"/>
      <c r="AM1029" s="62"/>
      <c r="AN1029" s="62"/>
      <c r="AO1029" s="62"/>
      <c r="AP1029" s="62"/>
      <c r="AQ1029" s="62"/>
    </row>
    <row r="1030">
      <c r="A1030" s="62"/>
      <c r="B1030" s="63"/>
      <c r="C1030" s="62"/>
      <c r="D1030" s="62"/>
      <c r="E1030" s="62"/>
      <c r="F1030" s="62"/>
      <c r="G1030" s="62"/>
      <c r="H1030" s="62"/>
      <c r="I1030" s="62"/>
      <c r="J1030" s="62"/>
      <c r="K1030" s="62"/>
      <c r="L1030" s="62"/>
      <c r="M1030" s="62"/>
      <c r="N1030" s="62"/>
      <c r="O1030" s="62"/>
      <c r="P1030" s="62"/>
      <c r="Q1030" s="62"/>
      <c r="R1030" s="62"/>
      <c r="S1030" s="62"/>
      <c r="T1030" s="10">
        <f t="shared" si="1"/>
        <v>0</v>
      </c>
      <c r="U1030" s="62"/>
      <c r="V1030" s="62"/>
      <c r="W1030" s="62"/>
      <c r="X1030" s="62"/>
      <c r="Y1030" s="62"/>
      <c r="Z1030" s="62"/>
      <c r="AA1030" s="62"/>
      <c r="AB1030" s="62"/>
      <c r="AC1030" s="62"/>
      <c r="AD1030" s="62"/>
      <c r="AE1030" s="62"/>
      <c r="AF1030" s="62"/>
      <c r="AG1030" s="62"/>
      <c r="AH1030" s="62"/>
      <c r="AI1030" s="62"/>
      <c r="AJ1030" s="62"/>
      <c r="AK1030" s="62"/>
      <c r="AL1030" s="62"/>
      <c r="AM1030" s="62"/>
      <c r="AN1030" s="62"/>
      <c r="AO1030" s="62"/>
      <c r="AP1030" s="62"/>
      <c r="AQ1030" s="62"/>
    </row>
    <row r="1031">
      <c r="A1031" s="62"/>
      <c r="B1031" s="63"/>
      <c r="C1031" s="62"/>
      <c r="D1031" s="62"/>
      <c r="E1031" s="62"/>
      <c r="F1031" s="62"/>
      <c r="G1031" s="62"/>
      <c r="H1031" s="62"/>
      <c r="I1031" s="62"/>
      <c r="J1031" s="62"/>
      <c r="K1031" s="62"/>
      <c r="L1031" s="62"/>
      <c r="M1031" s="62"/>
      <c r="N1031" s="62"/>
      <c r="O1031" s="62"/>
      <c r="P1031" s="62"/>
      <c r="Q1031" s="62"/>
      <c r="R1031" s="62"/>
      <c r="S1031" s="62"/>
      <c r="T1031" s="10">
        <f t="shared" si="1"/>
        <v>0</v>
      </c>
      <c r="U1031" s="62"/>
      <c r="V1031" s="62"/>
      <c r="W1031" s="62"/>
      <c r="X1031" s="62"/>
      <c r="Y1031" s="62"/>
      <c r="Z1031" s="62"/>
      <c r="AA1031" s="62"/>
      <c r="AB1031" s="62"/>
      <c r="AC1031" s="62"/>
      <c r="AD1031" s="62"/>
      <c r="AE1031" s="62"/>
      <c r="AF1031" s="62"/>
      <c r="AG1031" s="62"/>
      <c r="AH1031" s="62"/>
      <c r="AI1031" s="62"/>
      <c r="AJ1031" s="62"/>
      <c r="AK1031" s="62"/>
      <c r="AL1031" s="62"/>
      <c r="AM1031" s="62"/>
      <c r="AN1031" s="62"/>
      <c r="AO1031" s="62"/>
      <c r="AP1031" s="62"/>
      <c r="AQ1031" s="62"/>
    </row>
    <row r="1032">
      <c r="A1032" s="62"/>
      <c r="B1032" s="63"/>
      <c r="C1032" s="62"/>
      <c r="D1032" s="62"/>
      <c r="E1032" s="62"/>
      <c r="F1032" s="62"/>
      <c r="G1032" s="62"/>
      <c r="H1032" s="62"/>
      <c r="I1032" s="62"/>
      <c r="J1032" s="62"/>
      <c r="K1032" s="62"/>
      <c r="L1032" s="62"/>
      <c r="M1032" s="62"/>
      <c r="N1032" s="62"/>
      <c r="O1032" s="62"/>
      <c r="P1032" s="62"/>
      <c r="Q1032" s="62"/>
      <c r="R1032" s="62"/>
      <c r="S1032" s="62"/>
      <c r="T1032" s="10">
        <f t="shared" si="1"/>
        <v>0</v>
      </c>
      <c r="U1032" s="62"/>
      <c r="V1032" s="62"/>
      <c r="W1032" s="62"/>
      <c r="X1032" s="62"/>
      <c r="Y1032" s="62"/>
      <c r="Z1032" s="62"/>
      <c r="AA1032" s="62"/>
      <c r="AB1032" s="62"/>
      <c r="AC1032" s="62"/>
      <c r="AD1032" s="62"/>
      <c r="AE1032" s="62"/>
      <c r="AF1032" s="62"/>
      <c r="AG1032" s="62"/>
      <c r="AH1032" s="62"/>
      <c r="AI1032" s="62"/>
      <c r="AJ1032" s="62"/>
      <c r="AK1032" s="62"/>
      <c r="AL1032" s="62"/>
      <c r="AM1032" s="62"/>
      <c r="AN1032" s="62"/>
      <c r="AO1032" s="62"/>
      <c r="AP1032" s="62"/>
      <c r="AQ1032" s="62"/>
    </row>
    <row r="1033">
      <c r="A1033" s="62"/>
      <c r="B1033" s="63"/>
      <c r="C1033" s="62"/>
      <c r="D1033" s="62"/>
      <c r="E1033" s="62"/>
      <c r="F1033" s="62"/>
      <c r="G1033" s="62"/>
      <c r="H1033" s="62"/>
      <c r="I1033" s="62"/>
      <c r="J1033" s="62"/>
      <c r="K1033" s="62"/>
      <c r="L1033" s="62"/>
      <c r="M1033" s="62"/>
      <c r="N1033" s="62"/>
      <c r="O1033" s="62"/>
      <c r="P1033" s="62"/>
      <c r="Q1033" s="62"/>
      <c r="R1033" s="62"/>
      <c r="S1033" s="62"/>
      <c r="T1033" s="10">
        <f t="shared" si="1"/>
        <v>0</v>
      </c>
      <c r="U1033" s="62"/>
      <c r="V1033" s="62"/>
      <c r="W1033" s="62"/>
      <c r="X1033" s="62"/>
      <c r="Y1033" s="62"/>
      <c r="Z1033" s="62"/>
      <c r="AA1033" s="62"/>
      <c r="AB1033" s="62"/>
      <c r="AC1033" s="62"/>
      <c r="AD1033" s="62"/>
      <c r="AE1033" s="62"/>
      <c r="AF1033" s="62"/>
      <c r="AG1033" s="62"/>
      <c r="AH1033" s="62"/>
      <c r="AI1033" s="62"/>
      <c r="AJ1033" s="62"/>
      <c r="AK1033" s="62"/>
      <c r="AL1033" s="62"/>
      <c r="AM1033" s="62"/>
      <c r="AN1033" s="62"/>
      <c r="AO1033" s="62"/>
      <c r="AP1033" s="62"/>
      <c r="AQ1033" s="62"/>
    </row>
    <row r="1034">
      <c r="A1034" s="62"/>
      <c r="B1034" s="63"/>
      <c r="C1034" s="62"/>
      <c r="D1034" s="62"/>
      <c r="E1034" s="62"/>
      <c r="F1034" s="62"/>
      <c r="G1034" s="62"/>
      <c r="H1034" s="62"/>
      <c r="I1034" s="62"/>
      <c r="J1034" s="62"/>
      <c r="K1034" s="62"/>
      <c r="L1034" s="62"/>
      <c r="M1034" s="62"/>
      <c r="N1034" s="62"/>
      <c r="O1034" s="62"/>
      <c r="P1034" s="62"/>
      <c r="Q1034" s="62"/>
      <c r="R1034" s="62"/>
      <c r="S1034" s="62"/>
      <c r="T1034" s="10">
        <f t="shared" si="1"/>
        <v>0</v>
      </c>
      <c r="U1034" s="62"/>
      <c r="V1034" s="62"/>
      <c r="W1034" s="62"/>
      <c r="X1034" s="62"/>
      <c r="Y1034" s="62"/>
      <c r="Z1034" s="62"/>
      <c r="AA1034" s="62"/>
      <c r="AB1034" s="62"/>
      <c r="AC1034" s="62"/>
      <c r="AD1034" s="62"/>
      <c r="AE1034" s="62"/>
      <c r="AF1034" s="62"/>
      <c r="AG1034" s="62"/>
      <c r="AH1034" s="62"/>
      <c r="AI1034" s="62"/>
      <c r="AJ1034" s="62"/>
      <c r="AK1034" s="62"/>
      <c r="AL1034" s="62"/>
      <c r="AM1034" s="62"/>
      <c r="AN1034" s="62"/>
      <c r="AO1034" s="62"/>
      <c r="AP1034" s="62"/>
      <c r="AQ1034" s="62"/>
    </row>
    <row r="1035">
      <c r="A1035" s="62"/>
      <c r="B1035" s="63"/>
      <c r="C1035" s="62"/>
      <c r="D1035" s="62"/>
      <c r="E1035" s="62"/>
      <c r="F1035" s="62"/>
      <c r="G1035" s="62"/>
      <c r="H1035" s="62"/>
      <c r="I1035" s="62"/>
      <c r="J1035" s="62"/>
      <c r="K1035" s="62"/>
      <c r="L1035" s="62"/>
      <c r="M1035" s="62"/>
      <c r="N1035" s="62"/>
      <c r="O1035" s="62"/>
      <c r="P1035" s="62"/>
      <c r="Q1035" s="62"/>
      <c r="R1035" s="62"/>
      <c r="S1035" s="62"/>
      <c r="T1035" s="10">
        <f t="shared" si="1"/>
        <v>0</v>
      </c>
      <c r="U1035" s="62"/>
      <c r="V1035" s="62"/>
      <c r="W1035" s="62"/>
      <c r="X1035" s="62"/>
      <c r="Y1035" s="62"/>
      <c r="Z1035" s="62"/>
      <c r="AA1035" s="62"/>
      <c r="AB1035" s="62"/>
      <c r="AC1035" s="62"/>
      <c r="AD1035" s="62"/>
      <c r="AE1035" s="62"/>
      <c r="AF1035" s="62"/>
      <c r="AG1035" s="62"/>
      <c r="AH1035" s="62"/>
      <c r="AI1035" s="62"/>
      <c r="AJ1035" s="62"/>
      <c r="AK1035" s="62"/>
      <c r="AL1035" s="62"/>
      <c r="AM1035" s="62"/>
      <c r="AN1035" s="62"/>
      <c r="AO1035" s="62"/>
      <c r="AP1035" s="62"/>
      <c r="AQ1035" s="62"/>
    </row>
    <row r="1036">
      <c r="A1036" s="62"/>
      <c r="B1036" s="63"/>
      <c r="C1036" s="62"/>
      <c r="D1036" s="62"/>
      <c r="E1036" s="62"/>
      <c r="F1036" s="62"/>
      <c r="G1036" s="62"/>
      <c r="H1036" s="62"/>
      <c r="I1036" s="62"/>
      <c r="J1036" s="62"/>
      <c r="K1036" s="62"/>
      <c r="L1036" s="62"/>
      <c r="M1036" s="62"/>
      <c r="N1036" s="62"/>
      <c r="O1036" s="62"/>
      <c r="P1036" s="62"/>
      <c r="Q1036" s="62"/>
      <c r="R1036" s="62"/>
      <c r="S1036" s="62"/>
      <c r="T1036" s="10">
        <f t="shared" si="1"/>
        <v>0</v>
      </c>
      <c r="U1036" s="62"/>
      <c r="V1036" s="62"/>
      <c r="W1036" s="62"/>
      <c r="X1036" s="62"/>
      <c r="Y1036" s="62"/>
      <c r="Z1036" s="62"/>
      <c r="AA1036" s="62"/>
      <c r="AB1036" s="62"/>
      <c r="AC1036" s="62"/>
      <c r="AD1036" s="62"/>
      <c r="AE1036" s="62"/>
      <c r="AF1036" s="62"/>
      <c r="AG1036" s="62"/>
      <c r="AH1036" s="62"/>
      <c r="AI1036" s="62"/>
      <c r="AJ1036" s="62"/>
      <c r="AK1036" s="62"/>
      <c r="AL1036" s="62"/>
      <c r="AM1036" s="62"/>
      <c r="AN1036" s="62"/>
      <c r="AO1036" s="62"/>
      <c r="AP1036" s="62"/>
      <c r="AQ1036" s="62"/>
    </row>
    <row r="1037">
      <c r="A1037" s="62"/>
      <c r="B1037" s="63"/>
      <c r="C1037" s="62"/>
      <c r="D1037" s="62"/>
      <c r="E1037" s="62"/>
      <c r="F1037" s="62"/>
      <c r="G1037" s="62"/>
      <c r="H1037" s="62"/>
      <c r="I1037" s="62"/>
      <c r="J1037" s="62"/>
      <c r="K1037" s="62"/>
      <c r="L1037" s="62"/>
      <c r="M1037" s="62"/>
      <c r="N1037" s="62"/>
      <c r="O1037" s="62"/>
      <c r="P1037" s="62"/>
      <c r="Q1037" s="62"/>
      <c r="R1037" s="62"/>
      <c r="S1037" s="62"/>
      <c r="T1037" s="10">
        <f t="shared" si="1"/>
        <v>0</v>
      </c>
      <c r="U1037" s="62"/>
      <c r="V1037" s="62"/>
      <c r="W1037" s="62"/>
      <c r="X1037" s="62"/>
      <c r="Y1037" s="62"/>
      <c r="Z1037" s="62"/>
      <c r="AA1037" s="62"/>
      <c r="AB1037" s="62"/>
      <c r="AC1037" s="62"/>
      <c r="AD1037" s="62"/>
      <c r="AE1037" s="62"/>
      <c r="AF1037" s="62"/>
      <c r="AG1037" s="62"/>
      <c r="AH1037" s="62"/>
      <c r="AI1037" s="62"/>
      <c r="AJ1037" s="62"/>
      <c r="AK1037" s="62"/>
      <c r="AL1037" s="62"/>
      <c r="AM1037" s="62"/>
      <c r="AN1037" s="62"/>
      <c r="AO1037" s="62"/>
      <c r="AP1037" s="62"/>
      <c r="AQ1037" s="62"/>
    </row>
    <row r="1038">
      <c r="A1038" s="62"/>
      <c r="B1038" s="63"/>
      <c r="C1038" s="62"/>
      <c r="D1038" s="62"/>
      <c r="E1038" s="62"/>
      <c r="F1038" s="62"/>
      <c r="G1038" s="62"/>
      <c r="H1038" s="62"/>
      <c r="I1038" s="62"/>
      <c r="J1038" s="62"/>
      <c r="K1038" s="62"/>
      <c r="L1038" s="62"/>
      <c r="M1038" s="62"/>
      <c r="N1038" s="62"/>
      <c r="O1038" s="62"/>
      <c r="P1038" s="62"/>
      <c r="Q1038" s="62"/>
      <c r="R1038" s="62"/>
      <c r="S1038" s="62"/>
      <c r="T1038" s="10">
        <f t="shared" si="1"/>
        <v>0</v>
      </c>
      <c r="U1038" s="62"/>
      <c r="V1038" s="62"/>
      <c r="W1038" s="62"/>
      <c r="X1038" s="62"/>
      <c r="Y1038" s="62"/>
      <c r="Z1038" s="62"/>
      <c r="AA1038" s="62"/>
      <c r="AB1038" s="62"/>
      <c r="AC1038" s="62"/>
      <c r="AD1038" s="62"/>
      <c r="AE1038" s="62"/>
      <c r="AF1038" s="62"/>
      <c r="AG1038" s="62"/>
      <c r="AH1038" s="62"/>
      <c r="AI1038" s="62"/>
      <c r="AJ1038" s="62"/>
      <c r="AK1038" s="62"/>
      <c r="AL1038" s="62"/>
      <c r="AM1038" s="62"/>
      <c r="AN1038" s="62"/>
      <c r="AO1038" s="62"/>
      <c r="AP1038" s="62"/>
      <c r="AQ1038" s="62"/>
    </row>
    <row r="1039">
      <c r="A1039" s="62"/>
      <c r="B1039" s="63"/>
      <c r="C1039" s="62"/>
      <c r="D1039" s="62"/>
      <c r="E1039" s="62"/>
      <c r="F1039" s="62"/>
      <c r="G1039" s="62"/>
      <c r="H1039" s="62"/>
      <c r="I1039" s="62"/>
      <c r="J1039" s="62"/>
      <c r="K1039" s="62"/>
      <c r="L1039" s="62"/>
      <c r="M1039" s="62"/>
      <c r="N1039" s="62"/>
      <c r="O1039" s="62"/>
      <c r="P1039" s="62"/>
      <c r="Q1039" s="62"/>
      <c r="R1039" s="62"/>
      <c r="S1039" s="62"/>
      <c r="T1039" s="10">
        <f t="shared" si="1"/>
        <v>0</v>
      </c>
      <c r="U1039" s="62"/>
      <c r="V1039" s="62"/>
      <c r="W1039" s="62"/>
      <c r="X1039" s="62"/>
      <c r="Y1039" s="62"/>
      <c r="Z1039" s="62"/>
      <c r="AA1039" s="62"/>
      <c r="AB1039" s="62"/>
      <c r="AC1039" s="62"/>
      <c r="AD1039" s="62"/>
      <c r="AE1039" s="62"/>
      <c r="AF1039" s="62"/>
      <c r="AG1039" s="62"/>
      <c r="AH1039" s="62"/>
      <c r="AI1039" s="62"/>
      <c r="AJ1039" s="62"/>
      <c r="AK1039" s="62"/>
      <c r="AL1039" s="62"/>
      <c r="AM1039" s="62"/>
      <c r="AN1039" s="62"/>
      <c r="AO1039" s="62"/>
      <c r="AP1039" s="62"/>
      <c r="AQ1039" s="62"/>
    </row>
    <row r="1040">
      <c r="A1040" s="62"/>
      <c r="B1040" s="63"/>
      <c r="C1040" s="62"/>
      <c r="D1040" s="62"/>
      <c r="E1040" s="62"/>
      <c r="F1040" s="62"/>
      <c r="G1040" s="62"/>
      <c r="H1040" s="62"/>
      <c r="I1040" s="62"/>
      <c r="J1040" s="62"/>
      <c r="K1040" s="62"/>
      <c r="L1040" s="62"/>
      <c r="M1040" s="62"/>
      <c r="N1040" s="62"/>
      <c r="O1040" s="62"/>
      <c r="P1040" s="62"/>
      <c r="Q1040" s="62"/>
      <c r="R1040" s="62"/>
      <c r="S1040" s="62"/>
      <c r="T1040" s="10">
        <f t="shared" si="1"/>
        <v>0</v>
      </c>
      <c r="U1040" s="62"/>
      <c r="V1040" s="62"/>
      <c r="W1040" s="62"/>
      <c r="X1040" s="62"/>
      <c r="Y1040" s="62"/>
      <c r="Z1040" s="62"/>
      <c r="AA1040" s="62"/>
      <c r="AB1040" s="62"/>
      <c r="AC1040" s="62"/>
      <c r="AD1040" s="62"/>
      <c r="AE1040" s="62"/>
      <c r="AF1040" s="62"/>
      <c r="AG1040" s="62"/>
      <c r="AH1040" s="62"/>
      <c r="AI1040" s="62"/>
      <c r="AJ1040" s="62"/>
      <c r="AK1040" s="62"/>
      <c r="AL1040" s="62"/>
      <c r="AM1040" s="62"/>
      <c r="AN1040" s="62"/>
      <c r="AO1040" s="62"/>
      <c r="AP1040" s="62"/>
      <c r="AQ1040" s="62"/>
    </row>
    <row r="1041">
      <c r="A1041" s="62"/>
      <c r="B1041" s="63"/>
      <c r="C1041" s="62"/>
      <c r="D1041" s="62"/>
      <c r="E1041" s="62"/>
      <c r="F1041" s="62"/>
      <c r="G1041" s="62"/>
      <c r="H1041" s="62"/>
      <c r="I1041" s="62"/>
      <c r="J1041" s="62"/>
      <c r="K1041" s="62"/>
      <c r="L1041" s="62"/>
      <c r="M1041" s="62"/>
      <c r="N1041" s="62"/>
      <c r="O1041" s="62"/>
      <c r="P1041" s="62"/>
      <c r="Q1041" s="62"/>
      <c r="R1041" s="62"/>
      <c r="S1041" s="62"/>
      <c r="T1041" s="10">
        <f t="shared" si="1"/>
        <v>0</v>
      </c>
      <c r="U1041" s="62"/>
      <c r="V1041" s="62"/>
      <c r="W1041" s="62"/>
      <c r="X1041" s="62"/>
      <c r="Y1041" s="62"/>
      <c r="Z1041" s="62"/>
      <c r="AA1041" s="62"/>
      <c r="AB1041" s="62"/>
      <c r="AC1041" s="62"/>
      <c r="AD1041" s="62"/>
      <c r="AE1041" s="62"/>
      <c r="AF1041" s="62"/>
      <c r="AG1041" s="62"/>
      <c r="AH1041" s="62"/>
      <c r="AI1041" s="62"/>
      <c r="AJ1041" s="62"/>
      <c r="AK1041" s="62"/>
      <c r="AL1041" s="62"/>
      <c r="AM1041" s="62"/>
      <c r="AN1041" s="62"/>
      <c r="AO1041" s="62"/>
      <c r="AP1041" s="62"/>
      <c r="AQ1041" s="62"/>
    </row>
    <row r="1042">
      <c r="A1042" s="62"/>
      <c r="B1042" s="63"/>
      <c r="C1042" s="62"/>
      <c r="D1042" s="62"/>
      <c r="E1042" s="62"/>
      <c r="F1042" s="62"/>
      <c r="G1042" s="62"/>
      <c r="H1042" s="62"/>
      <c r="I1042" s="62"/>
      <c r="J1042" s="62"/>
      <c r="K1042" s="62"/>
      <c r="L1042" s="62"/>
      <c r="M1042" s="62"/>
      <c r="N1042" s="62"/>
      <c r="O1042" s="62"/>
      <c r="P1042" s="62"/>
      <c r="Q1042" s="62"/>
      <c r="R1042" s="62"/>
      <c r="S1042" s="62"/>
      <c r="T1042" s="10">
        <f t="shared" si="1"/>
        <v>0</v>
      </c>
      <c r="U1042" s="62"/>
      <c r="V1042" s="62"/>
      <c r="W1042" s="62"/>
      <c r="X1042" s="62"/>
      <c r="Y1042" s="62"/>
      <c r="Z1042" s="62"/>
      <c r="AA1042" s="62"/>
      <c r="AB1042" s="62"/>
      <c r="AC1042" s="62"/>
      <c r="AD1042" s="62"/>
      <c r="AE1042" s="62"/>
      <c r="AF1042" s="62"/>
      <c r="AG1042" s="62"/>
      <c r="AH1042" s="62"/>
      <c r="AI1042" s="62"/>
      <c r="AJ1042" s="62"/>
      <c r="AK1042" s="62"/>
      <c r="AL1042" s="62"/>
      <c r="AM1042" s="62"/>
      <c r="AN1042" s="62"/>
      <c r="AO1042" s="62"/>
      <c r="AP1042" s="62"/>
      <c r="AQ1042" s="62"/>
    </row>
    <row r="1043">
      <c r="A1043" s="62"/>
      <c r="B1043" s="63"/>
      <c r="C1043" s="62"/>
      <c r="D1043" s="62"/>
      <c r="E1043" s="62"/>
      <c r="F1043" s="62"/>
      <c r="G1043" s="62"/>
      <c r="H1043" s="62"/>
      <c r="I1043" s="62"/>
      <c r="J1043" s="62"/>
      <c r="K1043" s="62"/>
      <c r="L1043" s="62"/>
      <c r="M1043" s="62"/>
      <c r="N1043" s="62"/>
      <c r="O1043" s="62"/>
      <c r="P1043" s="62"/>
      <c r="Q1043" s="62"/>
      <c r="R1043" s="62"/>
      <c r="S1043" s="62"/>
      <c r="T1043" s="10">
        <f t="shared" si="1"/>
        <v>0</v>
      </c>
      <c r="U1043" s="62"/>
      <c r="V1043" s="62"/>
      <c r="W1043" s="62"/>
      <c r="X1043" s="62"/>
      <c r="Y1043" s="62"/>
      <c r="Z1043" s="62"/>
      <c r="AA1043" s="62"/>
      <c r="AB1043" s="62"/>
      <c r="AC1043" s="62"/>
      <c r="AD1043" s="62"/>
      <c r="AE1043" s="62"/>
      <c r="AF1043" s="62"/>
      <c r="AG1043" s="62"/>
      <c r="AH1043" s="62"/>
      <c r="AI1043" s="62"/>
      <c r="AJ1043" s="62"/>
      <c r="AK1043" s="62"/>
      <c r="AL1043" s="62"/>
      <c r="AM1043" s="62"/>
      <c r="AN1043" s="62"/>
      <c r="AO1043" s="62"/>
      <c r="AP1043" s="62"/>
      <c r="AQ1043" s="62"/>
    </row>
    <row r="1044">
      <c r="A1044" s="62"/>
      <c r="B1044" s="63"/>
      <c r="C1044" s="62"/>
      <c r="D1044" s="62"/>
      <c r="E1044" s="62"/>
      <c r="F1044" s="62"/>
      <c r="G1044" s="62"/>
      <c r="H1044" s="62"/>
      <c r="I1044" s="62"/>
      <c r="J1044" s="62"/>
      <c r="K1044" s="62"/>
      <c r="L1044" s="62"/>
      <c r="M1044" s="62"/>
      <c r="N1044" s="62"/>
      <c r="O1044" s="62"/>
      <c r="P1044" s="62"/>
      <c r="Q1044" s="62"/>
      <c r="R1044" s="62"/>
      <c r="S1044" s="62"/>
      <c r="T1044" s="10">
        <f t="shared" si="1"/>
        <v>0</v>
      </c>
      <c r="U1044" s="62"/>
      <c r="V1044" s="62"/>
      <c r="W1044" s="62"/>
      <c r="X1044" s="62"/>
      <c r="Y1044" s="62"/>
      <c r="Z1044" s="62"/>
      <c r="AA1044" s="62"/>
      <c r="AB1044" s="62"/>
      <c r="AC1044" s="62"/>
      <c r="AD1044" s="62"/>
      <c r="AE1044" s="62"/>
      <c r="AF1044" s="62"/>
      <c r="AG1044" s="62"/>
      <c r="AH1044" s="62"/>
      <c r="AI1044" s="62"/>
      <c r="AJ1044" s="62"/>
      <c r="AK1044" s="62"/>
      <c r="AL1044" s="62"/>
      <c r="AM1044" s="62"/>
      <c r="AN1044" s="62"/>
      <c r="AO1044" s="62"/>
      <c r="AP1044" s="62"/>
      <c r="AQ1044" s="62"/>
    </row>
    <row r="1045">
      <c r="A1045" s="62"/>
      <c r="B1045" s="63"/>
      <c r="C1045" s="62"/>
      <c r="D1045" s="62"/>
      <c r="E1045" s="62"/>
      <c r="F1045" s="62"/>
      <c r="G1045" s="62"/>
      <c r="H1045" s="62"/>
      <c r="I1045" s="62"/>
      <c r="J1045" s="62"/>
      <c r="K1045" s="62"/>
      <c r="L1045" s="62"/>
      <c r="M1045" s="62"/>
      <c r="N1045" s="62"/>
      <c r="O1045" s="62"/>
      <c r="P1045" s="62"/>
      <c r="Q1045" s="62"/>
      <c r="R1045" s="62"/>
      <c r="S1045" s="62"/>
      <c r="T1045" s="10">
        <f t="shared" si="1"/>
        <v>0</v>
      </c>
      <c r="U1045" s="62"/>
      <c r="V1045" s="62"/>
      <c r="W1045" s="62"/>
      <c r="X1045" s="62"/>
      <c r="Y1045" s="62"/>
      <c r="Z1045" s="62"/>
      <c r="AA1045" s="62"/>
      <c r="AB1045" s="62"/>
      <c r="AC1045" s="62"/>
      <c r="AD1045" s="62"/>
      <c r="AE1045" s="62"/>
      <c r="AF1045" s="62"/>
      <c r="AG1045" s="62"/>
      <c r="AH1045" s="62"/>
      <c r="AI1045" s="62"/>
      <c r="AJ1045" s="62"/>
      <c r="AK1045" s="62"/>
      <c r="AL1045" s="62"/>
      <c r="AM1045" s="62"/>
      <c r="AN1045" s="62"/>
      <c r="AO1045" s="62"/>
      <c r="AP1045" s="62"/>
      <c r="AQ1045" s="62"/>
    </row>
    <row r="1046">
      <c r="A1046" s="62"/>
      <c r="B1046" s="63"/>
      <c r="C1046" s="62"/>
      <c r="D1046" s="62"/>
      <c r="E1046" s="62"/>
      <c r="F1046" s="62"/>
      <c r="G1046" s="62"/>
      <c r="H1046" s="62"/>
      <c r="I1046" s="62"/>
      <c r="J1046" s="62"/>
      <c r="K1046" s="62"/>
      <c r="L1046" s="62"/>
      <c r="M1046" s="62"/>
      <c r="N1046" s="62"/>
      <c r="O1046" s="62"/>
      <c r="P1046" s="62"/>
      <c r="Q1046" s="62"/>
      <c r="R1046" s="62"/>
      <c r="S1046" s="62"/>
      <c r="T1046" s="10">
        <f t="shared" si="1"/>
        <v>0</v>
      </c>
      <c r="U1046" s="62"/>
      <c r="V1046" s="62"/>
      <c r="W1046" s="62"/>
      <c r="X1046" s="62"/>
      <c r="Y1046" s="62"/>
      <c r="Z1046" s="62"/>
      <c r="AA1046" s="62"/>
      <c r="AB1046" s="62"/>
      <c r="AC1046" s="62"/>
      <c r="AD1046" s="62"/>
      <c r="AE1046" s="62"/>
      <c r="AF1046" s="62"/>
      <c r="AG1046" s="62"/>
      <c r="AH1046" s="62"/>
      <c r="AI1046" s="62"/>
      <c r="AJ1046" s="62"/>
      <c r="AK1046" s="62"/>
      <c r="AL1046" s="62"/>
      <c r="AM1046" s="62"/>
      <c r="AN1046" s="62"/>
      <c r="AO1046" s="62"/>
      <c r="AP1046" s="62"/>
      <c r="AQ1046" s="62"/>
    </row>
    <row r="1047">
      <c r="A1047" s="62"/>
      <c r="B1047" s="63"/>
      <c r="C1047" s="62"/>
      <c r="D1047" s="62"/>
      <c r="E1047" s="62"/>
      <c r="F1047" s="62"/>
      <c r="G1047" s="62"/>
      <c r="H1047" s="62"/>
      <c r="I1047" s="62"/>
      <c r="J1047" s="62"/>
      <c r="K1047" s="62"/>
      <c r="L1047" s="62"/>
      <c r="M1047" s="62"/>
      <c r="N1047" s="62"/>
      <c r="O1047" s="62"/>
      <c r="P1047" s="62"/>
      <c r="Q1047" s="62"/>
      <c r="R1047" s="62"/>
      <c r="S1047" s="62"/>
      <c r="T1047" s="10">
        <f t="shared" si="1"/>
        <v>0</v>
      </c>
      <c r="U1047" s="62"/>
      <c r="V1047" s="62"/>
      <c r="W1047" s="62"/>
      <c r="X1047" s="62"/>
      <c r="Y1047" s="62"/>
      <c r="Z1047" s="62"/>
      <c r="AA1047" s="62"/>
      <c r="AB1047" s="62"/>
      <c r="AC1047" s="62"/>
      <c r="AD1047" s="62"/>
      <c r="AE1047" s="62"/>
      <c r="AF1047" s="62"/>
      <c r="AG1047" s="62"/>
      <c r="AH1047" s="62"/>
      <c r="AI1047" s="62"/>
      <c r="AJ1047" s="62"/>
      <c r="AK1047" s="62"/>
      <c r="AL1047" s="62"/>
      <c r="AM1047" s="62"/>
      <c r="AN1047" s="62"/>
      <c r="AO1047" s="62"/>
      <c r="AP1047" s="62"/>
      <c r="AQ1047" s="62"/>
    </row>
    <row r="1048">
      <c r="A1048" s="62"/>
      <c r="B1048" s="63"/>
      <c r="C1048" s="62"/>
      <c r="D1048" s="62"/>
      <c r="E1048" s="62"/>
      <c r="F1048" s="62"/>
      <c r="G1048" s="62"/>
      <c r="H1048" s="62"/>
      <c r="I1048" s="62"/>
      <c r="J1048" s="62"/>
      <c r="K1048" s="62"/>
      <c r="L1048" s="62"/>
      <c r="M1048" s="62"/>
      <c r="N1048" s="62"/>
      <c r="O1048" s="62"/>
      <c r="P1048" s="62"/>
      <c r="Q1048" s="62"/>
      <c r="R1048" s="62"/>
      <c r="S1048" s="62"/>
      <c r="T1048" s="10">
        <f t="shared" si="1"/>
        <v>0</v>
      </c>
      <c r="U1048" s="62"/>
      <c r="V1048" s="62"/>
      <c r="W1048" s="62"/>
      <c r="X1048" s="62"/>
      <c r="Y1048" s="62"/>
      <c r="Z1048" s="62"/>
      <c r="AA1048" s="62"/>
      <c r="AB1048" s="62"/>
      <c r="AC1048" s="62"/>
      <c r="AD1048" s="62"/>
      <c r="AE1048" s="62"/>
      <c r="AF1048" s="62"/>
      <c r="AG1048" s="62"/>
      <c r="AH1048" s="62"/>
      <c r="AI1048" s="62"/>
      <c r="AJ1048" s="62"/>
      <c r="AK1048" s="62"/>
      <c r="AL1048" s="62"/>
      <c r="AM1048" s="62"/>
      <c r="AN1048" s="62"/>
      <c r="AO1048" s="62"/>
      <c r="AP1048" s="62"/>
      <c r="AQ1048" s="62"/>
    </row>
    <row r="1049">
      <c r="A1049" s="62"/>
      <c r="B1049" s="63"/>
      <c r="C1049" s="62"/>
      <c r="D1049" s="62"/>
      <c r="E1049" s="62"/>
      <c r="F1049" s="62"/>
      <c r="G1049" s="62"/>
      <c r="H1049" s="62"/>
      <c r="I1049" s="62"/>
      <c r="J1049" s="62"/>
      <c r="K1049" s="62"/>
      <c r="L1049" s="62"/>
      <c r="M1049" s="62"/>
      <c r="N1049" s="62"/>
      <c r="O1049" s="62"/>
      <c r="P1049" s="62"/>
      <c r="Q1049" s="62"/>
      <c r="R1049" s="62"/>
      <c r="S1049" s="62"/>
      <c r="T1049" s="10">
        <f t="shared" si="1"/>
        <v>0</v>
      </c>
      <c r="U1049" s="62"/>
      <c r="V1049" s="62"/>
      <c r="W1049" s="62"/>
      <c r="X1049" s="62"/>
      <c r="Y1049" s="62"/>
      <c r="Z1049" s="62"/>
      <c r="AA1049" s="62"/>
      <c r="AB1049" s="62"/>
      <c r="AC1049" s="62"/>
      <c r="AD1049" s="62"/>
      <c r="AE1049" s="62"/>
      <c r="AF1049" s="62"/>
      <c r="AG1049" s="62"/>
      <c r="AH1049" s="62"/>
      <c r="AI1049" s="62"/>
      <c r="AJ1049" s="62"/>
      <c r="AK1049" s="62"/>
      <c r="AL1049" s="62"/>
      <c r="AM1049" s="62"/>
      <c r="AN1049" s="62"/>
      <c r="AO1049" s="62"/>
      <c r="AP1049" s="62"/>
      <c r="AQ1049" s="62"/>
    </row>
    <row r="1050">
      <c r="A1050" s="62"/>
      <c r="B1050" s="63"/>
      <c r="C1050" s="62"/>
      <c r="D1050" s="62"/>
      <c r="E1050" s="62"/>
      <c r="F1050" s="62"/>
      <c r="G1050" s="62"/>
      <c r="H1050" s="62"/>
      <c r="I1050" s="62"/>
      <c r="J1050" s="62"/>
      <c r="K1050" s="62"/>
      <c r="L1050" s="62"/>
      <c r="M1050" s="62"/>
      <c r="N1050" s="62"/>
      <c r="O1050" s="62"/>
      <c r="P1050" s="62"/>
      <c r="Q1050" s="62"/>
      <c r="R1050" s="62"/>
      <c r="S1050" s="62"/>
      <c r="T1050" s="10">
        <f t="shared" si="1"/>
        <v>0</v>
      </c>
      <c r="U1050" s="62"/>
      <c r="V1050" s="62"/>
      <c r="W1050" s="62"/>
      <c r="X1050" s="62"/>
      <c r="Y1050" s="62"/>
      <c r="Z1050" s="62"/>
      <c r="AA1050" s="62"/>
      <c r="AB1050" s="62"/>
      <c r="AC1050" s="62"/>
      <c r="AD1050" s="62"/>
      <c r="AE1050" s="62"/>
      <c r="AF1050" s="62"/>
      <c r="AG1050" s="62"/>
      <c r="AH1050" s="62"/>
      <c r="AI1050" s="62"/>
      <c r="AJ1050" s="62"/>
      <c r="AK1050" s="62"/>
      <c r="AL1050" s="62"/>
      <c r="AM1050" s="62"/>
      <c r="AN1050" s="62"/>
      <c r="AO1050" s="62"/>
      <c r="AP1050" s="62"/>
      <c r="AQ1050" s="62"/>
    </row>
    <row r="1051">
      <c r="A1051" s="62"/>
      <c r="B1051" s="63"/>
      <c r="C1051" s="62"/>
      <c r="D1051" s="62"/>
      <c r="E1051" s="62"/>
      <c r="F1051" s="62"/>
      <c r="G1051" s="62"/>
      <c r="H1051" s="62"/>
      <c r="I1051" s="62"/>
      <c r="J1051" s="62"/>
      <c r="K1051" s="62"/>
      <c r="L1051" s="62"/>
      <c r="M1051" s="62"/>
      <c r="N1051" s="62"/>
      <c r="O1051" s="62"/>
      <c r="P1051" s="62"/>
      <c r="Q1051" s="62"/>
      <c r="R1051" s="62"/>
      <c r="S1051" s="62"/>
      <c r="T1051" s="10">
        <f t="shared" si="1"/>
        <v>0</v>
      </c>
      <c r="U1051" s="62"/>
      <c r="V1051" s="62"/>
      <c r="W1051" s="62"/>
      <c r="X1051" s="62"/>
      <c r="Y1051" s="62"/>
      <c r="Z1051" s="62"/>
      <c r="AA1051" s="62"/>
      <c r="AB1051" s="62"/>
      <c r="AC1051" s="62"/>
      <c r="AD1051" s="62"/>
      <c r="AE1051" s="62"/>
      <c r="AF1051" s="62"/>
      <c r="AG1051" s="62"/>
      <c r="AH1051" s="62"/>
      <c r="AI1051" s="62"/>
      <c r="AJ1051" s="62"/>
      <c r="AK1051" s="62"/>
      <c r="AL1051" s="62"/>
      <c r="AM1051" s="62"/>
      <c r="AN1051" s="62"/>
      <c r="AO1051" s="62"/>
      <c r="AP1051" s="62"/>
      <c r="AQ1051" s="62"/>
    </row>
    <row r="1052">
      <c r="A1052" s="62"/>
      <c r="B1052" s="63"/>
      <c r="C1052" s="62"/>
      <c r="D1052" s="62"/>
      <c r="E1052" s="62"/>
      <c r="F1052" s="62"/>
      <c r="G1052" s="62"/>
      <c r="H1052" s="62"/>
      <c r="I1052" s="62"/>
      <c r="J1052" s="62"/>
      <c r="K1052" s="62"/>
      <c r="L1052" s="62"/>
      <c r="M1052" s="62"/>
      <c r="N1052" s="62"/>
      <c r="O1052" s="62"/>
      <c r="P1052" s="62"/>
      <c r="Q1052" s="62"/>
      <c r="R1052" s="62"/>
      <c r="S1052" s="62"/>
      <c r="T1052" s="10">
        <f t="shared" si="1"/>
        <v>0</v>
      </c>
      <c r="U1052" s="62"/>
      <c r="V1052" s="62"/>
      <c r="W1052" s="62"/>
      <c r="X1052" s="62"/>
      <c r="Y1052" s="62"/>
      <c r="Z1052" s="62"/>
      <c r="AA1052" s="62"/>
      <c r="AB1052" s="62"/>
      <c r="AC1052" s="62"/>
      <c r="AD1052" s="62"/>
      <c r="AE1052" s="62"/>
      <c r="AF1052" s="62"/>
      <c r="AG1052" s="62"/>
      <c r="AH1052" s="62"/>
      <c r="AI1052" s="62"/>
      <c r="AJ1052" s="62"/>
      <c r="AK1052" s="62"/>
      <c r="AL1052" s="62"/>
      <c r="AM1052" s="62"/>
      <c r="AN1052" s="62"/>
      <c r="AO1052" s="62"/>
      <c r="AP1052" s="62"/>
      <c r="AQ1052" s="62"/>
    </row>
    <row r="1053">
      <c r="A1053" s="62"/>
      <c r="B1053" s="63"/>
      <c r="C1053" s="62"/>
      <c r="D1053" s="62"/>
      <c r="E1053" s="62"/>
      <c r="F1053" s="62"/>
      <c r="G1053" s="62"/>
      <c r="H1053" s="62"/>
      <c r="I1053" s="62"/>
      <c r="J1053" s="62"/>
      <c r="K1053" s="62"/>
      <c r="L1053" s="62"/>
      <c r="M1053" s="62"/>
      <c r="N1053" s="62"/>
      <c r="O1053" s="62"/>
      <c r="P1053" s="62"/>
      <c r="Q1053" s="62"/>
      <c r="R1053" s="62"/>
      <c r="S1053" s="62"/>
      <c r="T1053" s="10">
        <f t="shared" si="1"/>
        <v>0</v>
      </c>
      <c r="U1053" s="62"/>
      <c r="V1053" s="62"/>
      <c r="W1053" s="62"/>
      <c r="X1053" s="62"/>
      <c r="Y1053" s="62"/>
      <c r="Z1053" s="62"/>
      <c r="AA1053" s="62"/>
      <c r="AB1053" s="62"/>
      <c r="AC1053" s="62"/>
      <c r="AD1053" s="62"/>
      <c r="AE1053" s="62"/>
      <c r="AF1053" s="62"/>
      <c r="AG1053" s="62"/>
      <c r="AH1053" s="62"/>
      <c r="AI1053" s="62"/>
      <c r="AJ1053" s="62"/>
      <c r="AK1053" s="62"/>
      <c r="AL1053" s="62"/>
      <c r="AM1053" s="62"/>
      <c r="AN1053" s="62"/>
      <c r="AO1053" s="62"/>
      <c r="AP1053" s="62"/>
      <c r="AQ1053" s="62"/>
    </row>
    <row r="1054">
      <c r="A1054" s="62"/>
      <c r="B1054" s="63"/>
      <c r="C1054" s="62"/>
      <c r="D1054" s="62"/>
      <c r="E1054" s="62"/>
      <c r="F1054" s="62"/>
      <c r="G1054" s="62"/>
      <c r="H1054" s="62"/>
      <c r="I1054" s="62"/>
      <c r="J1054" s="62"/>
      <c r="K1054" s="62"/>
      <c r="L1054" s="62"/>
      <c r="M1054" s="62"/>
      <c r="N1054" s="62"/>
      <c r="O1054" s="62"/>
      <c r="P1054" s="62"/>
      <c r="Q1054" s="62"/>
      <c r="R1054" s="62"/>
      <c r="S1054" s="62"/>
      <c r="T1054" s="10">
        <f t="shared" si="1"/>
        <v>0</v>
      </c>
      <c r="U1054" s="62"/>
      <c r="V1054" s="62"/>
      <c r="W1054" s="62"/>
      <c r="X1054" s="62"/>
      <c r="Y1054" s="62"/>
      <c r="Z1054" s="62"/>
      <c r="AA1054" s="62"/>
      <c r="AB1054" s="62"/>
      <c r="AC1054" s="62"/>
      <c r="AD1054" s="62"/>
      <c r="AE1054" s="62"/>
      <c r="AF1054" s="62"/>
      <c r="AG1054" s="62"/>
      <c r="AH1054" s="62"/>
      <c r="AI1054" s="62"/>
      <c r="AJ1054" s="62"/>
      <c r="AK1054" s="62"/>
      <c r="AL1054" s="62"/>
      <c r="AM1054" s="62"/>
      <c r="AN1054" s="62"/>
      <c r="AO1054" s="62"/>
      <c r="AP1054" s="62"/>
      <c r="AQ1054" s="62"/>
    </row>
    <row r="1055">
      <c r="A1055" s="62"/>
      <c r="B1055" s="63"/>
      <c r="C1055" s="62"/>
      <c r="D1055" s="62"/>
      <c r="E1055" s="62"/>
      <c r="F1055" s="62"/>
      <c r="G1055" s="62"/>
      <c r="H1055" s="62"/>
      <c r="I1055" s="62"/>
      <c r="J1055" s="62"/>
      <c r="K1055" s="62"/>
      <c r="L1055" s="62"/>
      <c r="M1055" s="62"/>
      <c r="N1055" s="62"/>
      <c r="O1055" s="62"/>
      <c r="P1055" s="62"/>
      <c r="Q1055" s="62"/>
      <c r="R1055" s="62"/>
      <c r="S1055" s="62"/>
      <c r="T1055" s="10">
        <f t="shared" si="1"/>
        <v>0</v>
      </c>
      <c r="U1055" s="62"/>
      <c r="V1055" s="62"/>
      <c r="W1055" s="62"/>
      <c r="X1055" s="62"/>
      <c r="Y1055" s="62"/>
      <c r="Z1055" s="62"/>
      <c r="AA1055" s="62"/>
      <c r="AB1055" s="62"/>
      <c r="AC1055" s="62"/>
      <c r="AD1055" s="62"/>
      <c r="AE1055" s="62"/>
      <c r="AF1055" s="62"/>
      <c r="AG1055" s="62"/>
      <c r="AH1055" s="62"/>
      <c r="AI1055" s="62"/>
      <c r="AJ1055" s="62"/>
      <c r="AK1055" s="62"/>
      <c r="AL1055" s="62"/>
      <c r="AM1055" s="62"/>
      <c r="AN1055" s="62"/>
      <c r="AO1055" s="62"/>
      <c r="AP1055" s="62"/>
      <c r="AQ1055" s="62"/>
    </row>
    <row r="1056">
      <c r="A1056" s="62"/>
      <c r="B1056" s="63"/>
      <c r="C1056" s="62"/>
      <c r="D1056" s="62"/>
      <c r="E1056" s="62"/>
      <c r="F1056" s="62"/>
      <c r="G1056" s="62"/>
      <c r="H1056" s="62"/>
      <c r="I1056" s="62"/>
      <c r="J1056" s="62"/>
      <c r="K1056" s="62"/>
      <c r="L1056" s="62"/>
      <c r="M1056" s="62"/>
      <c r="N1056" s="62"/>
      <c r="O1056" s="62"/>
      <c r="P1056" s="62"/>
      <c r="Q1056" s="62"/>
      <c r="R1056" s="62"/>
      <c r="S1056" s="62"/>
      <c r="T1056" s="10">
        <f t="shared" si="1"/>
        <v>0</v>
      </c>
      <c r="U1056" s="62"/>
      <c r="V1056" s="62"/>
      <c r="W1056" s="62"/>
      <c r="X1056" s="62"/>
      <c r="Y1056" s="62"/>
      <c r="Z1056" s="62"/>
      <c r="AA1056" s="62"/>
      <c r="AB1056" s="62"/>
      <c r="AC1056" s="62"/>
      <c r="AD1056" s="62"/>
      <c r="AE1056" s="62"/>
      <c r="AF1056" s="62"/>
      <c r="AG1056" s="62"/>
      <c r="AH1056" s="62"/>
      <c r="AI1056" s="62"/>
      <c r="AJ1056" s="62"/>
      <c r="AK1056" s="62"/>
      <c r="AL1056" s="62"/>
      <c r="AM1056" s="62"/>
      <c r="AN1056" s="62"/>
      <c r="AO1056" s="62"/>
      <c r="AP1056" s="62"/>
      <c r="AQ1056" s="62"/>
    </row>
    <row r="1057">
      <c r="A1057" s="62"/>
      <c r="B1057" s="63"/>
      <c r="C1057" s="62"/>
      <c r="D1057" s="62"/>
      <c r="E1057" s="62"/>
      <c r="F1057" s="62"/>
      <c r="G1057" s="62"/>
      <c r="H1057" s="62"/>
      <c r="I1057" s="62"/>
      <c r="J1057" s="62"/>
      <c r="K1057" s="62"/>
      <c r="L1057" s="62"/>
      <c r="M1057" s="62"/>
      <c r="N1057" s="62"/>
      <c r="O1057" s="62"/>
      <c r="P1057" s="62"/>
      <c r="Q1057" s="62"/>
      <c r="R1057" s="62"/>
      <c r="S1057" s="62"/>
      <c r="T1057" s="10">
        <f t="shared" si="1"/>
        <v>0</v>
      </c>
      <c r="U1057" s="62"/>
      <c r="V1057" s="62"/>
      <c r="W1057" s="62"/>
      <c r="X1057" s="62"/>
      <c r="Y1057" s="62"/>
      <c r="Z1057" s="62"/>
      <c r="AA1057" s="62"/>
      <c r="AB1057" s="62"/>
      <c r="AC1057" s="62"/>
      <c r="AD1057" s="62"/>
      <c r="AE1057" s="62"/>
      <c r="AF1057" s="62"/>
      <c r="AG1057" s="62"/>
      <c r="AH1057" s="62"/>
      <c r="AI1057" s="62"/>
      <c r="AJ1057" s="62"/>
      <c r="AK1057" s="62"/>
      <c r="AL1057" s="62"/>
      <c r="AM1057" s="62"/>
      <c r="AN1057" s="62"/>
      <c r="AO1057" s="62"/>
      <c r="AP1057" s="62"/>
      <c r="AQ1057" s="62"/>
    </row>
    <row r="1058">
      <c r="A1058" s="62"/>
      <c r="B1058" s="63"/>
      <c r="C1058" s="62"/>
      <c r="D1058" s="62"/>
      <c r="E1058" s="62"/>
      <c r="F1058" s="62"/>
      <c r="G1058" s="62"/>
      <c r="H1058" s="62"/>
      <c r="I1058" s="62"/>
      <c r="J1058" s="62"/>
      <c r="K1058" s="62"/>
      <c r="L1058" s="62"/>
      <c r="M1058" s="62"/>
      <c r="N1058" s="62"/>
      <c r="O1058" s="62"/>
      <c r="P1058" s="62"/>
      <c r="Q1058" s="62"/>
      <c r="R1058" s="62"/>
      <c r="S1058" s="62"/>
      <c r="T1058" s="10">
        <f t="shared" si="1"/>
        <v>0</v>
      </c>
      <c r="U1058" s="62"/>
      <c r="V1058" s="62"/>
      <c r="W1058" s="62"/>
      <c r="X1058" s="62"/>
      <c r="Y1058" s="62"/>
      <c r="Z1058" s="62"/>
      <c r="AA1058" s="62"/>
      <c r="AB1058" s="62"/>
      <c r="AC1058" s="62"/>
      <c r="AD1058" s="62"/>
      <c r="AE1058" s="62"/>
      <c r="AF1058" s="62"/>
      <c r="AG1058" s="62"/>
      <c r="AH1058" s="62"/>
      <c r="AI1058" s="62"/>
      <c r="AJ1058" s="62"/>
      <c r="AK1058" s="62"/>
      <c r="AL1058" s="62"/>
      <c r="AM1058" s="62"/>
      <c r="AN1058" s="62"/>
      <c r="AO1058" s="62"/>
      <c r="AP1058" s="62"/>
      <c r="AQ1058" s="62"/>
    </row>
    <row r="1059">
      <c r="A1059" s="62"/>
      <c r="B1059" s="63"/>
      <c r="C1059" s="62"/>
      <c r="D1059" s="62"/>
      <c r="E1059" s="62"/>
      <c r="F1059" s="62"/>
      <c r="G1059" s="62"/>
      <c r="H1059" s="62"/>
      <c r="I1059" s="62"/>
      <c r="J1059" s="62"/>
      <c r="K1059" s="62"/>
      <c r="L1059" s="62"/>
      <c r="M1059" s="62"/>
      <c r="N1059" s="62"/>
      <c r="O1059" s="62"/>
      <c r="P1059" s="62"/>
      <c r="Q1059" s="62"/>
      <c r="R1059" s="62"/>
      <c r="S1059" s="62"/>
      <c r="T1059" s="10">
        <f t="shared" si="1"/>
        <v>0</v>
      </c>
      <c r="U1059" s="62"/>
      <c r="V1059" s="62"/>
      <c r="W1059" s="62"/>
      <c r="X1059" s="62"/>
      <c r="Y1059" s="62"/>
      <c r="Z1059" s="62"/>
      <c r="AA1059" s="62"/>
      <c r="AB1059" s="62"/>
      <c r="AC1059" s="62"/>
      <c r="AD1059" s="62"/>
      <c r="AE1059" s="62"/>
      <c r="AF1059" s="62"/>
      <c r="AG1059" s="62"/>
      <c r="AH1059" s="62"/>
      <c r="AI1059" s="62"/>
      <c r="AJ1059" s="62"/>
      <c r="AK1059" s="62"/>
      <c r="AL1059" s="62"/>
      <c r="AM1059" s="62"/>
      <c r="AN1059" s="62"/>
      <c r="AO1059" s="62"/>
      <c r="AP1059" s="62"/>
      <c r="AQ1059" s="62"/>
    </row>
    <row r="1060">
      <c r="A1060" s="62"/>
      <c r="B1060" s="63"/>
      <c r="C1060" s="62"/>
      <c r="D1060" s="62"/>
      <c r="E1060" s="62"/>
      <c r="F1060" s="62"/>
      <c r="G1060" s="62"/>
      <c r="H1060" s="62"/>
      <c r="I1060" s="62"/>
      <c r="J1060" s="62"/>
      <c r="K1060" s="62"/>
      <c r="L1060" s="62"/>
      <c r="M1060" s="62"/>
      <c r="N1060" s="62"/>
      <c r="O1060" s="62"/>
      <c r="P1060" s="62"/>
      <c r="Q1060" s="62"/>
      <c r="R1060" s="62"/>
      <c r="S1060" s="62"/>
      <c r="T1060" s="10">
        <f t="shared" si="1"/>
        <v>0</v>
      </c>
      <c r="U1060" s="62"/>
      <c r="V1060" s="62"/>
      <c r="W1060" s="62"/>
      <c r="X1060" s="62"/>
      <c r="Y1060" s="62"/>
      <c r="Z1060" s="62"/>
      <c r="AA1060" s="62"/>
      <c r="AB1060" s="62"/>
      <c r="AC1060" s="62"/>
      <c r="AD1060" s="62"/>
      <c r="AE1060" s="62"/>
      <c r="AF1060" s="62"/>
      <c r="AG1060" s="62"/>
      <c r="AH1060" s="62"/>
      <c r="AI1060" s="62"/>
      <c r="AJ1060" s="62"/>
      <c r="AK1060" s="62"/>
      <c r="AL1060" s="62"/>
      <c r="AM1060" s="62"/>
      <c r="AN1060" s="62"/>
      <c r="AO1060" s="62"/>
      <c r="AP1060" s="62"/>
      <c r="AQ1060" s="62"/>
    </row>
    <row r="1061">
      <c r="A1061" s="62"/>
      <c r="B1061" s="63"/>
      <c r="C1061" s="62"/>
      <c r="D1061" s="62"/>
      <c r="E1061" s="62"/>
      <c r="F1061" s="62"/>
      <c r="G1061" s="62"/>
      <c r="H1061" s="62"/>
      <c r="I1061" s="62"/>
      <c r="J1061" s="62"/>
      <c r="K1061" s="62"/>
      <c r="L1061" s="62"/>
      <c r="M1061" s="62"/>
      <c r="N1061" s="62"/>
      <c r="O1061" s="62"/>
      <c r="P1061" s="62"/>
      <c r="Q1061" s="62"/>
      <c r="R1061" s="62"/>
      <c r="S1061" s="62"/>
      <c r="T1061" s="10">
        <f t="shared" si="1"/>
        <v>0</v>
      </c>
      <c r="U1061" s="62"/>
      <c r="V1061" s="62"/>
      <c r="W1061" s="62"/>
      <c r="X1061" s="62"/>
      <c r="Y1061" s="62"/>
      <c r="Z1061" s="62"/>
      <c r="AA1061" s="62"/>
      <c r="AB1061" s="62"/>
      <c r="AC1061" s="62"/>
      <c r="AD1061" s="62"/>
      <c r="AE1061" s="62"/>
      <c r="AF1061" s="62"/>
      <c r="AG1061" s="62"/>
      <c r="AH1061" s="62"/>
      <c r="AI1061" s="62"/>
      <c r="AJ1061" s="62"/>
      <c r="AK1061" s="62"/>
      <c r="AL1061" s="62"/>
      <c r="AM1061" s="62"/>
      <c r="AN1061" s="62"/>
      <c r="AO1061" s="62"/>
      <c r="AP1061" s="62"/>
      <c r="AQ1061" s="62"/>
    </row>
    <row r="1062">
      <c r="A1062" s="62"/>
      <c r="B1062" s="63"/>
      <c r="C1062" s="62"/>
      <c r="D1062" s="62"/>
      <c r="E1062" s="62"/>
      <c r="F1062" s="62"/>
      <c r="G1062" s="62"/>
      <c r="H1062" s="62"/>
      <c r="I1062" s="62"/>
      <c r="J1062" s="62"/>
      <c r="K1062" s="62"/>
      <c r="L1062" s="62"/>
      <c r="M1062" s="62"/>
      <c r="N1062" s="62"/>
      <c r="O1062" s="62"/>
      <c r="P1062" s="62"/>
      <c r="Q1062" s="62"/>
      <c r="R1062" s="62"/>
      <c r="S1062" s="62"/>
      <c r="T1062" s="10">
        <f t="shared" si="1"/>
        <v>0</v>
      </c>
      <c r="U1062" s="62"/>
      <c r="V1062" s="62"/>
      <c r="W1062" s="62"/>
      <c r="X1062" s="62"/>
      <c r="Y1062" s="62"/>
      <c r="Z1062" s="62"/>
      <c r="AA1062" s="62"/>
      <c r="AB1062" s="62"/>
      <c r="AC1062" s="62"/>
      <c r="AD1062" s="62"/>
      <c r="AE1062" s="62"/>
      <c r="AF1062" s="62"/>
      <c r="AG1062" s="62"/>
      <c r="AH1062" s="62"/>
      <c r="AI1062" s="62"/>
      <c r="AJ1062" s="62"/>
      <c r="AK1062" s="62"/>
      <c r="AL1062" s="62"/>
      <c r="AM1062" s="62"/>
      <c r="AN1062" s="62"/>
      <c r="AO1062" s="62"/>
      <c r="AP1062" s="62"/>
      <c r="AQ1062" s="62"/>
    </row>
    <row r="1063">
      <c r="A1063" s="62"/>
      <c r="B1063" s="63"/>
      <c r="C1063" s="62"/>
      <c r="D1063" s="62"/>
      <c r="E1063" s="62"/>
      <c r="F1063" s="62"/>
      <c r="G1063" s="62"/>
      <c r="H1063" s="62"/>
      <c r="I1063" s="62"/>
      <c r="J1063" s="62"/>
      <c r="K1063" s="62"/>
      <c r="L1063" s="62"/>
      <c r="M1063" s="62"/>
      <c r="N1063" s="62"/>
      <c r="O1063" s="62"/>
      <c r="P1063" s="62"/>
      <c r="Q1063" s="62"/>
      <c r="R1063" s="62"/>
      <c r="S1063" s="62"/>
      <c r="T1063" s="10">
        <f t="shared" si="1"/>
        <v>0</v>
      </c>
      <c r="U1063" s="62"/>
      <c r="V1063" s="62"/>
      <c r="W1063" s="62"/>
      <c r="X1063" s="62"/>
      <c r="Y1063" s="62"/>
      <c r="Z1063" s="62"/>
      <c r="AA1063" s="62"/>
      <c r="AB1063" s="62"/>
      <c r="AC1063" s="62"/>
      <c r="AD1063" s="62"/>
      <c r="AE1063" s="62"/>
      <c r="AF1063" s="62"/>
      <c r="AG1063" s="62"/>
      <c r="AH1063" s="62"/>
      <c r="AI1063" s="62"/>
      <c r="AJ1063" s="62"/>
      <c r="AK1063" s="62"/>
      <c r="AL1063" s="62"/>
      <c r="AM1063" s="62"/>
      <c r="AN1063" s="62"/>
      <c r="AO1063" s="62"/>
      <c r="AP1063" s="62"/>
      <c r="AQ1063" s="62"/>
    </row>
    <row r="1064">
      <c r="A1064" s="62"/>
      <c r="B1064" s="63"/>
      <c r="C1064" s="62"/>
      <c r="D1064" s="62"/>
      <c r="E1064" s="62"/>
      <c r="F1064" s="62"/>
      <c r="G1064" s="62"/>
      <c r="H1064" s="62"/>
      <c r="I1064" s="62"/>
      <c r="J1064" s="62"/>
      <c r="K1064" s="62"/>
      <c r="L1064" s="62"/>
      <c r="M1064" s="62"/>
      <c r="N1064" s="62"/>
      <c r="O1064" s="62"/>
      <c r="P1064" s="62"/>
      <c r="Q1064" s="62"/>
      <c r="R1064" s="62"/>
      <c r="S1064" s="62"/>
      <c r="T1064" s="10">
        <f t="shared" si="1"/>
        <v>0</v>
      </c>
      <c r="U1064" s="62"/>
      <c r="V1064" s="62"/>
      <c r="W1064" s="62"/>
      <c r="X1064" s="62"/>
      <c r="Y1064" s="62"/>
      <c r="Z1064" s="62"/>
      <c r="AA1064" s="62"/>
      <c r="AB1064" s="62"/>
      <c r="AC1064" s="62"/>
      <c r="AD1064" s="62"/>
      <c r="AE1064" s="62"/>
      <c r="AF1064" s="62"/>
      <c r="AG1064" s="62"/>
      <c r="AH1064" s="62"/>
      <c r="AI1064" s="62"/>
      <c r="AJ1064" s="62"/>
      <c r="AK1064" s="62"/>
      <c r="AL1064" s="62"/>
      <c r="AM1064" s="62"/>
      <c r="AN1064" s="62"/>
      <c r="AO1064" s="62"/>
      <c r="AP1064" s="62"/>
      <c r="AQ1064" s="62"/>
    </row>
    <row r="1065">
      <c r="A1065" s="62"/>
      <c r="B1065" s="63"/>
      <c r="C1065" s="62"/>
      <c r="D1065" s="62"/>
      <c r="E1065" s="62"/>
      <c r="F1065" s="62"/>
      <c r="G1065" s="62"/>
      <c r="H1065" s="62"/>
      <c r="I1065" s="62"/>
      <c r="J1065" s="62"/>
      <c r="K1065" s="62"/>
      <c r="L1065" s="62"/>
      <c r="M1065" s="62"/>
      <c r="N1065" s="62"/>
      <c r="O1065" s="62"/>
      <c r="P1065" s="62"/>
      <c r="Q1065" s="62"/>
      <c r="R1065" s="62"/>
      <c r="S1065" s="62"/>
      <c r="T1065" s="10">
        <f t="shared" si="1"/>
        <v>0</v>
      </c>
      <c r="U1065" s="62"/>
      <c r="V1065" s="62"/>
      <c r="W1065" s="62"/>
      <c r="X1065" s="62"/>
      <c r="Y1065" s="62"/>
      <c r="Z1065" s="62"/>
      <c r="AA1065" s="62"/>
      <c r="AB1065" s="62"/>
      <c r="AC1065" s="62"/>
      <c r="AD1065" s="62"/>
      <c r="AE1065" s="62"/>
      <c r="AF1065" s="62"/>
      <c r="AG1065" s="62"/>
      <c r="AH1065" s="62"/>
      <c r="AI1065" s="62"/>
      <c r="AJ1065" s="62"/>
      <c r="AK1065" s="62"/>
      <c r="AL1065" s="62"/>
      <c r="AM1065" s="62"/>
      <c r="AN1065" s="62"/>
      <c r="AO1065" s="62"/>
      <c r="AP1065" s="62"/>
      <c r="AQ1065" s="62"/>
    </row>
    <row r="1066">
      <c r="A1066" s="62"/>
      <c r="B1066" s="63"/>
      <c r="C1066" s="62"/>
      <c r="D1066" s="62"/>
      <c r="E1066" s="62"/>
      <c r="F1066" s="62"/>
      <c r="G1066" s="62"/>
      <c r="H1066" s="62"/>
      <c r="I1066" s="62"/>
      <c r="J1066" s="62"/>
      <c r="K1066" s="62"/>
      <c r="L1066" s="62"/>
      <c r="M1066" s="62"/>
      <c r="N1066" s="62"/>
      <c r="O1066" s="62"/>
      <c r="P1066" s="62"/>
      <c r="Q1066" s="62"/>
      <c r="R1066" s="62"/>
      <c r="S1066" s="62"/>
      <c r="T1066" s="10">
        <f t="shared" si="1"/>
        <v>0</v>
      </c>
      <c r="U1066" s="62"/>
      <c r="V1066" s="62"/>
      <c r="W1066" s="62"/>
      <c r="X1066" s="62"/>
      <c r="Y1066" s="62"/>
      <c r="Z1066" s="62"/>
      <c r="AA1066" s="62"/>
      <c r="AB1066" s="62"/>
      <c r="AC1066" s="62"/>
      <c r="AD1066" s="62"/>
      <c r="AE1066" s="62"/>
      <c r="AF1066" s="62"/>
      <c r="AG1066" s="62"/>
      <c r="AH1066" s="62"/>
      <c r="AI1066" s="62"/>
      <c r="AJ1066" s="62"/>
      <c r="AK1066" s="62"/>
      <c r="AL1066" s="62"/>
      <c r="AM1066" s="62"/>
      <c r="AN1066" s="62"/>
      <c r="AO1066" s="62"/>
      <c r="AP1066" s="62"/>
      <c r="AQ1066" s="62"/>
    </row>
    <row r="1067">
      <c r="A1067" s="62"/>
      <c r="B1067" s="63"/>
      <c r="C1067" s="62"/>
      <c r="D1067" s="62"/>
      <c r="E1067" s="62"/>
      <c r="F1067" s="62"/>
      <c r="G1067" s="62"/>
      <c r="H1067" s="62"/>
      <c r="I1067" s="62"/>
      <c r="J1067" s="62"/>
      <c r="K1067" s="62"/>
      <c r="L1067" s="62"/>
      <c r="M1067" s="62"/>
      <c r="N1067" s="62"/>
      <c r="O1067" s="62"/>
      <c r="P1067" s="62"/>
      <c r="Q1067" s="62"/>
      <c r="R1067" s="62"/>
      <c r="S1067" s="62"/>
      <c r="T1067" s="10">
        <f t="shared" si="1"/>
        <v>0</v>
      </c>
      <c r="U1067" s="62"/>
      <c r="V1067" s="62"/>
      <c r="W1067" s="62"/>
      <c r="X1067" s="62"/>
      <c r="Y1067" s="62"/>
      <c r="Z1067" s="62"/>
      <c r="AA1067" s="62"/>
      <c r="AB1067" s="62"/>
      <c r="AC1067" s="62"/>
      <c r="AD1067" s="62"/>
      <c r="AE1067" s="62"/>
      <c r="AF1067" s="62"/>
      <c r="AG1067" s="62"/>
      <c r="AH1067" s="62"/>
      <c r="AI1067" s="62"/>
      <c r="AJ1067" s="62"/>
      <c r="AK1067" s="62"/>
      <c r="AL1067" s="62"/>
      <c r="AM1067" s="62"/>
      <c r="AN1067" s="62"/>
      <c r="AO1067" s="62"/>
      <c r="AP1067" s="62"/>
      <c r="AQ1067" s="62"/>
    </row>
    <row r="1068">
      <c r="A1068" s="62"/>
      <c r="B1068" s="63"/>
      <c r="C1068" s="62"/>
      <c r="D1068" s="62"/>
      <c r="E1068" s="62"/>
      <c r="F1068" s="62"/>
      <c r="G1068" s="62"/>
      <c r="H1068" s="62"/>
      <c r="I1068" s="62"/>
      <c r="J1068" s="62"/>
      <c r="K1068" s="62"/>
      <c r="L1068" s="62"/>
      <c r="M1068" s="62"/>
      <c r="N1068" s="62"/>
      <c r="O1068" s="62"/>
      <c r="P1068" s="62"/>
      <c r="Q1068" s="62"/>
      <c r="R1068" s="62"/>
      <c r="S1068" s="62"/>
      <c r="T1068" s="10">
        <f t="shared" si="1"/>
        <v>0</v>
      </c>
      <c r="U1068" s="62"/>
      <c r="V1068" s="62"/>
      <c r="W1068" s="62"/>
      <c r="X1068" s="62"/>
      <c r="Y1068" s="62"/>
      <c r="Z1068" s="62"/>
      <c r="AA1068" s="62"/>
      <c r="AB1068" s="62"/>
      <c r="AC1068" s="62"/>
      <c r="AD1068" s="62"/>
      <c r="AE1068" s="62"/>
      <c r="AF1068" s="62"/>
      <c r="AG1068" s="62"/>
      <c r="AH1068" s="62"/>
      <c r="AI1068" s="62"/>
      <c r="AJ1068" s="62"/>
      <c r="AK1068" s="62"/>
      <c r="AL1068" s="62"/>
      <c r="AM1068" s="62"/>
      <c r="AN1068" s="62"/>
      <c r="AO1068" s="62"/>
      <c r="AP1068" s="62"/>
      <c r="AQ1068" s="62"/>
    </row>
    <row r="1069">
      <c r="A1069" s="62"/>
      <c r="B1069" s="63"/>
      <c r="C1069" s="62"/>
      <c r="D1069" s="62"/>
      <c r="E1069" s="62"/>
      <c r="F1069" s="62"/>
      <c r="G1069" s="62"/>
      <c r="H1069" s="62"/>
      <c r="I1069" s="62"/>
      <c r="J1069" s="62"/>
      <c r="K1069" s="62"/>
      <c r="L1069" s="62"/>
      <c r="M1069" s="62"/>
      <c r="N1069" s="62"/>
      <c r="O1069" s="62"/>
      <c r="P1069" s="62"/>
      <c r="Q1069" s="62"/>
      <c r="R1069" s="62"/>
      <c r="S1069" s="62"/>
      <c r="T1069" s="10">
        <f t="shared" si="1"/>
        <v>0</v>
      </c>
      <c r="U1069" s="62"/>
      <c r="V1069" s="62"/>
      <c r="W1069" s="62"/>
      <c r="X1069" s="62"/>
      <c r="Y1069" s="62"/>
      <c r="Z1069" s="62"/>
      <c r="AA1069" s="62"/>
      <c r="AB1069" s="62"/>
      <c r="AC1069" s="62"/>
      <c r="AD1069" s="62"/>
      <c r="AE1069" s="62"/>
      <c r="AF1069" s="62"/>
      <c r="AG1069" s="62"/>
      <c r="AH1069" s="62"/>
      <c r="AI1069" s="62"/>
      <c r="AJ1069" s="62"/>
      <c r="AK1069" s="62"/>
      <c r="AL1069" s="62"/>
      <c r="AM1069" s="62"/>
      <c r="AN1069" s="62"/>
      <c r="AO1069" s="62"/>
      <c r="AP1069" s="62"/>
      <c r="AQ1069" s="62"/>
    </row>
    <row r="1070">
      <c r="A1070" s="62"/>
      <c r="B1070" s="63"/>
      <c r="C1070" s="62"/>
      <c r="D1070" s="62"/>
      <c r="E1070" s="62"/>
      <c r="F1070" s="62"/>
      <c r="G1070" s="62"/>
      <c r="H1070" s="62"/>
      <c r="I1070" s="62"/>
      <c r="J1070" s="62"/>
      <c r="K1070" s="62"/>
      <c r="L1070" s="62"/>
      <c r="M1070" s="62"/>
      <c r="N1070" s="62"/>
      <c r="O1070" s="62"/>
      <c r="P1070" s="62"/>
      <c r="Q1070" s="62"/>
      <c r="R1070" s="62"/>
      <c r="S1070" s="62"/>
      <c r="T1070" s="10">
        <f t="shared" si="1"/>
        <v>0</v>
      </c>
      <c r="U1070" s="62"/>
      <c r="V1070" s="62"/>
      <c r="W1070" s="62"/>
      <c r="X1070" s="62"/>
      <c r="Y1070" s="62"/>
      <c r="Z1070" s="62"/>
      <c r="AA1070" s="62"/>
      <c r="AB1070" s="62"/>
      <c r="AC1070" s="62"/>
      <c r="AD1070" s="62"/>
      <c r="AE1070" s="62"/>
      <c r="AF1070" s="62"/>
      <c r="AG1070" s="62"/>
      <c r="AH1070" s="62"/>
      <c r="AI1070" s="62"/>
      <c r="AJ1070" s="62"/>
      <c r="AK1070" s="62"/>
      <c r="AL1070" s="62"/>
      <c r="AM1070" s="62"/>
      <c r="AN1070" s="62"/>
      <c r="AO1070" s="62"/>
      <c r="AP1070" s="62"/>
      <c r="AQ1070" s="62"/>
    </row>
    <row r="1071">
      <c r="A1071" s="62"/>
      <c r="B1071" s="63"/>
      <c r="C1071" s="62"/>
      <c r="D1071" s="62"/>
      <c r="E1071" s="62"/>
      <c r="F1071" s="62"/>
      <c r="G1071" s="62"/>
      <c r="H1071" s="62"/>
      <c r="I1071" s="62"/>
      <c r="J1071" s="62"/>
      <c r="K1071" s="62"/>
      <c r="L1071" s="62"/>
      <c r="M1071" s="62"/>
      <c r="N1071" s="62"/>
      <c r="O1071" s="62"/>
      <c r="P1071" s="62"/>
      <c r="Q1071" s="62"/>
      <c r="R1071" s="62"/>
      <c r="S1071" s="62"/>
      <c r="T1071" s="10">
        <f t="shared" si="1"/>
        <v>0</v>
      </c>
      <c r="U1071" s="62"/>
      <c r="V1071" s="62"/>
      <c r="W1071" s="62"/>
      <c r="X1071" s="62"/>
      <c r="Y1071" s="62"/>
      <c r="Z1071" s="62"/>
      <c r="AA1071" s="62"/>
      <c r="AB1071" s="62"/>
      <c r="AC1071" s="62"/>
      <c r="AD1071" s="62"/>
      <c r="AE1071" s="62"/>
      <c r="AF1071" s="62"/>
      <c r="AG1071" s="62"/>
      <c r="AH1071" s="62"/>
      <c r="AI1071" s="62"/>
      <c r="AJ1071" s="62"/>
      <c r="AK1071" s="62"/>
      <c r="AL1071" s="62"/>
      <c r="AM1071" s="62"/>
      <c r="AN1071" s="62"/>
      <c r="AO1071" s="62"/>
      <c r="AP1071" s="62"/>
      <c r="AQ1071" s="62"/>
    </row>
    <row r="1072">
      <c r="A1072" s="62"/>
      <c r="B1072" s="63"/>
      <c r="C1072" s="62"/>
      <c r="D1072" s="62"/>
      <c r="E1072" s="62"/>
      <c r="F1072" s="62"/>
      <c r="G1072" s="62"/>
      <c r="H1072" s="62"/>
      <c r="I1072" s="62"/>
      <c r="J1072" s="62"/>
      <c r="K1072" s="62"/>
      <c r="L1072" s="62"/>
      <c r="M1072" s="62"/>
      <c r="N1072" s="62"/>
      <c r="O1072" s="62"/>
      <c r="P1072" s="62"/>
      <c r="Q1072" s="62"/>
      <c r="R1072" s="62"/>
      <c r="S1072" s="62"/>
      <c r="T1072" s="10">
        <f t="shared" si="1"/>
        <v>0</v>
      </c>
      <c r="U1072" s="62"/>
      <c r="V1072" s="62"/>
      <c r="W1072" s="62"/>
      <c r="X1072" s="62"/>
      <c r="Y1072" s="62"/>
      <c r="Z1072" s="62"/>
      <c r="AA1072" s="62"/>
      <c r="AB1072" s="62"/>
      <c r="AC1072" s="62"/>
      <c r="AD1072" s="62"/>
      <c r="AE1072" s="62"/>
      <c r="AF1072" s="62"/>
      <c r="AG1072" s="62"/>
      <c r="AH1072" s="62"/>
      <c r="AI1072" s="62"/>
      <c r="AJ1072" s="62"/>
      <c r="AK1072" s="62"/>
      <c r="AL1072" s="62"/>
      <c r="AM1072" s="62"/>
      <c r="AN1072" s="62"/>
      <c r="AO1072" s="62"/>
      <c r="AP1072" s="62"/>
      <c r="AQ1072" s="62"/>
    </row>
    <row r="1073">
      <c r="A1073" s="62"/>
      <c r="B1073" s="63"/>
      <c r="C1073" s="62"/>
      <c r="D1073" s="62"/>
      <c r="E1073" s="62"/>
      <c r="F1073" s="62"/>
      <c r="G1073" s="62"/>
      <c r="H1073" s="62"/>
      <c r="I1073" s="62"/>
      <c r="J1073" s="62"/>
      <c r="K1073" s="62"/>
      <c r="L1073" s="62"/>
      <c r="M1073" s="62"/>
      <c r="N1073" s="62"/>
      <c r="O1073" s="62"/>
      <c r="P1073" s="62"/>
      <c r="Q1073" s="62"/>
      <c r="R1073" s="62"/>
      <c r="S1073" s="62"/>
      <c r="T1073" s="10">
        <f t="shared" si="1"/>
        <v>0</v>
      </c>
      <c r="U1073" s="62"/>
      <c r="V1073" s="62"/>
      <c r="W1073" s="62"/>
      <c r="X1073" s="62"/>
      <c r="Y1073" s="62"/>
      <c r="Z1073" s="62"/>
      <c r="AA1073" s="62"/>
      <c r="AB1073" s="62"/>
      <c r="AC1073" s="62"/>
      <c r="AD1073" s="62"/>
      <c r="AE1073" s="62"/>
      <c r="AF1073" s="62"/>
      <c r="AG1073" s="62"/>
      <c r="AH1073" s="62"/>
      <c r="AI1073" s="62"/>
      <c r="AJ1073" s="62"/>
      <c r="AK1073" s="62"/>
      <c r="AL1073" s="62"/>
      <c r="AM1073" s="62"/>
      <c r="AN1073" s="62"/>
      <c r="AO1073" s="62"/>
      <c r="AP1073" s="62"/>
      <c r="AQ1073" s="62"/>
    </row>
    <row r="1074">
      <c r="A1074" s="62"/>
      <c r="B1074" s="63"/>
      <c r="C1074" s="62"/>
      <c r="D1074" s="62"/>
      <c r="E1074" s="62"/>
      <c r="F1074" s="62"/>
      <c r="G1074" s="62"/>
      <c r="H1074" s="62"/>
      <c r="I1074" s="62"/>
      <c r="J1074" s="62"/>
      <c r="K1074" s="62"/>
      <c r="L1074" s="62"/>
      <c r="M1074" s="62"/>
      <c r="N1074" s="62"/>
      <c r="O1074" s="62"/>
      <c r="P1074" s="62"/>
      <c r="Q1074" s="62"/>
      <c r="R1074" s="62"/>
      <c r="S1074" s="62"/>
      <c r="T1074" s="10">
        <f t="shared" si="1"/>
        <v>0</v>
      </c>
      <c r="U1074" s="62"/>
      <c r="V1074" s="62"/>
      <c r="W1074" s="62"/>
      <c r="X1074" s="62"/>
      <c r="Y1074" s="62"/>
      <c r="Z1074" s="62"/>
      <c r="AA1074" s="62"/>
      <c r="AB1074" s="62"/>
      <c r="AC1074" s="62"/>
      <c r="AD1074" s="62"/>
      <c r="AE1074" s="62"/>
      <c r="AF1074" s="62"/>
      <c r="AG1074" s="62"/>
      <c r="AH1074" s="62"/>
      <c r="AI1074" s="62"/>
      <c r="AJ1074" s="62"/>
      <c r="AK1074" s="62"/>
      <c r="AL1074" s="62"/>
      <c r="AM1074" s="62"/>
      <c r="AN1074" s="62"/>
      <c r="AO1074" s="62"/>
      <c r="AP1074" s="62"/>
      <c r="AQ1074" s="62"/>
    </row>
    <row r="1075">
      <c r="A1075" s="62"/>
      <c r="B1075" s="63"/>
      <c r="C1075" s="62"/>
      <c r="D1075" s="62"/>
      <c r="E1075" s="62"/>
      <c r="F1075" s="62"/>
      <c r="G1075" s="62"/>
      <c r="H1075" s="62"/>
      <c r="I1075" s="62"/>
      <c r="J1075" s="62"/>
      <c r="K1075" s="62"/>
      <c r="L1075" s="62"/>
      <c r="M1075" s="62"/>
      <c r="N1075" s="62"/>
      <c r="O1075" s="62"/>
      <c r="P1075" s="62"/>
      <c r="Q1075" s="62"/>
      <c r="R1075" s="62"/>
      <c r="S1075" s="62"/>
      <c r="T1075" s="10">
        <f t="shared" si="1"/>
        <v>0</v>
      </c>
      <c r="U1075" s="62"/>
      <c r="V1075" s="62"/>
      <c r="W1075" s="62"/>
      <c r="X1075" s="62"/>
      <c r="Y1075" s="62"/>
      <c r="Z1075" s="62"/>
      <c r="AA1075" s="62"/>
      <c r="AB1075" s="62"/>
      <c r="AC1075" s="62"/>
      <c r="AD1075" s="62"/>
      <c r="AE1075" s="62"/>
      <c r="AF1075" s="62"/>
      <c r="AG1075" s="62"/>
      <c r="AH1075" s="62"/>
      <c r="AI1075" s="62"/>
      <c r="AJ1075" s="62"/>
      <c r="AK1075" s="62"/>
      <c r="AL1075" s="62"/>
      <c r="AM1075" s="62"/>
      <c r="AN1075" s="62"/>
      <c r="AO1075" s="62"/>
      <c r="AP1075" s="62"/>
      <c r="AQ1075" s="62"/>
    </row>
    <row r="1076">
      <c r="A1076" s="62"/>
      <c r="B1076" s="63"/>
      <c r="C1076" s="62"/>
      <c r="D1076" s="62"/>
      <c r="E1076" s="62"/>
      <c r="F1076" s="62"/>
      <c r="G1076" s="62"/>
      <c r="H1076" s="62"/>
      <c r="I1076" s="62"/>
      <c r="J1076" s="62"/>
      <c r="K1076" s="62"/>
      <c r="L1076" s="62"/>
      <c r="M1076" s="62"/>
      <c r="N1076" s="62"/>
      <c r="O1076" s="62"/>
      <c r="P1076" s="62"/>
      <c r="Q1076" s="62"/>
      <c r="R1076" s="62"/>
      <c r="S1076" s="62"/>
      <c r="T1076" s="10">
        <f t="shared" si="1"/>
        <v>0</v>
      </c>
      <c r="U1076" s="62"/>
      <c r="V1076" s="62"/>
      <c r="W1076" s="62"/>
      <c r="X1076" s="62"/>
      <c r="Y1076" s="62"/>
      <c r="Z1076" s="62"/>
      <c r="AA1076" s="62"/>
      <c r="AB1076" s="62"/>
      <c r="AC1076" s="62"/>
      <c r="AD1076" s="62"/>
      <c r="AE1076" s="62"/>
      <c r="AF1076" s="62"/>
      <c r="AG1076" s="62"/>
      <c r="AH1076" s="62"/>
      <c r="AI1076" s="62"/>
      <c r="AJ1076" s="62"/>
      <c r="AK1076" s="62"/>
      <c r="AL1076" s="62"/>
      <c r="AM1076" s="62"/>
      <c r="AN1076" s="62"/>
      <c r="AO1076" s="62"/>
      <c r="AP1076" s="62"/>
      <c r="AQ1076" s="62"/>
    </row>
    <row r="1077">
      <c r="A1077" s="62"/>
      <c r="B1077" s="63"/>
      <c r="C1077" s="62"/>
      <c r="D1077" s="62"/>
      <c r="E1077" s="62"/>
      <c r="F1077" s="62"/>
      <c r="G1077" s="62"/>
      <c r="H1077" s="62"/>
      <c r="I1077" s="62"/>
      <c r="J1077" s="62"/>
      <c r="K1077" s="62"/>
      <c r="L1077" s="62"/>
      <c r="M1077" s="62"/>
      <c r="N1077" s="62"/>
      <c r="O1077" s="62"/>
      <c r="P1077" s="62"/>
      <c r="Q1077" s="62"/>
      <c r="R1077" s="62"/>
      <c r="S1077" s="62"/>
      <c r="T1077" s="10">
        <f t="shared" si="1"/>
        <v>0</v>
      </c>
      <c r="U1077" s="62"/>
      <c r="V1077" s="62"/>
      <c r="W1077" s="62"/>
      <c r="X1077" s="62"/>
      <c r="Y1077" s="62"/>
      <c r="Z1077" s="62"/>
      <c r="AA1077" s="62"/>
      <c r="AB1077" s="62"/>
      <c r="AC1077" s="62"/>
      <c r="AD1077" s="62"/>
      <c r="AE1077" s="62"/>
      <c r="AF1077" s="62"/>
      <c r="AG1077" s="62"/>
      <c r="AH1077" s="62"/>
      <c r="AI1077" s="62"/>
      <c r="AJ1077" s="62"/>
      <c r="AK1077" s="62"/>
      <c r="AL1077" s="62"/>
      <c r="AM1077" s="62"/>
      <c r="AN1077" s="62"/>
      <c r="AO1077" s="62"/>
      <c r="AP1077" s="62"/>
      <c r="AQ1077" s="62"/>
    </row>
    <row r="1078">
      <c r="A1078" s="62"/>
      <c r="B1078" s="63"/>
      <c r="C1078" s="62"/>
      <c r="D1078" s="62"/>
      <c r="E1078" s="62"/>
      <c r="F1078" s="62"/>
      <c r="G1078" s="62"/>
      <c r="H1078" s="62"/>
      <c r="I1078" s="62"/>
      <c r="J1078" s="62"/>
      <c r="K1078" s="62"/>
      <c r="L1078" s="62"/>
      <c r="M1078" s="62"/>
      <c r="N1078" s="62"/>
      <c r="O1078" s="62"/>
      <c r="P1078" s="62"/>
      <c r="Q1078" s="62"/>
      <c r="R1078" s="62"/>
      <c r="S1078" s="62"/>
      <c r="T1078" s="10">
        <f t="shared" si="1"/>
        <v>0</v>
      </c>
      <c r="U1078" s="62"/>
      <c r="V1078" s="62"/>
      <c r="W1078" s="62"/>
      <c r="X1078" s="62"/>
      <c r="Y1078" s="62"/>
      <c r="Z1078" s="62"/>
      <c r="AA1078" s="62"/>
      <c r="AB1078" s="62"/>
      <c r="AC1078" s="62"/>
      <c r="AD1078" s="62"/>
      <c r="AE1078" s="62"/>
      <c r="AF1078" s="62"/>
      <c r="AG1078" s="62"/>
      <c r="AH1078" s="62"/>
      <c r="AI1078" s="62"/>
      <c r="AJ1078" s="62"/>
      <c r="AK1078" s="62"/>
      <c r="AL1078" s="62"/>
      <c r="AM1078" s="62"/>
      <c r="AN1078" s="62"/>
      <c r="AO1078" s="62"/>
      <c r="AP1078" s="62"/>
      <c r="AQ1078" s="62"/>
    </row>
    <row r="1079">
      <c r="A1079" s="62"/>
      <c r="B1079" s="63"/>
      <c r="C1079" s="62"/>
      <c r="D1079" s="62"/>
      <c r="E1079" s="62"/>
      <c r="F1079" s="62"/>
      <c r="G1079" s="62"/>
      <c r="H1079" s="62"/>
      <c r="I1079" s="62"/>
      <c r="J1079" s="62"/>
      <c r="K1079" s="62"/>
      <c r="L1079" s="62"/>
      <c r="M1079" s="62"/>
      <c r="N1079" s="62"/>
      <c r="O1079" s="62"/>
      <c r="P1079" s="62"/>
      <c r="Q1079" s="62"/>
      <c r="R1079" s="62"/>
      <c r="S1079" s="62"/>
      <c r="T1079" s="10">
        <f t="shared" si="1"/>
        <v>0</v>
      </c>
      <c r="U1079" s="62"/>
      <c r="V1079" s="62"/>
      <c r="W1079" s="62"/>
      <c r="X1079" s="62"/>
      <c r="Y1079" s="62"/>
      <c r="Z1079" s="62"/>
      <c r="AA1079" s="62"/>
      <c r="AB1079" s="62"/>
      <c r="AC1079" s="62"/>
      <c r="AD1079" s="62"/>
      <c r="AE1079" s="62"/>
      <c r="AF1079" s="62"/>
      <c r="AG1079" s="62"/>
      <c r="AH1079" s="62"/>
      <c r="AI1079" s="62"/>
      <c r="AJ1079" s="62"/>
      <c r="AK1079" s="62"/>
      <c r="AL1079" s="62"/>
      <c r="AM1079" s="62"/>
      <c r="AN1079" s="62"/>
      <c r="AO1079" s="62"/>
      <c r="AP1079" s="62"/>
      <c r="AQ1079" s="62"/>
    </row>
    <row r="1080">
      <c r="A1080" s="62"/>
      <c r="B1080" s="63"/>
      <c r="C1080" s="62"/>
      <c r="D1080" s="62"/>
      <c r="E1080" s="62"/>
      <c r="F1080" s="62"/>
      <c r="G1080" s="62"/>
      <c r="H1080" s="62"/>
      <c r="I1080" s="62"/>
      <c r="J1080" s="62"/>
      <c r="K1080" s="62"/>
      <c r="L1080" s="62"/>
      <c r="M1080" s="62"/>
      <c r="N1080" s="62"/>
      <c r="O1080" s="62"/>
      <c r="P1080" s="62"/>
      <c r="Q1080" s="62"/>
      <c r="R1080" s="62"/>
      <c r="S1080" s="62"/>
      <c r="T1080" s="10">
        <f t="shared" si="1"/>
        <v>0</v>
      </c>
      <c r="U1080" s="62"/>
      <c r="V1080" s="62"/>
      <c r="W1080" s="62"/>
      <c r="X1080" s="62"/>
      <c r="Y1080" s="62"/>
      <c r="Z1080" s="62"/>
      <c r="AA1080" s="62"/>
      <c r="AB1080" s="62"/>
      <c r="AC1080" s="62"/>
      <c r="AD1080" s="62"/>
      <c r="AE1080" s="62"/>
      <c r="AF1080" s="62"/>
      <c r="AG1080" s="62"/>
      <c r="AH1080" s="62"/>
      <c r="AI1080" s="62"/>
      <c r="AJ1080" s="62"/>
      <c r="AK1080" s="62"/>
      <c r="AL1080" s="62"/>
      <c r="AM1080" s="62"/>
      <c r="AN1080" s="62"/>
      <c r="AO1080" s="62"/>
      <c r="AP1080" s="62"/>
      <c r="AQ1080" s="62"/>
    </row>
    <row r="1081">
      <c r="A1081" s="62"/>
      <c r="B1081" s="63"/>
      <c r="C1081" s="62"/>
      <c r="D1081" s="62"/>
      <c r="E1081" s="62"/>
      <c r="F1081" s="62"/>
      <c r="G1081" s="62"/>
      <c r="H1081" s="62"/>
      <c r="I1081" s="62"/>
      <c r="J1081" s="62"/>
      <c r="K1081" s="62"/>
      <c r="L1081" s="62"/>
      <c r="M1081" s="62"/>
      <c r="N1081" s="62"/>
      <c r="O1081" s="62"/>
      <c r="P1081" s="62"/>
      <c r="Q1081" s="62"/>
      <c r="R1081" s="62"/>
      <c r="S1081" s="62"/>
      <c r="T1081" s="10">
        <f t="shared" si="1"/>
        <v>0</v>
      </c>
      <c r="U1081" s="62"/>
      <c r="V1081" s="62"/>
      <c r="W1081" s="62"/>
      <c r="X1081" s="62"/>
      <c r="Y1081" s="62"/>
      <c r="Z1081" s="62"/>
      <c r="AA1081" s="62"/>
      <c r="AB1081" s="62"/>
      <c r="AC1081" s="62"/>
      <c r="AD1081" s="62"/>
      <c r="AE1081" s="62"/>
      <c r="AF1081" s="62"/>
      <c r="AG1081" s="62"/>
      <c r="AH1081" s="62"/>
      <c r="AI1081" s="62"/>
      <c r="AJ1081" s="62"/>
      <c r="AK1081" s="62"/>
      <c r="AL1081" s="62"/>
      <c r="AM1081" s="62"/>
      <c r="AN1081" s="62"/>
      <c r="AO1081" s="62"/>
      <c r="AP1081" s="62"/>
      <c r="AQ1081" s="62"/>
    </row>
    <row r="1082">
      <c r="A1082" s="62"/>
      <c r="B1082" s="63"/>
      <c r="C1082" s="62"/>
      <c r="D1082" s="62"/>
      <c r="E1082" s="62"/>
      <c r="F1082" s="62"/>
      <c r="G1082" s="62"/>
      <c r="H1082" s="62"/>
      <c r="I1082" s="62"/>
      <c r="J1082" s="62"/>
      <c r="K1082" s="62"/>
      <c r="L1082" s="62"/>
      <c r="M1082" s="62"/>
      <c r="N1082" s="62"/>
      <c r="O1082" s="62"/>
      <c r="P1082" s="62"/>
      <c r="Q1082" s="62"/>
      <c r="R1082" s="62"/>
      <c r="S1082" s="62"/>
      <c r="T1082" s="10">
        <f t="shared" si="1"/>
        <v>0</v>
      </c>
      <c r="U1082" s="62"/>
      <c r="V1082" s="62"/>
      <c r="W1082" s="62"/>
      <c r="X1082" s="62"/>
      <c r="Y1082" s="62"/>
      <c r="Z1082" s="62"/>
      <c r="AA1082" s="62"/>
      <c r="AB1082" s="62"/>
      <c r="AC1082" s="62"/>
      <c r="AD1082" s="62"/>
      <c r="AE1082" s="62"/>
      <c r="AF1082" s="62"/>
      <c r="AG1082" s="62"/>
      <c r="AH1082" s="62"/>
      <c r="AI1082" s="62"/>
      <c r="AJ1082" s="62"/>
      <c r="AK1082" s="62"/>
      <c r="AL1082" s="62"/>
      <c r="AM1082" s="62"/>
      <c r="AN1082" s="62"/>
      <c r="AO1082" s="62"/>
      <c r="AP1082" s="62"/>
      <c r="AQ1082" s="62"/>
    </row>
    <row r="1083">
      <c r="A1083" s="62"/>
      <c r="B1083" s="63"/>
      <c r="C1083" s="62"/>
      <c r="D1083" s="62"/>
      <c r="E1083" s="62"/>
      <c r="F1083" s="62"/>
      <c r="G1083" s="62"/>
      <c r="H1083" s="62"/>
      <c r="I1083" s="62"/>
      <c r="J1083" s="62"/>
      <c r="K1083" s="62"/>
      <c r="L1083" s="62"/>
      <c r="M1083" s="62"/>
      <c r="N1083" s="62"/>
      <c r="O1083" s="62"/>
      <c r="P1083" s="62"/>
      <c r="Q1083" s="62"/>
      <c r="R1083" s="62"/>
      <c r="S1083" s="62"/>
      <c r="T1083" s="10">
        <f t="shared" si="1"/>
        <v>0</v>
      </c>
      <c r="U1083" s="62"/>
      <c r="V1083" s="62"/>
      <c r="W1083" s="62"/>
      <c r="X1083" s="62"/>
      <c r="Y1083" s="62"/>
      <c r="Z1083" s="62"/>
      <c r="AA1083" s="62"/>
      <c r="AB1083" s="62"/>
      <c r="AC1083" s="62"/>
      <c r="AD1083" s="62"/>
      <c r="AE1083" s="62"/>
      <c r="AF1083" s="62"/>
      <c r="AG1083" s="62"/>
      <c r="AH1083" s="62"/>
      <c r="AI1083" s="62"/>
      <c r="AJ1083" s="62"/>
      <c r="AK1083" s="62"/>
      <c r="AL1083" s="62"/>
      <c r="AM1083" s="62"/>
      <c r="AN1083" s="62"/>
      <c r="AO1083" s="62"/>
      <c r="AP1083" s="62"/>
      <c r="AQ1083" s="62"/>
    </row>
    <row r="1084">
      <c r="A1084" s="62"/>
      <c r="B1084" s="63"/>
      <c r="C1084" s="62"/>
      <c r="D1084" s="62"/>
      <c r="E1084" s="62"/>
      <c r="F1084" s="62"/>
      <c r="G1084" s="62"/>
      <c r="H1084" s="62"/>
      <c r="I1084" s="62"/>
      <c r="J1084" s="62"/>
      <c r="K1084" s="62"/>
      <c r="L1084" s="62"/>
      <c r="M1084" s="62"/>
      <c r="N1084" s="62"/>
      <c r="O1084" s="62"/>
      <c r="P1084" s="62"/>
      <c r="Q1084" s="62"/>
      <c r="R1084" s="62"/>
      <c r="S1084" s="62"/>
      <c r="T1084" s="10">
        <f t="shared" si="1"/>
        <v>0</v>
      </c>
      <c r="U1084" s="62"/>
      <c r="V1084" s="62"/>
      <c r="W1084" s="62"/>
      <c r="X1084" s="62"/>
      <c r="Y1084" s="62"/>
      <c r="Z1084" s="62"/>
      <c r="AA1084" s="62"/>
      <c r="AB1084" s="62"/>
      <c r="AC1084" s="62"/>
      <c r="AD1084" s="62"/>
      <c r="AE1084" s="62"/>
      <c r="AF1084" s="62"/>
      <c r="AG1084" s="62"/>
      <c r="AH1084" s="62"/>
      <c r="AI1084" s="62"/>
      <c r="AJ1084" s="62"/>
      <c r="AK1084" s="62"/>
      <c r="AL1084" s="62"/>
      <c r="AM1084" s="62"/>
      <c r="AN1084" s="62"/>
      <c r="AO1084" s="62"/>
      <c r="AP1084" s="62"/>
      <c r="AQ1084" s="62"/>
    </row>
    <row r="1085">
      <c r="A1085" s="62"/>
      <c r="B1085" s="63"/>
      <c r="C1085" s="62"/>
      <c r="D1085" s="62"/>
      <c r="E1085" s="62"/>
      <c r="F1085" s="62"/>
      <c r="G1085" s="62"/>
      <c r="H1085" s="62"/>
      <c r="I1085" s="62"/>
      <c r="J1085" s="62"/>
      <c r="K1085" s="62"/>
      <c r="L1085" s="62"/>
      <c r="M1085" s="62"/>
      <c r="N1085" s="62"/>
      <c r="O1085" s="62"/>
      <c r="P1085" s="62"/>
      <c r="Q1085" s="62"/>
      <c r="R1085" s="62"/>
      <c r="S1085" s="62"/>
      <c r="T1085" s="10">
        <f t="shared" si="1"/>
        <v>0</v>
      </c>
      <c r="U1085" s="62"/>
      <c r="V1085" s="62"/>
      <c r="W1085" s="62"/>
      <c r="X1085" s="62"/>
      <c r="Y1085" s="62"/>
      <c r="Z1085" s="62"/>
      <c r="AA1085" s="62"/>
      <c r="AB1085" s="62"/>
      <c r="AC1085" s="62"/>
      <c r="AD1085" s="62"/>
      <c r="AE1085" s="62"/>
      <c r="AF1085" s="62"/>
      <c r="AG1085" s="62"/>
      <c r="AH1085" s="62"/>
      <c r="AI1085" s="62"/>
      <c r="AJ1085" s="62"/>
      <c r="AK1085" s="62"/>
      <c r="AL1085" s="62"/>
      <c r="AM1085" s="62"/>
      <c r="AN1085" s="62"/>
      <c r="AO1085" s="62"/>
      <c r="AP1085" s="62"/>
      <c r="AQ1085" s="62"/>
    </row>
    <row r="1086">
      <c r="A1086" s="62"/>
      <c r="B1086" s="63"/>
      <c r="C1086" s="62"/>
      <c r="D1086" s="62"/>
      <c r="E1086" s="62"/>
      <c r="F1086" s="62"/>
      <c r="G1086" s="62"/>
      <c r="H1086" s="62"/>
      <c r="I1086" s="62"/>
      <c r="J1086" s="62"/>
      <c r="K1086" s="62"/>
      <c r="L1086" s="62"/>
      <c r="M1086" s="62"/>
      <c r="N1086" s="62"/>
      <c r="O1086" s="62"/>
      <c r="P1086" s="62"/>
      <c r="Q1086" s="62"/>
      <c r="R1086" s="62"/>
      <c r="S1086" s="62"/>
      <c r="T1086" s="10">
        <f t="shared" si="1"/>
        <v>0</v>
      </c>
      <c r="U1086" s="62"/>
      <c r="V1086" s="62"/>
      <c r="W1086" s="62"/>
      <c r="X1086" s="62"/>
      <c r="Y1086" s="62"/>
      <c r="Z1086" s="62"/>
      <c r="AA1086" s="62"/>
      <c r="AB1086" s="62"/>
      <c r="AC1086" s="62"/>
      <c r="AD1086" s="62"/>
      <c r="AE1086" s="62"/>
      <c r="AF1086" s="62"/>
      <c r="AG1086" s="62"/>
      <c r="AH1086" s="62"/>
      <c r="AI1086" s="62"/>
      <c r="AJ1086" s="62"/>
      <c r="AK1086" s="62"/>
      <c r="AL1086" s="62"/>
      <c r="AM1086" s="62"/>
      <c r="AN1086" s="62"/>
      <c r="AO1086" s="62"/>
      <c r="AP1086" s="62"/>
      <c r="AQ1086" s="62"/>
    </row>
    <row r="1087">
      <c r="A1087" s="62"/>
      <c r="B1087" s="63"/>
      <c r="C1087" s="62"/>
      <c r="D1087" s="62"/>
      <c r="E1087" s="62"/>
      <c r="F1087" s="62"/>
      <c r="G1087" s="62"/>
      <c r="H1087" s="62"/>
      <c r="I1087" s="62"/>
      <c r="J1087" s="62"/>
      <c r="K1087" s="62"/>
      <c r="L1087" s="62"/>
      <c r="M1087" s="62"/>
      <c r="N1087" s="62"/>
      <c r="O1087" s="62"/>
      <c r="P1087" s="62"/>
      <c r="Q1087" s="62"/>
      <c r="R1087" s="62"/>
      <c r="S1087" s="62"/>
      <c r="T1087" s="10">
        <f t="shared" si="1"/>
        <v>0</v>
      </c>
      <c r="U1087" s="62"/>
      <c r="V1087" s="62"/>
      <c r="W1087" s="62"/>
      <c r="X1087" s="62"/>
      <c r="Y1087" s="62"/>
      <c r="Z1087" s="62"/>
      <c r="AA1087" s="62"/>
      <c r="AB1087" s="62"/>
      <c r="AC1087" s="62"/>
      <c r="AD1087" s="62"/>
      <c r="AE1087" s="62"/>
      <c r="AF1087" s="62"/>
      <c r="AG1087" s="62"/>
      <c r="AH1087" s="62"/>
      <c r="AI1087" s="62"/>
      <c r="AJ1087" s="62"/>
      <c r="AK1087" s="62"/>
      <c r="AL1087" s="62"/>
      <c r="AM1087" s="62"/>
      <c r="AN1087" s="62"/>
      <c r="AO1087" s="62"/>
      <c r="AP1087" s="62"/>
      <c r="AQ1087" s="62"/>
    </row>
    <row r="1088">
      <c r="A1088" s="62"/>
      <c r="B1088" s="63"/>
      <c r="C1088" s="62"/>
      <c r="D1088" s="62"/>
      <c r="E1088" s="62"/>
      <c r="F1088" s="62"/>
      <c r="G1088" s="62"/>
      <c r="H1088" s="62"/>
      <c r="I1088" s="62"/>
      <c r="J1088" s="62"/>
      <c r="K1088" s="62"/>
      <c r="L1088" s="62"/>
      <c r="M1088" s="62"/>
      <c r="N1088" s="62"/>
      <c r="O1088" s="62"/>
      <c r="P1088" s="62"/>
      <c r="Q1088" s="62"/>
      <c r="R1088" s="62"/>
      <c r="S1088" s="62"/>
      <c r="T1088" s="10">
        <f t="shared" si="1"/>
        <v>0</v>
      </c>
      <c r="U1088" s="62"/>
      <c r="V1088" s="62"/>
      <c r="W1088" s="62"/>
      <c r="X1088" s="62"/>
      <c r="Y1088" s="62"/>
      <c r="Z1088" s="62"/>
      <c r="AA1088" s="62"/>
      <c r="AB1088" s="62"/>
      <c r="AC1088" s="62"/>
      <c r="AD1088" s="62"/>
      <c r="AE1088" s="62"/>
      <c r="AF1088" s="62"/>
      <c r="AG1088" s="62"/>
      <c r="AH1088" s="62"/>
      <c r="AI1088" s="62"/>
      <c r="AJ1088" s="62"/>
      <c r="AK1088" s="62"/>
      <c r="AL1088" s="62"/>
      <c r="AM1088" s="62"/>
      <c r="AN1088" s="62"/>
      <c r="AO1088" s="62"/>
      <c r="AP1088" s="62"/>
      <c r="AQ1088" s="62"/>
    </row>
    <row r="1089">
      <c r="A1089" s="62"/>
      <c r="B1089" s="63"/>
      <c r="C1089" s="62"/>
      <c r="D1089" s="62"/>
      <c r="E1089" s="62"/>
      <c r="F1089" s="62"/>
      <c r="G1089" s="62"/>
      <c r="H1089" s="62"/>
      <c r="I1089" s="62"/>
      <c r="J1089" s="62"/>
      <c r="K1089" s="62"/>
      <c r="L1089" s="62"/>
      <c r="M1089" s="62"/>
      <c r="N1089" s="62"/>
      <c r="O1089" s="62"/>
      <c r="P1089" s="62"/>
      <c r="Q1089" s="62"/>
      <c r="R1089" s="62"/>
      <c r="S1089" s="62"/>
      <c r="T1089" s="10">
        <f t="shared" si="1"/>
        <v>0</v>
      </c>
      <c r="U1089" s="62"/>
      <c r="V1089" s="62"/>
      <c r="W1089" s="62"/>
      <c r="X1089" s="62"/>
      <c r="Y1089" s="62"/>
      <c r="Z1089" s="62"/>
      <c r="AA1089" s="62"/>
      <c r="AB1089" s="62"/>
      <c r="AC1089" s="62"/>
      <c r="AD1089" s="62"/>
      <c r="AE1089" s="62"/>
      <c r="AF1089" s="62"/>
      <c r="AG1089" s="62"/>
      <c r="AH1089" s="62"/>
      <c r="AI1089" s="62"/>
      <c r="AJ1089" s="62"/>
      <c r="AK1089" s="62"/>
      <c r="AL1089" s="62"/>
      <c r="AM1089" s="62"/>
      <c r="AN1089" s="62"/>
      <c r="AO1089" s="62"/>
      <c r="AP1089" s="62"/>
      <c r="AQ1089" s="62"/>
    </row>
    <row r="1090">
      <c r="A1090" s="62"/>
      <c r="B1090" s="63"/>
      <c r="C1090" s="62"/>
      <c r="D1090" s="62"/>
      <c r="E1090" s="62"/>
      <c r="F1090" s="62"/>
      <c r="G1090" s="62"/>
      <c r="H1090" s="62"/>
      <c r="I1090" s="62"/>
      <c r="J1090" s="62"/>
      <c r="K1090" s="62"/>
      <c r="L1090" s="62"/>
      <c r="M1090" s="62"/>
      <c r="N1090" s="62"/>
      <c r="O1090" s="62"/>
      <c r="P1090" s="62"/>
      <c r="Q1090" s="62"/>
      <c r="R1090" s="62"/>
      <c r="S1090" s="62"/>
      <c r="T1090" s="10">
        <f t="shared" si="1"/>
        <v>0</v>
      </c>
      <c r="U1090" s="62"/>
      <c r="V1090" s="62"/>
      <c r="W1090" s="62"/>
      <c r="X1090" s="62"/>
      <c r="Y1090" s="62"/>
      <c r="Z1090" s="62"/>
      <c r="AA1090" s="62"/>
      <c r="AB1090" s="62"/>
      <c r="AC1090" s="62"/>
      <c r="AD1090" s="62"/>
      <c r="AE1090" s="62"/>
      <c r="AF1090" s="62"/>
      <c r="AG1090" s="62"/>
      <c r="AH1090" s="62"/>
      <c r="AI1090" s="62"/>
      <c r="AJ1090" s="62"/>
      <c r="AK1090" s="62"/>
      <c r="AL1090" s="62"/>
      <c r="AM1090" s="62"/>
      <c r="AN1090" s="62"/>
      <c r="AO1090" s="62"/>
      <c r="AP1090" s="62"/>
      <c r="AQ1090" s="62"/>
    </row>
    <row r="1091">
      <c r="A1091" s="62"/>
      <c r="B1091" s="63"/>
      <c r="C1091" s="62"/>
      <c r="D1091" s="62"/>
      <c r="E1091" s="62"/>
      <c r="F1091" s="62"/>
      <c r="G1091" s="62"/>
      <c r="H1091" s="62"/>
      <c r="I1091" s="62"/>
      <c r="J1091" s="62"/>
      <c r="K1091" s="62"/>
      <c r="L1091" s="62"/>
      <c r="M1091" s="62"/>
      <c r="N1091" s="62"/>
      <c r="O1091" s="62"/>
      <c r="P1091" s="62"/>
      <c r="Q1091" s="62"/>
      <c r="R1091" s="62"/>
      <c r="S1091" s="62"/>
      <c r="T1091" s="10">
        <f t="shared" si="1"/>
        <v>0</v>
      </c>
      <c r="U1091" s="62"/>
      <c r="V1091" s="62"/>
      <c r="W1091" s="62"/>
      <c r="X1091" s="62"/>
      <c r="Y1091" s="62"/>
      <c r="Z1091" s="62"/>
      <c r="AA1091" s="62"/>
      <c r="AB1091" s="62"/>
      <c r="AC1091" s="62"/>
      <c r="AD1091" s="62"/>
      <c r="AE1091" s="62"/>
      <c r="AF1091" s="62"/>
      <c r="AG1091" s="62"/>
      <c r="AH1091" s="62"/>
      <c r="AI1091" s="62"/>
      <c r="AJ1091" s="62"/>
      <c r="AK1091" s="62"/>
      <c r="AL1091" s="62"/>
      <c r="AM1091" s="62"/>
      <c r="AN1091" s="62"/>
      <c r="AO1091" s="62"/>
      <c r="AP1091" s="62"/>
      <c r="AQ1091" s="62"/>
    </row>
    <row r="1092">
      <c r="A1092" s="62"/>
      <c r="B1092" s="63"/>
      <c r="C1092" s="62"/>
      <c r="D1092" s="62"/>
      <c r="E1092" s="62"/>
      <c r="F1092" s="62"/>
      <c r="G1092" s="62"/>
      <c r="H1092" s="62"/>
      <c r="I1092" s="62"/>
      <c r="J1092" s="62"/>
      <c r="K1092" s="62"/>
      <c r="L1092" s="62"/>
      <c r="M1092" s="62"/>
      <c r="N1092" s="62"/>
      <c r="O1092" s="62"/>
      <c r="P1092" s="62"/>
      <c r="Q1092" s="62"/>
      <c r="R1092" s="62"/>
      <c r="S1092" s="62"/>
      <c r="T1092" s="10">
        <f t="shared" si="1"/>
        <v>0</v>
      </c>
      <c r="U1092" s="62"/>
      <c r="V1092" s="62"/>
      <c r="W1092" s="62"/>
      <c r="X1092" s="62"/>
      <c r="Y1092" s="62"/>
      <c r="Z1092" s="62"/>
      <c r="AA1092" s="62"/>
      <c r="AB1092" s="62"/>
      <c r="AC1092" s="62"/>
      <c r="AD1092" s="62"/>
      <c r="AE1092" s="62"/>
      <c r="AF1092" s="62"/>
      <c r="AG1092" s="62"/>
      <c r="AH1092" s="62"/>
      <c r="AI1092" s="62"/>
      <c r="AJ1092" s="62"/>
      <c r="AK1092" s="62"/>
      <c r="AL1092" s="62"/>
      <c r="AM1092" s="62"/>
      <c r="AN1092" s="62"/>
      <c r="AO1092" s="62"/>
      <c r="AP1092" s="62"/>
      <c r="AQ1092" s="62"/>
    </row>
    <row r="1093">
      <c r="A1093" s="62"/>
      <c r="B1093" s="63"/>
      <c r="C1093" s="62"/>
      <c r="D1093" s="62"/>
      <c r="E1093" s="62"/>
      <c r="F1093" s="62"/>
      <c r="G1093" s="62"/>
      <c r="H1093" s="62"/>
      <c r="I1093" s="62"/>
      <c r="J1093" s="62"/>
      <c r="K1093" s="62"/>
      <c r="L1093" s="62"/>
      <c r="M1093" s="62"/>
      <c r="N1093" s="62"/>
      <c r="O1093" s="62"/>
      <c r="P1093" s="62"/>
      <c r="Q1093" s="62"/>
      <c r="R1093" s="62"/>
      <c r="S1093" s="62"/>
      <c r="T1093" s="10">
        <f t="shared" si="1"/>
        <v>0</v>
      </c>
      <c r="U1093" s="62"/>
      <c r="V1093" s="62"/>
      <c r="W1093" s="62"/>
      <c r="X1093" s="62"/>
      <c r="Y1093" s="62"/>
      <c r="Z1093" s="62"/>
      <c r="AA1093" s="62"/>
      <c r="AB1093" s="62"/>
      <c r="AC1093" s="62"/>
      <c r="AD1093" s="62"/>
      <c r="AE1093" s="62"/>
      <c r="AF1093" s="62"/>
      <c r="AG1093" s="62"/>
      <c r="AH1093" s="62"/>
      <c r="AI1093" s="62"/>
      <c r="AJ1093" s="62"/>
      <c r="AK1093" s="62"/>
      <c r="AL1093" s="62"/>
      <c r="AM1093" s="62"/>
      <c r="AN1093" s="62"/>
      <c r="AO1093" s="62"/>
      <c r="AP1093" s="62"/>
      <c r="AQ1093" s="62"/>
    </row>
    <row r="1094">
      <c r="A1094" s="62"/>
      <c r="B1094" s="63"/>
      <c r="C1094" s="62"/>
      <c r="D1094" s="62"/>
      <c r="E1094" s="62"/>
      <c r="F1094" s="62"/>
      <c r="G1094" s="62"/>
      <c r="H1094" s="62"/>
      <c r="I1094" s="62"/>
      <c r="J1094" s="62"/>
      <c r="K1094" s="62"/>
      <c r="L1094" s="62"/>
      <c r="M1094" s="62"/>
      <c r="N1094" s="62"/>
      <c r="O1094" s="62"/>
      <c r="P1094" s="62"/>
      <c r="Q1094" s="62"/>
      <c r="R1094" s="62"/>
      <c r="S1094" s="62"/>
      <c r="T1094" s="10">
        <f t="shared" si="1"/>
        <v>0</v>
      </c>
      <c r="U1094" s="62"/>
      <c r="V1094" s="62"/>
      <c r="W1094" s="62"/>
      <c r="X1094" s="62"/>
      <c r="Y1094" s="62"/>
      <c r="Z1094" s="62"/>
      <c r="AA1094" s="62"/>
      <c r="AB1094" s="62"/>
      <c r="AC1094" s="62"/>
      <c r="AD1094" s="62"/>
      <c r="AE1094" s="62"/>
      <c r="AF1094" s="62"/>
      <c r="AG1094" s="62"/>
      <c r="AH1094" s="62"/>
      <c r="AI1094" s="62"/>
      <c r="AJ1094" s="62"/>
      <c r="AK1094" s="62"/>
      <c r="AL1094" s="62"/>
      <c r="AM1094" s="62"/>
      <c r="AN1094" s="62"/>
      <c r="AO1094" s="62"/>
      <c r="AP1094" s="62"/>
      <c r="AQ1094" s="62"/>
    </row>
    <row r="1095">
      <c r="A1095" s="62"/>
      <c r="B1095" s="63"/>
      <c r="C1095" s="62"/>
      <c r="D1095" s="62"/>
      <c r="E1095" s="62"/>
      <c r="F1095" s="62"/>
      <c r="G1095" s="62"/>
      <c r="H1095" s="62"/>
      <c r="I1095" s="62"/>
      <c r="J1095" s="62"/>
      <c r="K1095" s="62"/>
      <c r="L1095" s="62"/>
      <c r="M1095" s="62"/>
      <c r="N1095" s="62"/>
      <c r="O1095" s="62"/>
      <c r="P1095" s="62"/>
      <c r="Q1095" s="62"/>
      <c r="R1095" s="62"/>
      <c r="S1095" s="62"/>
      <c r="T1095" s="10">
        <f t="shared" si="1"/>
        <v>0</v>
      </c>
      <c r="U1095" s="62"/>
      <c r="V1095" s="62"/>
      <c r="W1095" s="62"/>
      <c r="X1095" s="62"/>
      <c r="Y1095" s="62"/>
      <c r="Z1095" s="62"/>
      <c r="AA1095" s="62"/>
      <c r="AB1095" s="62"/>
      <c r="AC1095" s="62"/>
      <c r="AD1095" s="62"/>
      <c r="AE1095" s="62"/>
      <c r="AF1095" s="62"/>
      <c r="AG1095" s="62"/>
      <c r="AH1095" s="62"/>
      <c r="AI1095" s="62"/>
      <c r="AJ1095" s="62"/>
      <c r="AK1095" s="62"/>
      <c r="AL1095" s="62"/>
      <c r="AM1095" s="62"/>
      <c r="AN1095" s="62"/>
      <c r="AO1095" s="62"/>
      <c r="AP1095" s="62"/>
      <c r="AQ1095" s="62"/>
    </row>
    <row r="1096">
      <c r="A1096" s="62"/>
      <c r="B1096" s="63"/>
      <c r="C1096" s="62"/>
      <c r="D1096" s="62"/>
      <c r="E1096" s="62"/>
      <c r="F1096" s="62"/>
      <c r="G1096" s="62"/>
      <c r="H1096" s="62"/>
      <c r="I1096" s="62"/>
      <c r="J1096" s="62"/>
      <c r="K1096" s="62"/>
      <c r="L1096" s="62"/>
      <c r="M1096" s="62"/>
      <c r="N1096" s="62"/>
      <c r="O1096" s="62"/>
      <c r="P1096" s="62"/>
      <c r="Q1096" s="62"/>
      <c r="R1096" s="62"/>
      <c r="S1096" s="62"/>
      <c r="T1096" s="10">
        <f t="shared" si="1"/>
        <v>0</v>
      </c>
      <c r="U1096" s="62"/>
      <c r="V1096" s="62"/>
      <c r="W1096" s="62"/>
      <c r="X1096" s="62"/>
      <c r="Y1096" s="62"/>
      <c r="Z1096" s="62"/>
      <c r="AA1096" s="62"/>
      <c r="AB1096" s="62"/>
      <c r="AC1096" s="62"/>
      <c r="AD1096" s="62"/>
      <c r="AE1096" s="62"/>
      <c r="AF1096" s="62"/>
      <c r="AG1096" s="62"/>
      <c r="AH1096" s="62"/>
      <c r="AI1096" s="62"/>
      <c r="AJ1096" s="62"/>
      <c r="AK1096" s="62"/>
      <c r="AL1096" s="62"/>
      <c r="AM1096" s="62"/>
      <c r="AN1096" s="62"/>
      <c r="AO1096" s="62"/>
      <c r="AP1096" s="62"/>
      <c r="AQ1096" s="62"/>
    </row>
    <row r="1097">
      <c r="A1097" s="62"/>
      <c r="B1097" s="63"/>
      <c r="C1097" s="62"/>
      <c r="D1097" s="62"/>
      <c r="E1097" s="62"/>
      <c r="F1097" s="62"/>
      <c r="G1097" s="62"/>
      <c r="H1097" s="62"/>
      <c r="I1097" s="62"/>
      <c r="J1097" s="62"/>
      <c r="K1097" s="62"/>
      <c r="L1097" s="62"/>
      <c r="M1097" s="62"/>
      <c r="N1097" s="62"/>
      <c r="O1097" s="62"/>
      <c r="P1097" s="62"/>
      <c r="Q1097" s="62"/>
      <c r="R1097" s="62"/>
      <c r="S1097" s="62"/>
      <c r="T1097" s="10">
        <f t="shared" si="1"/>
        <v>0</v>
      </c>
      <c r="U1097" s="62"/>
      <c r="V1097" s="62"/>
      <c r="W1097" s="62"/>
      <c r="X1097" s="62"/>
      <c r="Y1097" s="62"/>
      <c r="Z1097" s="62"/>
      <c r="AA1097" s="62"/>
      <c r="AB1097" s="62"/>
      <c r="AC1097" s="62"/>
      <c r="AD1097" s="62"/>
      <c r="AE1097" s="62"/>
      <c r="AF1097" s="62"/>
      <c r="AG1097" s="62"/>
      <c r="AH1097" s="62"/>
      <c r="AI1097" s="62"/>
      <c r="AJ1097" s="62"/>
      <c r="AK1097" s="62"/>
      <c r="AL1097" s="62"/>
      <c r="AM1097" s="62"/>
      <c r="AN1097" s="62"/>
      <c r="AO1097" s="62"/>
      <c r="AP1097" s="62"/>
      <c r="AQ1097" s="62"/>
    </row>
    <row r="1098">
      <c r="A1098" s="62"/>
      <c r="B1098" s="63"/>
      <c r="C1098" s="62"/>
      <c r="D1098" s="62"/>
      <c r="E1098" s="62"/>
      <c r="F1098" s="62"/>
      <c r="G1098" s="62"/>
      <c r="H1098" s="62"/>
      <c r="I1098" s="62"/>
      <c r="J1098" s="62"/>
      <c r="K1098" s="62"/>
      <c r="L1098" s="62"/>
      <c r="M1098" s="62"/>
      <c r="N1098" s="62"/>
      <c r="O1098" s="62"/>
      <c r="P1098" s="62"/>
      <c r="Q1098" s="62"/>
      <c r="R1098" s="62"/>
      <c r="S1098" s="62"/>
      <c r="T1098" s="10">
        <f t="shared" si="1"/>
        <v>0</v>
      </c>
      <c r="U1098" s="62"/>
      <c r="V1098" s="62"/>
      <c r="W1098" s="62"/>
      <c r="X1098" s="62"/>
      <c r="Y1098" s="62"/>
      <c r="Z1098" s="62"/>
      <c r="AA1098" s="62"/>
      <c r="AB1098" s="62"/>
      <c r="AC1098" s="62"/>
      <c r="AD1098" s="62"/>
      <c r="AE1098" s="62"/>
      <c r="AF1098" s="62"/>
      <c r="AG1098" s="62"/>
      <c r="AH1098" s="62"/>
      <c r="AI1098" s="62"/>
      <c r="AJ1098" s="62"/>
      <c r="AK1098" s="62"/>
      <c r="AL1098" s="62"/>
      <c r="AM1098" s="62"/>
      <c r="AN1098" s="62"/>
      <c r="AO1098" s="62"/>
      <c r="AP1098" s="62"/>
      <c r="AQ1098" s="62"/>
    </row>
    <row r="1099">
      <c r="A1099" s="62"/>
      <c r="B1099" s="63"/>
      <c r="C1099" s="62"/>
      <c r="D1099" s="62"/>
      <c r="E1099" s="62"/>
      <c r="F1099" s="62"/>
      <c r="G1099" s="62"/>
      <c r="H1099" s="62"/>
      <c r="I1099" s="62"/>
      <c r="J1099" s="62"/>
      <c r="K1099" s="62"/>
      <c r="L1099" s="62"/>
      <c r="M1099" s="62"/>
      <c r="N1099" s="62"/>
      <c r="O1099" s="62"/>
      <c r="P1099" s="62"/>
      <c r="Q1099" s="62"/>
      <c r="R1099" s="62"/>
      <c r="S1099" s="62"/>
      <c r="T1099" s="10">
        <f t="shared" si="1"/>
        <v>0</v>
      </c>
      <c r="U1099" s="62"/>
      <c r="V1099" s="62"/>
      <c r="W1099" s="62"/>
      <c r="X1099" s="62"/>
      <c r="Y1099" s="62"/>
      <c r="Z1099" s="62"/>
      <c r="AA1099" s="62"/>
      <c r="AB1099" s="62"/>
      <c r="AC1099" s="62"/>
      <c r="AD1099" s="62"/>
      <c r="AE1099" s="62"/>
      <c r="AF1099" s="62"/>
      <c r="AG1099" s="62"/>
      <c r="AH1099" s="62"/>
      <c r="AI1099" s="62"/>
      <c r="AJ1099" s="62"/>
      <c r="AK1099" s="62"/>
      <c r="AL1099" s="62"/>
      <c r="AM1099" s="62"/>
      <c r="AN1099" s="62"/>
      <c r="AO1099" s="62"/>
      <c r="AP1099" s="62"/>
      <c r="AQ1099" s="62"/>
    </row>
    <row r="1100">
      <c r="A1100" s="62"/>
      <c r="B1100" s="63"/>
      <c r="C1100" s="62"/>
      <c r="D1100" s="62"/>
      <c r="E1100" s="62"/>
      <c r="F1100" s="62"/>
      <c r="G1100" s="62"/>
      <c r="H1100" s="62"/>
      <c r="I1100" s="62"/>
      <c r="J1100" s="62"/>
      <c r="K1100" s="62"/>
      <c r="L1100" s="62"/>
      <c r="M1100" s="62"/>
      <c r="N1100" s="62"/>
      <c r="O1100" s="62"/>
      <c r="P1100" s="62"/>
      <c r="Q1100" s="62"/>
      <c r="R1100" s="62"/>
      <c r="S1100" s="62"/>
      <c r="T1100" s="10">
        <f t="shared" si="1"/>
        <v>0</v>
      </c>
      <c r="U1100" s="62"/>
      <c r="V1100" s="62"/>
      <c r="W1100" s="62"/>
      <c r="X1100" s="62"/>
      <c r="Y1100" s="62"/>
      <c r="Z1100" s="62"/>
      <c r="AA1100" s="62"/>
      <c r="AB1100" s="62"/>
      <c r="AC1100" s="62"/>
      <c r="AD1100" s="62"/>
      <c r="AE1100" s="62"/>
      <c r="AF1100" s="62"/>
      <c r="AG1100" s="62"/>
      <c r="AH1100" s="62"/>
      <c r="AI1100" s="62"/>
      <c r="AJ1100" s="62"/>
      <c r="AK1100" s="62"/>
      <c r="AL1100" s="62"/>
      <c r="AM1100" s="62"/>
      <c r="AN1100" s="62"/>
      <c r="AO1100" s="62"/>
      <c r="AP1100" s="62"/>
      <c r="AQ1100" s="62"/>
    </row>
    <row r="1101">
      <c r="A1101" s="62"/>
      <c r="B1101" s="63"/>
      <c r="C1101" s="62"/>
      <c r="D1101" s="62"/>
      <c r="E1101" s="62"/>
      <c r="F1101" s="62"/>
      <c r="G1101" s="62"/>
      <c r="H1101" s="62"/>
      <c r="I1101" s="62"/>
      <c r="J1101" s="62"/>
      <c r="K1101" s="62"/>
      <c r="L1101" s="62"/>
      <c r="M1101" s="62"/>
      <c r="N1101" s="62"/>
      <c r="O1101" s="62"/>
      <c r="P1101" s="62"/>
      <c r="Q1101" s="62"/>
      <c r="R1101" s="62"/>
      <c r="S1101" s="62"/>
      <c r="T1101" s="10">
        <f t="shared" si="1"/>
        <v>0</v>
      </c>
      <c r="U1101" s="62"/>
      <c r="V1101" s="62"/>
      <c r="W1101" s="62"/>
      <c r="X1101" s="62"/>
      <c r="Y1101" s="62"/>
      <c r="Z1101" s="62"/>
      <c r="AA1101" s="62"/>
      <c r="AB1101" s="62"/>
      <c r="AC1101" s="62"/>
      <c r="AD1101" s="62"/>
      <c r="AE1101" s="62"/>
      <c r="AF1101" s="62"/>
      <c r="AG1101" s="62"/>
      <c r="AH1101" s="62"/>
      <c r="AI1101" s="62"/>
      <c r="AJ1101" s="62"/>
      <c r="AK1101" s="62"/>
      <c r="AL1101" s="62"/>
      <c r="AM1101" s="62"/>
      <c r="AN1101" s="62"/>
      <c r="AO1101" s="62"/>
      <c r="AP1101" s="62"/>
      <c r="AQ1101" s="62"/>
    </row>
    <row r="1102">
      <c r="A1102" s="62"/>
      <c r="B1102" s="63"/>
      <c r="C1102" s="62"/>
      <c r="D1102" s="62"/>
      <c r="E1102" s="62"/>
      <c r="F1102" s="62"/>
      <c r="G1102" s="62"/>
      <c r="H1102" s="62"/>
      <c r="I1102" s="62"/>
      <c r="J1102" s="62"/>
      <c r="K1102" s="62"/>
      <c r="L1102" s="62"/>
      <c r="M1102" s="62"/>
      <c r="N1102" s="62"/>
      <c r="O1102" s="62"/>
      <c r="P1102" s="62"/>
      <c r="Q1102" s="62"/>
      <c r="R1102" s="62"/>
      <c r="S1102" s="62"/>
      <c r="T1102" s="10">
        <f t="shared" si="1"/>
        <v>0</v>
      </c>
      <c r="U1102" s="62"/>
      <c r="V1102" s="62"/>
      <c r="W1102" s="62"/>
      <c r="X1102" s="62"/>
      <c r="Y1102" s="62"/>
      <c r="Z1102" s="62"/>
      <c r="AA1102" s="62"/>
      <c r="AB1102" s="62"/>
      <c r="AC1102" s="62"/>
      <c r="AD1102" s="62"/>
      <c r="AE1102" s="62"/>
      <c r="AF1102" s="62"/>
      <c r="AG1102" s="62"/>
      <c r="AH1102" s="62"/>
      <c r="AI1102" s="62"/>
      <c r="AJ1102" s="62"/>
      <c r="AK1102" s="62"/>
      <c r="AL1102" s="62"/>
      <c r="AM1102" s="62"/>
      <c r="AN1102" s="62"/>
      <c r="AO1102" s="62"/>
      <c r="AP1102" s="62"/>
      <c r="AQ1102" s="62"/>
    </row>
    <row r="1103">
      <c r="A1103" s="62"/>
      <c r="B1103" s="63"/>
      <c r="C1103" s="62"/>
      <c r="D1103" s="62"/>
      <c r="E1103" s="62"/>
      <c r="F1103" s="62"/>
      <c r="G1103" s="62"/>
      <c r="H1103" s="62"/>
      <c r="I1103" s="62"/>
      <c r="J1103" s="62"/>
      <c r="K1103" s="62"/>
      <c r="L1103" s="62"/>
      <c r="M1103" s="62"/>
      <c r="N1103" s="62"/>
      <c r="O1103" s="62"/>
      <c r="P1103" s="62"/>
      <c r="Q1103" s="62"/>
      <c r="R1103" s="62"/>
      <c r="S1103" s="62"/>
      <c r="T1103" s="10">
        <f t="shared" si="1"/>
        <v>0</v>
      </c>
      <c r="U1103" s="62"/>
      <c r="V1103" s="62"/>
      <c r="W1103" s="62"/>
      <c r="X1103" s="62"/>
      <c r="Y1103" s="62"/>
      <c r="Z1103" s="62"/>
      <c r="AA1103" s="62"/>
      <c r="AB1103" s="62"/>
      <c r="AC1103" s="62"/>
      <c r="AD1103" s="62"/>
      <c r="AE1103" s="62"/>
      <c r="AF1103" s="62"/>
      <c r="AG1103" s="62"/>
      <c r="AH1103" s="62"/>
      <c r="AI1103" s="62"/>
      <c r="AJ1103" s="62"/>
      <c r="AK1103" s="62"/>
      <c r="AL1103" s="62"/>
      <c r="AM1103" s="62"/>
      <c r="AN1103" s="62"/>
      <c r="AO1103" s="62"/>
      <c r="AP1103" s="62"/>
      <c r="AQ1103" s="62"/>
    </row>
    <row r="1104">
      <c r="A1104" s="62"/>
      <c r="B1104" s="63"/>
      <c r="C1104" s="62"/>
      <c r="D1104" s="62"/>
      <c r="E1104" s="62"/>
      <c r="F1104" s="62"/>
      <c r="G1104" s="62"/>
      <c r="H1104" s="62"/>
      <c r="I1104" s="62"/>
      <c r="J1104" s="62"/>
      <c r="K1104" s="62"/>
      <c r="L1104" s="62"/>
      <c r="M1104" s="62"/>
      <c r="N1104" s="62"/>
      <c r="O1104" s="62"/>
      <c r="P1104" s="62"/>
      <c r="Q1104" s="62"/>
      <c r="R1104" s="62"/>
      <c r="S1104" s="62"/>
      <c r="T1104" s="10">
        <f t="shared" si="1"/>
        <v>0</v>
      </c>
      <c r="U1104" s="62"/>
      <c r="V1104" s="62"/>
      <c r="W1104" s="62"/>
      <c r="X1104" s="62"/>
      <c r="Y1104" s="62"/>
      <c r="Z1104" s="62"/>
      <c r="AA1104" s="62"/>
      <c r="AB1104" s="62"/>
      <c r="AC1104" s="62"/>
      <c r="AD1104" s="62"/>
      <c r="AE1104" s="62"/>
      <c r="AF1104" s="62"/>
      <c r="AG1104" s="62"/>
      <c r="AH1104" s="62"/>
      <c r="AI1104" s="62"/>
      <c r="AJ1104" s="62"/>
      <c r="AK1104" s="62"/>
      <c r="AL1104" s="62"/>
      <c r="AM1104" s="62"/>
      <c r="AN1104" s="62"/>
      <c r="AO1104" s="62"/>
      <c r="AP1104" s="62"/>
      <c r="AQ1104" s="62"/>
    </row>
    <row r="1105">
      <c r="A1105" s="62"/>
      <c r="B1105" s="63"/>
      <c r="C1105" s="62"/>
      <c r="D1105" s="62"/>
      <c r="E1105" s="62"/>
      <c r="F1105" s="62"/>
      <c r="G1105" s="62"/>
      <c r="H1105" s="62"/>
      <c r="I1105" s="62"/>
      <c r="J1105" s="62"/>
      <c r="K1105" s="62"/>
      <c r="L1105" s="62"/>
      <c r="M1105" s="62"/>
      <c r="N1105" s="62"/>
      <c r="O1105" s="62"/>
      <c r="P1105" s="62"/>
      <c r="Q1105" s="62"/>
      <c r="R1105" s="62"/>
      <c r="S1105" s="62"/>
      <c r="T1105" s="10">
        <f t="shared" si="1"/>
        <v>0</v>
      </c>
      <c r="U1105" s="62"/>
      <c r="V1105" s="62"/>
      <c r="W1105" s="62"/>
      <c r="X1105" s="62"/>
      <c r="Y1105" s="62"/>
      <c r="Z1105" s="62"/>
      <c r="AA1105" s="62"/>
      <c r="AB1105" s="62"/>
      <c r="AC1105" s="62"/>
      <c r="AD1105" s="62"/>
      <c r="AE1105" s="62"/>
      <c r="AF1105" s="62"/>
      <c r="AG1105" s="62"/>
      <c r="AH1105" s="62"/>
      <c r="AI1105" s="62"/>
      <c r="AJ1105" s="62"/>
      <c r="AK1105" s="62"/>
      <c r="AL1105" s="62"/>
      <c r="AM1105" s="62"/>
      <c r="AN1105" s="62"/>
      <c r="AO1105" s="62"/>
      <c r="AP1105" s="62"/>
      <c r="AQ1105" s="62"/>
    </row>
    <row r="1106">
      <c r="A1106" s="62"/>
      <c r="B1106" s="63"/>
      <c r="C1106" s="62"/>
      <c r="D1106" s="62"/>
      <c r="E1106" s="62"/>
      <c r="F1106" s="62"/>
      <c r="G1106" s="62"/>
      <c r="H1106" s="62"/>
      <c r="I1106" s="62"/>
      <c r="J1106" s="62"/>
      <c r="K1106" s="62"/>
      <c r="L1106" s="62"/>
      <c r="M1106" s="62"/>
      <c r="N1106" s="62"/>
      <c r="O1106" s="62"/>
      <c r="P1106" s="62"/>
      <c r="Q1106" s="62"/>
      <c r="R1106" s="62"/>
      <c r="S1106" s="62"/>
      <c r="T1106" s="10">
        <f t="shared" si="1"/>
        <v>0</v>
      </c>
      <c r="U1106" s="62"/>
      <c r="V1106" s="62"/>
      <c r="W1106" s="62"/>
      <c r="X1106" s="62"/>
      <c r="Y1106" s="62"/>
      <c r="Z1106" s="62"/>
      <c r="AA1106" s="62"/>
      <c r="AB1106" s="62"/>
      <c r="AC1106" s="62"/>
      <c r="AD1106" s="62"/>
      <c r="AE1106" s="62"/>
      <c r="AF1106" s="62"/>
      <c r="AG1106" s="62"/>
      <c r="AH1106" s="62"/>
      <c r="AI1106" s="62"/>
      <c r="AJ1106" s="62"/>
      <c r="AK1106" s="62"/>
      <c r="AL1106" s="62"/>
      <c r="AM1106" s="62"/>
      <c r="AN1106" s="62"/>
      <c r="AO1106" s="62"/>
      <c r="AP1106" s="62"/>
      <c r="AQ1106" s="62"/>
    </row>
    <row r="1107">
      <c r="A1107" s="62"/>
      <c r="B1107" s="63"/>
      <c r="C1107" s="62"/>
      <c r="D1107" s="62"/>
      <c r="E1107" s="62"/>
      <c r="F1107" s="62"/>
      <c r="G1107" s="62"/>
      <c r="H1107" s="62"/>
      <c r="I1107" s="62"/>
      <c r="J1107" s="62"/>
      <c r="K1107" s="62"/>
      <c r="L1107" s="62"/>
      <c r="M1107" s="62"/>
      <c r="N1107" s="62"/>
      <c r="O1107" s="62"/>
      <c r="P1107" s="62"/>
      <c r="Q1107" s="62"/>
      <c r="R1107" s="62"/>
      <c r="S1107" s="62"/>
      <c r="T1107" s="10">
        <f t="shared" si="1"/>
        <v>0</v>
      </c>
      <c r="U1107" s="62"/>
      <c r="V1107" s="62"/>
      <c r="W1107" s="62"/>
      <c r="X1107" s="62"/>
      <c r="Y1107" s="62"/>
      <c r="Z1107" s="62"/>
      <c r="AA1107" s="62"/>
      <c r="AB1107" s="62"/>
      <c r="AC1107" s="62"/>
      <c r="AD1107" s="62"/>
      <c r="AE1107" s="62"/>
      <c r="AF1107" s="62"/>
      <c r="AG1107" s="62"/>
      <c r="AH1107" s="62"/>
      <c r="AI1107" s="62"/>
      <c r="AJ1107" s="62"/>
      <c r="AK1107" s="62"/>
      <c r="AL1107" s="62"/>
      <c r="AM1107" s="62"/>
      <c r="AN1107" s="62"/>
      <c r="AO1107" s="62"/>
      <c r="AP1107" s="62"/>
      <c r="AQ1107" s="62"/>
    </row>
    <row r="1108">
      <c r="A1108" s="62"/>
      <c r="B1108" s="63"/>
      <c r="C1108" s="62"/>
      <c r="D1108" s="62"/>
      <c r="E1108" s="62"/>
      <c r="F1108" s="62"/>
      <c r="G1108" s="62"/>
      <c r="H1108" s="62"/>
      <c r="I1108" s="62"/>
      <c r="J1108" s="62"/>
      <c r="K1108" s="62"/>
      <c r="L1108" s="62"/>
      <c r="M1108" s="62"/>
      <c r="N1108" s="62"/>
      <c r="O1108" s="62"/>
      <c r="P1108" s="62"/>
      <c r="Q1108" s="62"/>
      <c r="R1108" s="62"/>
      <c r="S1108" s="62"/>
      <c r="T1108" s="10">
        <f t="shared" si="1"/>
        <v>0</v>
      </c>
      <c r="U1108" s="62"/>
      <c r="V1108" s="62"/>
      <c r="W1108" s="62"/>
      <c r="X1108" s="62"/>
      <c r="Y1108" s="62"/>
      <c r="Z1108" s="62"/>
      <c r="AA1108" s="62"/>
      <c r="AB1108" s="62"/>
      <c r="AC1108" s="62"/>
      <c r="AD1108" s="62"/>
      <c r="AE1108" s="62"/>
      <c r="AF1108" s="62"/>
      <c r="AG1108" s="62"/>
      <c r="AH1108" s="62"/>
      <c r="AI1108" s="62"/>
      <c r="AJ1108" s="62"/>
      <c r="AK1108" s="62"/>
      <c r="AL1108" s="62"/>
      <c r="AM1108" s="62"/>
      <c r="AN1108" s="62"/>
      <c r="AO1108" s="62"/>
      <c r="AP1108" s="62"/>
      <c r="AQ1108" s="62"/>
    </row>
    <row r="1109">
      <c r="A1109" s="62"/>
      <c r="B1109" s="63"/>
      <c r="C1109" s="62"/>
      <c r="D1109" s="62"/>
      <c r="E1109" s="62"/>
      <c r="F1109" s="62"/>
      <c r="G1109" s="62"/>
      <c r="H1109" s="62"/>
      <c r="I1109" s="62"/>
      <c r="J1109" s="62"/>
      <c r="K1109" s="62"/>
      <c r="L1109" s="62"/>
      <c r="M1109" s="62"/>
      <c r="N1109" s="62"/>
      <c r="O1109" s="62"/>
      <c r="P1109" s="62"/>
      <c r="Q1109" s="62"/>
      <c r="R1109" s="62"/>
      <c r="S1109" s="62"/>
      <c r="T1109" s="10">
        <f t="shared" si="1"/>
        <v>0</v>
      </c>
      <c r="U1109" s="62"/>
      <c r="V1109" s="62"/>
      <c r="W1109" s="62"/>
      <c r="X1109" s="62"/>
      <c r="Y1109" s="62"/>
      <c r="Z1109" s="62"/>
      <c r="AA1109" s="62"/>
      <c r="AB1109" s="62"/>
      <c r="AC1109" s="62"/>
      <c r="AD1109" s="62"/>
      <c r="AE1109" s="62"/>
      <c r="AF1109" s="62"/>
      <c r="AG1109" s="62"/>
      <c r="AH1109" s="62"/>
      <c r="AI1109" s="62"/>
      <c r="AJ1109" s="62"/>
      <c r="AK1109" s="62"/>
      <c r="AL1109" s="62"/>
      <c r="AM1109" s="62"/>
      <c r="AN1109" s="62"/>
      <c r="AO1109" s="62"/>
      <c r="AP1109" s="62"/>
      <c r="AQ1109" s="62"/>
    </row>
    <row r="1110">
      <c r="A1110" s="62"/>
      <c r="B1110" s="63"/>
      <c r="C1110" s="62"/>
      <c r="D1110" s="62"/>
      <c r="E1110" s="62"/>
      <c r="F1110" s="62"/>
      <c r="G1110" s="62"/>
      <c r="H1110" s="62"/>
      <c r="I1110" s="62"/>
      <c r="J1110" s="62"/>
      <c r="K1110" s="62"/>
      <c r="L1110" s="62"/>
      <c r="M1110" s="62"/>
      <c r="N1110" s="62"/>
      <c r="O1110" s="62"/>
      <c r="P1110" s="62"/>
      <c r="Q1110" s="62"/>
      <c r="R1110" s="62"/>
      <c r="S1110" s="62"/>
      <c r="T1110" s="10">
        <f t="shared" si="1"/>
        <v>0</v>
      </c>
      <c r="U1110" s="62"/>
      <c r="V1110" s="62"/>
      <c r="W1110" s="62"/>
      <c r="X1110" s="62"/>
      <c r="Y1110" s="62"/>
      <c r="Z1110" s="62"/>
      <c r="AA1110" s="62"/>
      <c r="AB1110" s="62"/>
      <c r="AC1110" s="62"/>
      <c r="AD1110" s="62"/>
      <c r="AE1110" s="62"/>
      <c r="AF1110" s="62"/>
      <c r="AG1110" s="62"/>
      <c r="AH1110" s="62"/>
      <c r="AI1110" s="62"/>
      <c r="AJ1110" s="62"/>
      <c r="AK1110" s="62"/>
      <c r="AL1110" s="62"/>
      <c r="AM1110" s="62"/>
      <c r="AN1110" s="62"/>
      <c r="AO1110" s="62"/>
      <c r="AP1110" s="62"/>
      <c r="AQ1110" s="62"/>
    </row>
    <row r="1111">
      <c r="A1111" s="62"/>
      <c r="B1111" s="63"/>
      <c r="C1111" s="62"/>
      <c r="D1111" s="62"/>
      <c r="E1111" s="62"/>
      <c r="F1111" s="62"/>
      <c r="G1111" s="62"/>
      <c r="H1111" s="62"/>
      <c r="I1111" s="62"/>
      <c r="J1111" s="62"/>
      <c r="K1111" s="62"/>
      <c r="L1111" s="62"/>
      <c r="M1111" s="62"/>
      <c r="N1111" s="62"/>
      <c r="O1111" s="62"/>
      <c r="P1111" s="62"/>
      <c r="Q1111" s="62"/>
      <c r="R1111" s="62"/>
      <c r="S1111" s="62"/>
      <c r="T1111" s="10">
        <f t="shared" si="1"/>
        <v>0</v>
      </c>
      <c r="U1111" s="62"/>
      <c r="V1111" s="62"/>
      <c r="W1111" s="62"/>
      <c r="X1111" s="62"/>
      <c r="Y1111" s="62"/>
      <c r="Z1111" s="62"/>
      <c r="AA1111" s="62"/>
      <c r="AB1111" s="62"/>
      <c r="AC1111" s="62"/>
      <c r="AD1111" s="62"/>
      <c r="AE1111" s="62"/>
      <c r="AF1111" s="62"/>
      <c r="AG1111" s="62"/>
      <c r="AH1111" s="62"/>
      <c r="AI1111" s="62"/>
      <c r="AJ1111" s="62"/>
      <c r="AK1111" s="62"/>
      <c r="AL1111" s="62"/>
      <c r="AM1111" s="62"/>
      <c r="AN1111" s="62"/>
      <c r="AO1111" s="62"/>
      <c r="AP1111" s="62"/>
      <c r="AQ1111" s="62"/>
    </row>
    <row r="1112">
      <c r="A1112" s="62"/>
      <c r="B1112" s="63"/>
      <c r="C1112" s="62"/>
      <c r="D1112" s="62"/>
      <c r="E1112" s="62"/>
      <c r="F1112" s="62"/>
      <c r="G1112" s="62"/>
      <c r="H1112" s="62"/>
      <c r="I1112" s="62"/>
      <c r="J1112" s="62"/>
      <c r="K1112" s="62"/>
      <c r="L1112" s="62"/>
      <c r="M1112" s="62"/>
      <c r="N1112" s="62"/>
      <c r="O1112" s="62"/>
      <c r="P1112" s="62"/>
      <c r="Q1112" s="62"/>
      <c r="R1112" s="62"/>
      <c r="S1112" s="62"/>
      <c r="T1112" s="10">
        <f t="shared" si="1"/>
        <v>0</v>
      </c>
      <c r="U1112" s="62"/>
      <c r="V1112" s="62"/>
      <c r="W1112" s="62"/>
      <c r="X1112" s="62"/>
      <c r="Y1112" s="62"/>
      <c r="Z1112" s="62"/>
      <c r="AA1112" s="62"/>
      <c r="AB1112" s="62"/>
      <c r="AC1112" s="62"/>
      <c r="AD1112" s="62"/>
      <c r="AE1112" s="62"/>
      <c r="AF1112" s="62"/>
      <c r="AG1112" s="62"/>
      <c r="AH1112" s="62"/>
      <c r="AI1112" s="62"/>
      <c r="AJ1112" s="62"/>
      <c r="AK1112" s="62"/>
      <c r="AL1112" s="62"/>
      <c r="AM1112" s="62"/>
      <c r="AN1112" s="62"/>
      <c r="AO1112" s="62"/>
      <c r="AP1112" s="62"/>
      <c r="AQ1112" s="62"/>
    </row>
    <row r="1113">
      <c r="A1113" s="62"/>
      <c r="B1113" s="63"/>
      <c r="C1113" s="62"/>
      <c r="D1113" s="62"/>
      <c r="E1113" s="62"/>
      <c r="F1113" s="62"/>
      <c r="G1113" s="62"/>
      <c r="H1113" s="62"/>
      <c r="I1113" s="62"/>
      <c r="J1113" s="62"/>
      <c r="K1113" s="62"/>
      <c r="L1113" s="62"/>
      <c r="M1113" s="62"/>
      <c r="N1113" s="62"/>
      <c r="O1113" s="62"/>
      <c r="P1113" s="62"/>
      <c r="Q1113" s="62"/>
      <c r="R1113" s="62"/>
      <c r="S1113" s="62"/>
      <c r="T1113" s="10">
        <f t="shared" si="1"/>
        <v>0</v>
      </c>
      <c r="U1113" s="62"/>
      <c r="V1113" s="62"/>
      <c r="W1113" s="62"/>
      <c r="X1113" s="62"/>
      <c r="Y1113" s="62"/>
      <c r="Z1113" s="62"/>
      <c r="AA1113" s="62"/>
      <c r="AB1113" s="62"/>
      <c r="AC1113" s="62"/>
      <c r="AD1113" s="62"/>
      <c r="AE1113" s="62"/>
      <c r="AF1113" s="62"/>
      <c r="AG1113" s="62"/>
      <c r="AH1113" s="62"/>
      <c r="AI1113" s="62"/>
      <c r="AJ1113" s="62"/>
      <c r="AK1113" s="62"/>
      <c r="AL1113" s="62"/>
      <c r="AM1113" s="62"/>
      <c r="AN1113" s="62"/>
      <c r="AO1113" s="62"/>
      <c r="AP1113" s="62"/>
      <c r="AQ1113" s="62"/>
    </row>
    <row r="1114">
      <c r="A1114" s="62"/>
      <c r="B1114" s="63"/>
      <c r="C1114" s="62"/>
      <c r="D1114" s="62"/>
      <c r="E1114" s="62"/>
      <c r="F1114" s="62"/>
      <c r="G1114" s="62"/>
      <c r="H1114" s="62"/>
      <c r="I1114" s="62"/>
      <c r="J1114" s="62"/>
      <c r="K1114" s="62"/>
      <c r="L1114" s="62"/>
      <c r="M1114" s="62"/>
      <c r="N1114" s="62"/>
      <c r="O1114" s="62"/>
      <c r="P1114" s="62"/>
      <c r="Q1114" s="62"/>
      <c r="R1114" s="62"/>
      <c r="S1114" s="62"/>
      <c r="T1114" s="10">
        <f t="shared" si="1"/>
        <v>0</v>
      </c>
      <c r="U1114" s="62"/>
      <c r="V1114" s="62"/>
      <c r="W1114" s="62"/>
      <c r="X1114" s="62"/>
      <c r="Y1114" s="62"/>
      <c r="Z1114" s="62"/>
      <c r="AA1114" s="62"/>
      <c r="AB1114" s="62"/>
      <c r="AC1114" s="62"/>
      <c r="AD1114" s="62"/>
      <c r="AE1114" s="62"/>
      <c r="AF1114" s="62"/>
      <c r="AG1114" s="62"/>
      <c r="AH1114" s="62"/>
      <c r="AI1114" s="62"/>
      <c r="AJ1114" s="62"/>
      <c r="AK1114" s="62"/>
      <c r="AL1114" s="62"/>
      <c r="AM1114" s="62"/>
      <c r="AN1114" s="62"/>
      <c r="AO1114" s="62"/>
      <c r="AP1114" s="62"/>
      <c r="AQ1114" s="62"/>
    </row>
    <row r="1115">
      <c r="A1115" s="62"/>
      <c r="B1115" s="63"/>
      <c r="C1115" s="62"/>
      <c r="D1115" s="62"/>
      <c r="E1115" s="62"/>
      <c r="F1115" s="62"/>
      <c r="G1115" s="62"/>
      <c r="H1115" s="62"/>
      <c r="I1115" s="62"/>
      <c r="J1115" s="62"/>
      <c r="K1115" s="62"/>
      <c r="L1115" s="62"/>
      <c r="M1115" s="62"/>
      <c r="N1115" s="62"/>
      <c r="O1115" s="62"/>
      <c r="P1115" s="62"/>
      <c r="Q1115" s="62"/>
      <c r="R1115" s="62"/>
      <c r="S1115" s="62"/>
      <c r="T1115" s="10">
        <f t="shared" si="1"/>
        <v>0</v>
      </c>
      <c r="U1115" s="62"/>
      <c r="V1115" s="62"/>
      <c r="W1115" s="62"/>
      <c r="X1115" s="62"/>
      <c r="Y1115" s="62"/>
      <c r="Z1115" s="62"/>
      <c r="AA1115" s="62"/>
      <c r="AB1115" s="62"/>
      <c r="AC1115" s="62"/>
      <c r="AD1115" s="62"/>
      <c r="AE1115" s="62"/>
      <c r="AF1115" s="62"/>
      <c r="AG1115" s="62"/>
      <c r="AH1115" s="62"/>
      <c r="AI1115" s="62"/>
      <c r="AJ1115" s="62"/>
      <c r="AK1115" s="62"/>
      <c r="AL1115" s="62"/>
      <c r="AM1115" s="62"/>
      <c r="AN1115" s="62"/>
      <c r="AO1115" s="62"/>
      <c r="AP1115" s="62"/>
      <c r="AQ1115" s="62"/>
    </row>
    <row r="1116">
      <c r="A1116" s="62"/>
      <c r="B1116" s="63"/>
      <c r="C1116" s="62"/>
      <c r="D1116" s="62"/>
      <c r="E1116" s="62"/>
      <c r="F1116" s="62"/>
      <c r="G1116" s="62"/>
      <c r="H1116" s="62"/>
      <c r="I1116" s="62"/>
      <c r="J1116" s="62"/>
      <c r="K1116" s="62"/>
      <c r="L1116" s="62"/>
      <c r="M1116" s="62"/>
      <c r="N1116" s="62"/>
      <c r="O1116" s="62"/>
      <c r="P1116" s="62"/>
      <c r="Q1116" s="62"/>
      <c r="R1116" s="62"/>
      <c r="S1116" s="62"/>
      <c r="T1116" s="10">
        <f t="shared" si="1"/>
        <v>0</v>
      </c>
      <c r="U1116" s="62"/>
      <c r="V1116" s="62"/>
      <c r="W1116" s="62"/>
      <c r="X1116" s="62"/>
      <c r="Y1116" s="62"/>
      <c r="Z1116" s="62"/>
      <c r="AA1116" s="62"/>
      <c r="AB1116" s="62"/>
      <c r="AC1116" s="62"/>
      <c r="AD1116" s="62"/>
      <c r="AE1116" s="62"/>
      <c r="AF1116" s="62"/>
      <c r="AG1116" s="62"/>
      <c r="AH1116" s="62"/>
      <c r="AI1116" s="62"/>
      <c r="AJ1116" s="62"/>
      <c r="AK1116" s="62"/>
      <c r="AL1116" s="62"/>
      <c r="AM1116" s="62"/>
      <c r="AN1116" s="62"/>
      <c r="AO1116" s="62"/>
      <c r="AP1116" s="62"/>
      <c r="AQ1116" s="62"/>
    </row>
    <row r="1117">
      <c r="A1117" s="62"/>
      <c r="B1117" s="63"/>
      <c r="C1117" s="62"/>
      <c r="D1117" s="62"/>
      <c r="E1117" s="62"/>
      <c r="F1117" s="62"/>
      <c r="G1117" s="62"/>
      <c r="H1117" s="62"/>
      <c r="I1117" s="62"/>
      <c r="J1117" s="62"/>
      <c r="K1117" s="62"/>
      <c r="L1117" s="62"/>
      <c r="M1117" s="62"/>
      <c r="N1117" s="62"/>
      <c r="O1117" s="62"/>
      <c r="P1117" s="62"/>
      <c r="Q1117" s="62"/>
      <c r="R1117" s="62"/>
      <c r="S1117" s="62"/>
      <c r="T1117" s="10">
        <f t="shared" si="1"/>
        <v>0</v>
      </c>
      <c r="U1117" s="62"/>
      <c r="V1117" s="62"/>
      <c r="W1117" s="62"/>
      <c r="X1117" s="62"/>
      <c r="Y1117" s="62"/>
      <c r="Z1117" s="62"/>
      <c r="AA1117" s="62"/>
      <c r="AB1117" s="62"/>
      <c r="AC1117" s="62"/>
      <c r="AD1117" s="62"/>
      <c r="AE1117" s="62"/>
      <c r="AF1117" s="62"/>
      <c r="AG1117" s="62"/>
      <c r="AH1117" s="62"/>
      <c r="AI1117" s="62"/>
      <c r="AJ1117" s="62"/>
      <c r="AK1117" s="62"/>
      <c r="AL1117" s="62"/>
      <c r="AM1117" s="62"/>
      <c r="AN1117" s="62"/>
      <c r="AO1117" s="62"/>
      <c r="AP1117" s="62"/>
      <c r="AQ1117" s="62"/>
    </row>
    <row r="1118">
      <c r="A1118" s="62"/>
      <c r="B1118" s="63"/>
      <c r="C1118" s="62"/>
      <c r="D1118" s="62"/>
      <c r="E1118" s="62"/>
      <c r="F1118" s="62"/>
      <c r="G1118" s="62"/>
      <c r="H1118" s="62"/>
      <c r="I1118" s="62"/>
      <c r="J1118" s="62"/>
      <c r="K1118" s="62"/>
      <c r="L1118" s="62"/>
      <c r="M1118" s="62"/>
      <c r="N1118" s="62"/>
      <c r="O1118" s="62"/>
      <c r="P1118" s="62"/>
      <c r="Q1118" s="62"/>
      <c r="R1118" s="62"/>
      <c r="S1118" s="62"/>
      <c r="T1118" s="10">
        <f t="shared" si="1"/>
        <v>0</v>
      </c>
      <c r="U1118" s="62"/>
      <c r="V1118" s="62"/>
      <c r="W1118" s="62"/>
      <c r="X1118" s="62"/>
      <c r="Y1118" s="62"/>
      <c r="Z1118" s="62"/>
      <c r="AA1118" s="62"/>
      <c r="AB1118" s="62"/>
      <c r="AC1118" s="62"/>
      <c r="AD1118" s="62"/>
      <c r="AE1118" s="62"/>
      <c r="AF1118" s="62"/>
      <c r="AG1118" s="62"/>
      <c r="AH1118" s="62"/>
      <c r="AI1118" s="62"/>
      <c r="AJ1118" s="62"/>
      <c r="AK1118" s="62"/>
      <c r="AL1118" s="62"/>
      <c r="AM1118" s="62"/>
      <c r="AN1118" s="62"/>
      <c r="AO1118" s="62"/>
      <c r="AP1118" s="62"/>
      <c r="AQ1118" s="62"/>
    </row>
    <row r="1119">
      <c r="A1119" s="62"/>
      <c r="B1119" s="63"/>
      <c r="C1119" s="62"/>
      <c r="D1119" s="62"/>
      <c r="E1119" s="62"/>
      <c r="F1119" s="62"/>
      <c r="G1119" s="62"/>
      <c r="H1119" s="62"/>
      <c r="I1119" s="62"/>
      <c r="J1119" s="62"/>
      <c r="K1119" s="62"/>
      <c r="L1119" s="62"/>
      <c r="M1119" s="62"/>
      <c r="N1119" s="62"/>
      <c r="O1119" s="62"/>
      <c r="P1119" s="62"/>
      <c r="Q1119" s="62"/>
      <c r="R1119" s="62"/>
      <c r="S1119" s="62"/>
      <c r="T1119" s="10">
        <f t="shared" si="1"/>
        <v>0</v>
      </c>
      <c r="U1119" s="62"/>
      <c r="V1119" s="62"/>
      <c r="W1119" s="62"/>
      <c r="X1119" s="62"/>
      <c r="Y1119" s="62"/>
      <c r="Z1119" s="62"/>
      <c r="AA1119" s="62"/>
      <c r="AB1119" s="62"/>
      <c r="AC1119" s="62"/>
      <c r="AD1119" s="62"/>
      <c r="AE1119" s="62"/>
      <c r="AF1119" s="62"/>
      <c r="AG1119" s="62"/>
      <c r="AH1119" s="62"/>
      <c r="AI1119" s="62"/>
      <c r="AJ1119" s="62"/>
      <c r="AK1119" s="62"/>
      <c r="AL1119" s="62"/>
      <c r="AM1119" s="62"/>
      <c r="AN1119" s="62"/>
      <c r="AO1119" s="62"/>
      <c r="AP1119" s="62"/>
      <c r="AQ1119" s="62"/>
    </row>
    <row r="1120">
      <c r="A1120" s="62"/>
      <c r="B1120" s="63"/>
      <c r="C1120" s="62"/>
      <c r="D1120" s="62"/>
      <c r="E1120" s="62"/>
      <c r="F1120" s="62"/>
      <c r="G1120" s="62"/>
      <c r="H1120" s="62"/>
      <c r="I1120" s="62"/>
      <c r="J1120" s="62"/>
      <c r="K1120" s="62"/>
      <c r="L1120" s="62"/>
      <c r="M1120" s="62"/>
      <c r="N1120" s="62"/>
      <c r="O1120" s="62"/>
      <c r="P1120" s="62"/>
      <c r="Q1120" s="62"/>
      <c r="R1120" s="62"/>
      <c r="S1120" s="62"/>
      <c r="T1120" s="10">
        <f t="shared" si="1"/>
        <v>0</v>
      </c>
      <c r="U1120" s="62"/>
      <c r="V1120" s="62"/>
      <c r="W1120" s="62"/>
      <c r="X1120" s="62"/>
      <c r="Y1120" s="62"/>
      <c r="Z1120" s="62"/>
      <c r="AA1120" s="62"/>
      <c r="AB1120" s="62"/>
      <c r="AC1120" s="62"/>
      <c r="AD1120" s="62"/>
      <c r="AE1120" s="62"/>
      <c r="AF1120" s="62"/>
      <c r="AG1120" s="62"/>
      <c r="AH1120" s="62"/>
      <c r="AI1120" s="62"/>
      <c r="AJ1120" s="62"/>
      <c r="AK1120" s="62"/>
      <c r="AL1120" s="62"/>
      <c r="AM1120" s="62"/>
      <c r="AN1120" s="62"/>
      <c r="AO1120" s="62"/>
      <c r="AP1120" s="62"/>
      <c r="AQ1120" s="62"/>
    </row>
    <row r="1121">
      <c r="A1121" s="62"/>
      <c r="B1121" s="63"/>
      <c r="C1121" s="62"/>
      <c r="D1121" s="62"/>
      <c r="E1121" s="62"/>
      <c r="F1121" s="62"/>
      <c r="G1121" s="62"/>
      <c r="H1121" s="62"/>
      <c r="I1121" s="62"/>
      <c r="J1121" s="62"/>
      <c r="K1121" s="62"/>
      <c r="L1121" s="62"/>
      <c r="M1121" s="62"/>
      <c r="N1121" s="62"/>
      <c r="O1121" s="62"/>
      <c r="P1121" s="62"/>
      <c r="Q1121" s="62"/>
      <c r="R1121" s="62"/>
      <c r="S1121" s="62"/>
      <c r="T1121" s="10">
        <f t="shared" si="1"/>
        <v>0</v>
      </c>
      <c r="U1121" s="62"/>
      <c r="V1121" s="62"/>
      <c r="W1121" s="62"/>
      <c r="X1121" s="62"/>
      <c r="Y1121" s="62"/>
      <c r="Z1121" s="62"/>
      <c r="AA1121" s="62"/>
      <c r="AB1121" s="62"/>
      <c r="AC1121" s="62"/>
      <c r="AD1121" s="62"/>
      <c r="AE1121" s="62"/>
      <c r="AF1121" s="62"/>
      <c r="AG1121" s="62"/>
      <c r="AH1121" s="62"/>
      <c r="AI1121" s="62"/>
      <c r="AJ1121" s="62"/>
      <c r="AK1121" s="62"/>
      <c r="AL1121" s="62"/>
      <c r="AM1121" s="62"/>
      <c r="AN1121" s="62"/>
      <c r="AO1121" s="62"/>
      <c r="AP1121" s="62"/>
      <c r="AQ1121" s="62"/>
    </row>
    <row r="1122">
      <c r="A1122" s="62"/>
      <c r="B1122" s="63"/>
      <c r="C1122" s="62"/>
      <c r="D1122" s="62"/>
      <c r="E1122" s="62"/>
      <c r="F1122" s="62"/>
      <c r="G1122" s="62"/>
      <c r="H1122" s="62"/>
      <c r="I1122" s="62"/>
      <c r="J1122" s="62"/>
      <c r="K1122" s="62"/>
      <c r="L1122" s="62"/>
      <c r="M1122" s="62"/>
      <c r="N1122" s="62"/>
      <c r="O1122" s="62"/>
      <c r="P1122" s="62"/>
      <c r="Q1122" s="62"/>
      <c r="R1122" s="62"/>
      <c r="S1122" s="62"/>
      <c r="T1122" s="10">
        <f t="shared" si="1"/>
        <v>0</v>
      </c>
      <c r="U1122" s="62"/>
      <c r="V1122" s="62"/>
      <c r="W1122" s="62"/>
      <c r="X1122" s="62"/>
      <c r="Y1122" s="62"/>
      <c r="Z1122" s="62"/>
      <c r="AA1122" s="62"/>
      <c r="AB1122" s="62"/>
      <c r="AC1122" s="62"/>
      <c r="AD1122" s="62"/>
      <c r="AE1122" s="62"/>
      <c r="AF1122" s="62"/>
      <c r="AG1122" s="62"/>
      <c r="AH1122" s="62"/>
      <c r="AI1122" s="62"/>
      <c r="AJ1122" s="62"/>
      <c r="AK1122" s="62"/>
      <c r="AL1122" s="62"/>
      <c r="AM1122" s="62"/>
      <c r="AN1122" s="62"/>
      <c r="AO1122" s="62"/>
      <c r="AP1122" s="62"/>
      <c r="AQ1122" s="62"/>
    </row>
    <row r="1123">
      <c r="A1123" s="62"/>
      <c r="B1123" s="63"/>
      <c r="C1123" s="62"/>
      <c r="D1123" s="62"/>
      <c r="E1123" s="62"/>
      <c r="F1123" s="62"/>
      <c r="G1123" s="62"/>
      <c r="H1123" s="62"/>
      <c r="I1123" s="62"/>
      <c r="J1123" s="62"/>
      <c r="K1123" s="62"/>
      <c r="L1123" s="62"/>
      <c r="M1123" s="62"/>
      <c r="N1123" s="62"/>
      <c r="O1123" s="62"/>
      <c r="P1123" s="62"/>
      <c r="Q1123" s="62"/>
      <c r="R1123" s="62"/>
      <c r="S1123" s="62"/>
      <c r="T1123" s="10">
        <f t="shared" si="1"/>
        <v>0</v>
      </c>
      <c r="U1123" s="62"/>
      <c r="V1123" s="62"/>
      <c r="W1123" s="62"/>
      <c r="X1123" s="62"/>
      <c r="Y1123" s="62"/>
      <c r="Z1123" s="62"/>
      <c r="AA1123" s="62"/>
      <c r="AB1123" s="62"/>
      <c r="AC1123" s="62"/>
      <c r="AD1123" s="62"/>
      <c r="AE1123" s="62"/>
      <c r="AF1123" s="62"/>
      <c r="AG1123" s="62"/>
      <c r="AH1123" s="62"/>
      <c r="AI1123" s="62"/>
      <c r="AJ1123" s="62"/>
      <c r="AK1123" s="62"/>
      <c r="AL1123" s="62"/>
      <c r="AM1123" s="62"/>
      <c r="AN1123" s="62"/>
      <c r="AO1123" s="62"/>
      <c r="AP1123" s="62"/>
      <c r="AQ1123" s="62"/>
    </row>
    <row r="1124">
      <c r="A1124" s="62"/>
      <c r="B1124" s="63"/>
      <c r="C1124" s="62"/>
      <c r="D1124" s="62"/>
      <c r="E1124" s="62"/>
      <c r="F1124" s="62"/>
      <c r="G1124" s="62"/>
      <c r="H1124" s="62"/>
      <c r="I1124" s="62"/>
      <c r="J1124" s="62"/>
      <c r="K1124" s="62"/>
      <c r="L1124" s="62"/>
      <c r="M1124" s="62"/>
      <c r="N1124" s="62"/>
      <c r="O1124" s="62"/>
      <c r="P1124" s="62"/>
      <c r="Q1124" s="62"/>
      <c r="R1124" s="62"/>
      <c r="S1124" s="62"/>
      <c r="T1124" s="10">
        <f t="shared" si="1"/>
        <v>0</v>
      </c>
      <c r="U1124" s="62"/>
      <c r="V1124" s="62"/>
      <c r="W1124" s="62"/>
      <c r="X1124" s="62"/>
      <c r="Y1124" s="62"/>
      <c r="Z1124" s="62"/>
      <c r="AA1124" s="62"/>
      <c r="AB1124" s="62"/>
      <c r="AC1124" s="62"/>
      <c r="AD1124" s="62"/>
      <c r="AE1124" s="62"/>
      <c r="AF1124" s="62"/>
      <c r="AG1124" s="62"/>
      <c r="AH1124" s="62"/>
      <c r="AI1124" s="62"/>
      <c r="AJ1124" s="62"/>
      <c r="AK1124" s="62"/>
      <c r="AL1124" s="62"/>
      <c r="AM1124" s="62"/>
      <c r="AN1124" s="62"/>
      <c r="AO1124" s="62"/>
      <c r="AP1124" s="62"/>
      <c r="AQ1124" s="62"/>
    </row>
    <row r="1125">
      <c r="A1125" s="62"/>
      <c r="B1125" s="63"/>
      <c r="C1125" s="62"/>
      <c r="D1125" s="62"/>
      <c r="E1125" s="62"/>
      <c r="F1125" s="62"/>
      <c r="G1125" s="62"/>
      <c r="H1125" s="62"/>
      <c r="I1125" s="62"/>
      <c r="J1125" s="62"/>
      <c r="K1125" s="62"/>
      <c r="L1125" s="62"/>
      <c r="M1125" s="62"/>
      <c r="N1125" s="62"/>
      <c r="O1125" s="62"/>
      <c r="P1125" s="62"/>
      <c r="Q1125" s="62"/>
      <c r="R1125" s="62"/>
      <c r="S1125" s="62"/>
      <c r="T1125" s="10">
        <f t="shared" si="1"/>
        <v>0</v>
      </c>
      <c r="U1125" s="62"/>
      <c r="V1125" s="62"/>
      <c r="W1125" s="62"/>
      <c r="X1125" s="62"/>
      <c r="Y1125" s="62"/>
      <c r="Z1125" s="62"/>
      <c r="AA1125" s="62"/>
      <c r="AB1125" s="62"/>
      <c r="AC1125" s="62"/>
      <c r="AD1125" s="62"/>
      <c r="AE1125" s="62"/>
      <c r="AF1125" s="62"/>
      <c r="AG1125" s="62"/>
      <c r="AH1125" s="62"/>
      <c r="AI1125" s="62"/>
      <c r="AJ1125" s="62"/>
      <c r="AK1125" s="62"/>
      <c r="AL1125" s="62"/>
      <c r="AM1125" s="62"/>
      <c r="AN1125" s="62"/>
      <c r="AO1125" s="62"/>
      <c r="AP1125" s="62"/>
      <c r="AQ1125" s="62"/>
    </row>
    <row r="1126">
      <c r="A1126" s="62"/>
      <c r="B1126" s="63"/>
      <c r="C1126" s="62"/>
      <c r="D1126" s="62"/>
      <c r="E1126" s="62"/>
      <c r="F1126" s="62"/>
      <c r="G1126" s="62"/>
      <c r="H1126" s="62"/>
      <c r="I1126" s="62"/>
      <c r="J1126" s="62"/>
      <c r="K1126" s="62"/>
      <c r="L1126" s="62"/>
      <c r="M1126" s="62"/>
      <c r="N1126" s="62"/>
      <c r="O1126" s="62"/>
      <c r="P1126" s="62"/>
      <c r="Q1126" s="62"/>
      <c r="R1126" s="62"/>
      <c r="S1126" s="62"/>
      <c r="T1126" s="10">
        <f t="shared" si="1"/>
        <v>0</v>
      </c>
      <c r="U1126" s="62"/>
      <c r="V1126" s="62"/>
      <c r="W1126" s="62"/>
      <c r="X1126" s="62"/>
      <c r="Y1126" s="62"/>
      <c r="Z1126" s="62"/>
      <c r="AA1126" s="62"/>
      <c r="AB1126" s="62"/>
      <c r="AC1126" s="62"/>
      <c r="AD1126" s="62"/>
      <c r="AE1126" s="62"/>
      <c r="AF1126" s="62"/>
      <c r="AG1126" s="62"/>
      <c r="AH1126" s="62"/>
      <c r="AI1126" s="62"/>
      <c r="AJ1126" s="62"/>
      <c r="AK1126" s="62"/>
      <c r="AL1126" s="62"/>
      <c r="AM1126" s="62"/>
      <c r="AN1126" s="62"/>
      <c r="AO1126" s="62"/>
      <c r="AP1126" s="62"/>
      <c r="AQ1126" s="62"/>
    </row>
    <row r="1127">
      <c r="A1127" s="62"/>
      <c r="B1127" s="63"/>
      <c r="C1127" s="62"/>
      <c r="D1127" s="62"/>
      <c r="E1127" s="62"/>
      <c r="F1127" s="62"/>
      <c r="G1127" s="62"/>
      <c r="H1127" s="62"/>
      <c r="I1127" s="62"/>
      <c r="J1127" s="62"/>
      <c r="K1127" s="62"/>
      <c r="L1127" s="62"/>
      <c r="M1127" s="62"/>
      <c r="N1127" s="62"/>
      <c r="O1127" s="62"/>
      <c r="P1127" s="62"/>
      <c r="Q1127" s="62"/>
      <c r="R1127" s="62"/>
      <c r="S1127" s="62"/>
      <c r="T1127" s="10">
        <f t="shared" si="1"/>
        <v>0</v>
      </c>
      <c r="U1127" s="62"/>
      <c r="V1127" s="62"/>
      <c r="W1127" s="62"/>
      <c r="X1127" s="62"/>
      <c r="Y1127" s="62"/>
      <c r="Z1127" s="62"/>
      <c r="AA1127" s="62"/>
      <c r="AB1127" s="62"/>
      <c r="AC1127" s="62"/>
      <c r="AD1127" s="62"/>
      <c r="AE1127" s="62"/>
      <c r="AF1127" s="62"/>
      <c r="AG1127" s="62"/>
      <c r="AH1127" s="62"/>
      <c r="AI1127" s="62"/>
      <c r="AJ1127" s="62"/>
      <c r="AK1127" s="62"/>
      <c r="AL1127" s="62"/>
      <c r="AM1127" s="62"/>
      <c r="AN1127" s="62"/>
      <c r="AO1127" s="62"/>
      <c r="AP1127" s="62"/>
      <c r="AQ1127" s="62"/>
    </row>
    <row r="1128">
      <c r="A1128" s="62"/>
      <c r="B1128" s="63"/>
      <c r="C1128" s="62"/>
      <c r="D1128" s="62"/>
      <c r="E1128" s="62"/>
      <c r="F1128" s="62"/>
      <c r="G1128" s="62"/>
      <c r="H1128" s="62"/>
      <c r="I1128" s="62"/>
      <c r="J1128" s="62"/>
      <c r="K1128" s="62"/>
      <c r="L1128" s="62"/>
      <c r="M1128" s="62"/>
      <c r="N1128" s="62"/>
      <c r="O1128" s="62"/>
      <c r="P1128" s="62"/>
      <c r="Q1128" s="62"/>
      <c r="R1128" s="62"/>
      <c r="S1128" s="62"/>
      <c r="T1128" s="10">
        <f t="shared" si="1"/>
        <v>0</v>
      </c>
      <c r="U1128" s="62"/>
      <c r="V1128" s="62"/>
      <c r="W1128" s="62"/>
      <c r="X1128" s="62"/>
      <c r="Y1128" s="62"/>
      <c r="Z1128" s="62"/>
      <c r="AA1128" s="62"/>
      <c r="AB1128" s="62"/>
      <c r="AC1128" s="62"/>
      <c r="AD1128" s="62"/>
      <c r="AE1128" s="62"/>
      <c r="AF1128" s="62"/>
      <c r="AG1128" s="62"/>
      <c r="AH1128" s="62"/>
      <c r="AI1128" s="62"/>
      <c r="AJ1128" s="62"/>
      <c r="AK1128" s="62"/>
      <c r="AL1128" s="62"/>
      <c r="AM1128" s="62"/>
      <c r="AN1128" s="62"/>
      <c r="AO1128" s="62"/>
      <c r="AP1128" s="62"/>
      <c r="AQ1128" s="62"/>
    </row>
    <row r="1129">
      <c r="A1129" s="62"/>
      <c r="B1129" s="63"/>
      <c r="C1129" s="62"/>
      <c r="D1129" s="62"/>
      <c r="E1129" s="62"/>
      <c r="F1129" s="62"/>
      <c r="G1129" s="62"/>
      <c r="H1129" s="62"/>
      <c r="I1129" s="62"/>
      <c r="J1129" s="62"/>
      <c r="K1129" s="62"/>
      <c r="L1129" s="62"/>
      <c r="M1129" s="62"/>
      <c r="N1129" s="62"/>
      <c r="O1129" s="62"/>
      <c r="P1129" s="62"/>
      <c r="Q1129" s="62"/>
      <c r="R1129" s="62"/>
      <c r="S1129" s="62"/>
      <c r="T1129" s="10">
        <f t="shared" si="1"/>
        <v>0</v>
      </c>
      <c r="U1129" s="62"/>
      <c r="V1129" s="62"/>
      <c r="W1129" s="62"/>
      <c r="X1129" s="62"/>
      <c r="Y1129" s="62"/>
      <c r="Z1129" s="62"/>
      <c r="AA1129" s="62"/>
      <c r="AB1129" s="62"/>
      <c r="AC1129" s="62"/>
      <c r="AD1129" s="62"/>
      <c r="AE1129" s="62"/>
      <c r="AF1129" s="62"/>
      <c r="AG1129" s="62"/>
      <c r="AH1129" s="62"/>
      <c r="AI1129" s="62"/>
      <c r="AJ1129" s="62"/>
      <c r="AK1129" s="62"/>
      <c r="AL1129" s="62"/>
      <c r="AM1129" s="62"/>
      <c r="AN1129" s="62"/>
      <c r="AO1129" s="62"/>
      <c r="AP1129" s="62"/>
      <c r="AQ1129" s="62"/>
    </row>
    <row r="1130">
      <c r="A1130" s="62"/>
      <c r="B1130" s="63"/>
      <c r="C1130" s="62"/>
      <c r="D1130" s="62"/>
      <c r="E1130" s="62"/>
      <c r="F1130" s="62"/>
      <c r="G1130" s="62"/>
      <c r="H1130" s="62"/>
      <c r="I1130" s="62"/>
      <c r="J1130" s="62"/>
      <c r="K1130" s="62"/>
      <c r="L1130" s="62"/>
      <c r="M1130" s="62"/>
      <c r="N1130" s="62"/>
      <c r="O1130" s="62"/>
      <c r="P1130" s="62"/>
      <c r="Q1130" s="62"/>
      <c r="R1130" s="62"/>
      <c r="S1130" s="62"/>
      <c r="T1130" s="10">
        <f t="shared" si="1"/>
        <v>0</v>
      </c>
      <c r="U1130" s="62"/>
      <c r="V1130" s="62"/>
      <c r="W1130" s="62"/>
      <c r="X1130" s="62"/>
      <c r="Y1130" s="62"/>
      <c r="Z1130" s="62"/>
      <c r="AA1130" s="62"/>
      <c r="AB1130" s="62"/>
      <c r="AC1130" s="62"/>
      <c r="AD1130" s="62"/>
      <c r="AE1130" s="62"/>
      <c r="AF1130" s="62"/>
      <c r="AG1130" s="62"/>
      <c r="AH1130" s="62"/>
      <c r="AI1130" s="62"/>
      <c r="AJ1130" s="62"/>
      <c r="AK1130" s="62"/>
      <c r="AL1130" s="62"/>
      <c r="AM1130" s="62"/>
      <c r="AN1130" s="62"/>
      <c r="AO1130" s="62"/>
      <c r="AP1130" s="62"/>
      <c r="AQ1130" s="62"/>
    </row>
    <row r="1131">
      <c r="A1131" s="62"/>
      <c r="B1131" s="63"/>
      <c r="C1131" s="62"/>
      <c r="D1131" s="62"/>
      <c r="E1131" s="62"/>
      <c r="F1131" s="62"/>
      <c r="G1131" s="62"/>
      <c r="H1131" s="62"/>
      <c r="I1131" s="62"/>
      <c r="J1131" s="62"/>
      <c r="K1131" s="62"/>
      <c r="L1131" s="62"/>
      <c r="M1131" s="62"/>
      <c r="N1131" s="62"/>
      <c r="O1131" s="62"/>
      <c r="P1131" s="62"/>
      <c r="Q1131" s="62"/>
      <c r="R1131" s="62"/>
      <c r="S1131" s="62"/>
      <c r="T1131" s="10">
        <f t="shared" si="1"/>
        <v>0</v>
      </c>
      <c r="U1131" s="62"/>
      <c r="V1131" s="62"/>
      <c r="W1131" s="62"/>
      <c r="X1131" s="62"/>
      <c r="Y1131" s="62"/>
      <c r="Z1131" s="62"/>
      <c r="AA1131" s="62"/>
      <c r="AB1131" s="62"/>
      <c r="AC1131" s="62"/>
      <c r="AD1131" s="62"/>
      <c r="AE1131" s="62"/>
      <c r="AF1131" s="62"/>
      <c r="AG1131" s="62"/>
      <c r="AH1131" s="62"/>
      <c r="AI1131" s="62"/>
      <c r="AJ1131" s="62"/>
      <c r="AK1131" s="62"/>
      <c r="AL1131" s="62"/>
      <c r="AM1131" s="62"/>
      <c r="AN1131" s="62"/>
      <c r="AO1131" s="62"/>
      <c r="AP1131" s="62"/>
      <c r="AQ1131" s="62"/>
    </row>
    <row r="1132">
      <c r="A1132" s="62"/>
      <c r="B1132" s="63"/>
      <c r="C1132" s="62"/>
      <c r="D1132" s="62"/>
      <c r="E1132" s="62"/>
      <c r="F1132" s="62"/>
      <c r="G1132" s="62"/>
      <c r="H1132" s="62"/>
      <c r="I1132" s="62"/>
      <c r="J1132" s="62"/>
      <c r="K1132" s="62"/>
      <c r="L1132" s="62"/>
      <c r="M1132" s="62"/>
      <c r="N1132" s="62"/>
      <c r="O1132" s="62"/>
      <c r="P1132" s="62"/>
      <c r="Q1132" s="62"/>
      <c r="R1132" s="62"/>
      <c r="S1132" s="62"/>
      <c r="T1132" s="10">
        <f t="shared" si="1"/>
        <v>0</v>
      </c>
      <c r="U1132" s="62"/>
      <c r="V1132" s="62"/>
      <c r="W1132" s="62"/>
      <c r="X1132" s="62"/>
      <c r="Y1132" s="62"/>
      <c r="Z1132" s="62"/>
      <c r="AA1132" s="62"/>
      <c r="AB1132" s="62"/>
      <c r="AC1132" s="62"/>
      <c r="AD1132" s="62"/>
      <c r="AE1132" s="62"/>
      <c r="AF1132" s="62"/>
      <c r="AG1132" s="62"/>
      <c r="AH1132" s="62"/>
      <c r="AI1132" s="62"/>
      <c r="AJ1132" s="62"/>
      <c r="AK1132" s="62"/>
      <c r="AL1132" s="62"/>
      <c r="AM1132" s="62"/>
      <c r="AN1132" s="62"/>
      <c r="AO1132" s="62"/>
      <c r="AP1132" s="62"/>
      <c r="AQ1132" s="62"/>
    </row>
    <row r="1133">
      <c r="A1133" s="62"/>
      <c r="B1133" s="63"/>
      <c r="C1133" s="62"/>
      <c r="D1133" s="62"/>
      <c r="E1133" s="62"/>
      <c r="F1133" s="62"/>
      <c r="G1133" s="62"/>
      <c r="H1133" s="62"/>
      <c r="I1133" s="62"/>
      <c r="J1133" s="62"/>
      <c r="K1133" s="62"/>
      <c r="L1133" s="62"/>
      <c r="M1133" s="62"/>
      <c r="N1133" s="62"/>
      <c r="O1133" s="62"/>
      <c r="P1133" s="62"/>
      <c r="Q1133" s="62"/>
      <c r="R1133" s="62"/>
      <c r="S1133" s="62"/>
      <c r="T1133" s="10">
        <f t="shared" si="1"/>
        <v>0</v>
      </c>
      <c r="U1133" s="62"/>
      <c r="V1133" s="62"/>
      <c r="W1133" s="62"/>
      <c r="X1133" s="62"/>
      <c r="Y1133" s="62"/>
      <c r="Z1133" s="62"/>
      <c r="AA1133" s="62"/>
      <c r="AB1133" s="62"/>
      <c r="AC1133" s="62"/>
      <c r="AD1133" s="62"/>
      <c r="AE1133" s="62"/>
      <c r="AF1133" s="62"/>
      <c r="AG1133" s="62"/>
      <c r="AH1133" s="62"/>
      <c r="AI1133" s="62"/>
      <c r="AJ1133" s="62"/>
      <c r="AK1133" s="62"/>
      <c r="AL1133" s="62"/>
      <c r="AM1133" s="62"/>
      <c r="AN1133" s="62"/>
      <c r="AO1133" s="62"/>
      <c r="AP1133" s="62"/>
      <c r="AQ1133" s="62"/>
    </row>
    <row r="1134">
      <c r="A1134" s="62"/>
      <c r="B1134" s="63"/>
      <c r="C1134" s="62"/>
      <c r="D1134" s="62"/>
      <c r="E1134" s="62"/>
      <c r="F1134" s="62"/>
      <c r="G1134" s="62"/>
      <c r="H1134" s="62"/>
      <c r="I1134" s="62"/>
      <c r="J1134" s="62"/>
      <c r="K1134" s="62"/>
      <c r="L1134" s="62"/>
      <c r="M1134" s="62"/>
      <c r="N1134" s="62"/>
      <c r="O1134" s="62"/>
      <c r="P1134" s="62"/>
      <c r="Q1134" s="62"/>
      <c r="R1134" s="62"/>
      <c r="S1134" s="62"/>
      <c r="T1134" s="10">
        <f t="shared" si="1"/>
        <v>0</v>
      </c>
      <c r="U1134" s="62"/>
      <c r="V1134" s="62"/>
      <c r="W1134" s="62"/>
      <c r="X1134" s="62"/>
      <c r="Y1134" s="62"/>
      <c r="Z1134" s="62"/>
      <c r="AA1134" s="62"/>
      <c r="AB1134" s="62"/>
      <c r="AC1134" s="62"/>
      <c r="AD1134" s="62"/>
      <c r="AE1134" s="62"/>
      <c r="AF1134" s="62"/>
      <c r="AG1134" s="62"/>
      <c r="AH1134" s="62"/>
      <c r="AI1134" s="62"/>
      <c r="AJ1134" s="62"/>
      <c r="AK1134" s="62"/>
      <c r="AL1134" s="62"/>
      <c r="AM1134" s="62"/>
      <c r="AN1134" s="62"/>
      <c r="AO1134" s="62"/>
      <c r="AP1134" s="62"/>
      <c r="AQ1134" s="62"/>
    </row>
    <row r="1135">
      <c r="A1135" s="62"/>
      <c r="B1135" s="63"/>
      <c r="C1135" s="62"/>
      <c r="D1135" s="62"/>
      <c r="E1135" s="62"/>
      <c r="F1135" s="62"/>
      <c r="G1135" s="62"/>
      <c r="H1135" s="62"/>
      <c r="I1135" s="62"/>
      <c r="J1135" s="62"/>
      <c r="K1135" s="62"/>
      <c r="L1135" s="62"/>
      <c r="M1135" s="62"/>
      <c r="N1135" s="62"/>
      <c r="O1135" s="62"/>
      <c r="P1135" s="62"/>
      <c r="Q1135" s="62"/>
      <c r="R1135" s="62"/>
      <c r="S1135" s="62"/>
      <c r="T1135" s="10">
        <f t="shared" si="1"/>
        <v>0</v>
      </c>
      <c r="U1135" s="62"/>
      <c r="V1135" s="62"/>
      <c r="W1135" s="62"/>
      <c r="X1135" s="62"/>
      <c r="Y1135" s="62"/>
      <c r="Z1135" s="62"/>
      <c r="AA1135" s="62"/>
      <c r="AB1135" s="62"/>
      <c r="AC1135" s="62"/>
      <c r="AD1135" s="62"/>
      <c r="AE1135" s="62"/>
      <c r="AF1135" s="62"/>
      <c r="AG1135" s="62"/>
      <c r="AH1135" s="62"/>
      <c r="AI1135" s="62"/>
      <c r="AJ1135" s="62"/>
      <c r="AK1135" s="62"/>
      <c r="AL1135" s="62"/>
      <c r="AM1135" s="62"/>
      <c r="AN1135" s="62"/>
      <c r="AO1135" s="62"/>
      <c r="AP1135" s="62"/>
      <c r="AQ1135" s="62"/>
    </row>
    <row r="1136">
      <c r="A1136" s="62"/>
      <c r="B1136" s="63"/>
      <c r="C1136" s="62"/>
      <c r="D1136" s="62"/>
      <c r="E1136" s="62"/>
      <c r="F1136" s="62"/>
      <c r="G1136" s="62"/>
      <c r="H1136" s="62"/>
      <c r="I1136" s="62"/>
      <c r="J1136" s="62"/>
      <c r="K1136" s="62"/>
      <c r="L1136" s="62"/>
      <c r="M1136" s="62"/>
      <c r="N1136" s="62"/>
      <c r="O1136" s="62"/>
      <c r="P1136" s="62"/>
      <c r="Q1136" s="62"/>
      <c r="R1136" s="62"/>
      <c r="S1136" s="62"/>
      <c r="T1136" s="10">
        <f t="shared" si="1"/>
        <v>0</v>
      </c>
      <c r="U1136" s="62"/>
      <c r="V1136" s="62"/>
      <c r="W1136" s="62"/>
      <c r="X1136" s="62"/>
      <c r="Y1136" s="62"/>
      <c r="Z1136" s="62"/>
      <c r="AA1136" s="62"/>
      <c r="AB1136" s="62"/>
      <c r="AC1136" s="62"/>
      <c r="AD1136" s="62"/>
      <c r="AE1136" s="62"/>
      <c r="AF1136" s="62"/>
      <c r="AG1136" s="62"/>
      <c r="AH1136" s="62"/>
      <c r="AI1136" s="62"/>
      <c r="AJ1136" s="62"/>
      <c r="AK1136" s="62"/>
      <c r="AL1136" s="62"/>
      <c r="AM1136" s="62"/>
      <c r="AN1136" s="62"/>
      <c r="AO1136" s="62"/>
      <c r="AP1136" s="62"/>
      <c r="AQ1136" s="62"/>
    </row>
    <row r="1137">
      <c r="A1137" s="62"/>
      <c r="B1137" s="63"/>
      <c r="C1137" s="62"/>
      <c r="D1137" s="62"/>
      <c r="E1137" s="62"/>
      <c r="F1137" s="62"/>
      <c r="G1137" s="62"/>
      <c r="H1137" s="62"/>
      <c r="I1137" s="62"/>
      <c r="J1137" s="62"/>
      <c r="K1137" s="62"/>
      <c r="L1137" s="62"/>
      <c r="M1137" s="62"/>
      <c r="N1137" s="62"/>
      <c r="O1137" s="62"/>
      <c r="P1137" s="62"/>
      <c r="Q1137" s="62"/>
      <c r="R1137" s="62"/>
      <c r="S1137" s="62"/>
      <c r="T1137" s="10">
        <f t="shared" si="1"/>
        <v>0</v>
      </c>
      <c r="U1137" s="62"/>
      <c r="V1137" s="62"/>
      <c r="W1137" s="62"/>
      <c r="X1137" s="62"/>
      <c r="Y1137" s="62"/>
      <c r="Z1137" s="62"/>
      <c r="AA1137" s="62"/>
      <c r="AB1137" s="62"/>
      <c r="AC1137" s="62"/>
      <c r="AD1137" s="62"/>
      <c r="AE1137" s="62"/>
      <c r="AF1137" s="62"/>
      <c r="AG1137" s="62"/>
      <c r="AH1137" s="62"/>
      <c r="AI1137" s="62"/>
      <c r="AJ1137" s="62"/>
      <c r="AK1137" s="62"/>
      <c r="AL1137" s="62"/>
      <c r="AM1137" s="62"/>
      <c r="AN1137" s="62"/>
      <c r="AO1137" s="62"/>
      <c r="AP1137" s="62"/>
      <c r="AQ1137" s="62"/>
    </row>
    <row r="1138">
      <c r="A1138" s="62"/>
      <c r="B1138" s="63"/>
      <c r="C1138" s="62"/>
      <c r="D1138" s="62"/>
      <c r="E1138" s="62"/>
      <c r="F1138" s="62"/>
      <c r="G1138" s="62"/>
      <c r="H1138" s="62"/>
      <c r="I1138" s="62"/>
      <c r="J1138" s="62"/>
      <c r="K1138" s="62"/>
      <c r="L1138" s="62"/>
      <c r="M1138" s="62"/>
      <c r="N1138" s="62"/>
      <c r="O1138" s="62"/>
      <c r="P1138" s="62"/>
      <c r="Q1138" s="62"/>
      <c r="R1138" s="62"/>
      <c r="S1138" s="62"/>
      <c r="T1138" s="10">
        <f t="shared" si="1"/>
        <v>0</v>
      </c>
      <c r="U1138" s="62"/>
      <c r="V1138" s="62"/>
      <c r="W1138" s="62"/>
      <c r="X1138" s="62"/>
      <c r="Y1138" s="62"/>
      <c r="Z1138" s="62"/>
      <c r="AA1138" s="62"/>
      <c r="AB1138" s="62"/>
      <c r="AC1138" s="62"/>
      <c r="AD1138" s="62"/>
      <c r="AE1138" s="62"/>
      <c r="AF1138" s="62"/>
      <c r="AG1138" s="62"/>
      <c r="AH1138" s="62"/>
      <c r="AI1138" s="62"/>
      <c r="AJ1138" s="62"/>
      <c r="AK1138" s="62"/>
      <c r="AL1138" s="62"/>
      <c r="AM1138" s="62"/>
      <c r="AN1138" s="62"/>
      <c r="AO1138" s="62"/>
      <c r="AP1138" s="62"/>
      <c r="AQ1138" s="62"/>
    </row>
    <row r="1139">
      <c r="A1139" s="62"/>
      <c r="B1139" s="63"/>
      <c r="C1139" s="62"/>
      <c r="D1139" s="62"/>
      <c r="E1139" s="62"/>
      <c r="F1139" s="62"/>
      <c r="G1139" s="62"/>
      <c r="H1139" s="62"/>
      <c r="I1139" s="62"/>
      <c r="J1139" s="62"/>
      <c r="K1139" s="62"/>
      <c r="L1139" s="62"/>
      <c r="M1139" s="62"/>
      <c r="N1139" s="62"/>
      <c r="O1139" s="62"/>
      <c r="P1139" s="62"/>
      <c r="Q1139" s="62"/>
      <c r="R1139" s="62"/>
      <c r="S1139" s="62"/>
      <c r="T1139" s="10">
        <f t="shared" si="1"/>
        <v>0</v>
      </c>
      <c r="U1139" s="62"/>
      <c r="V1139" s="62"/>
      <c r="W1139" s="62"/>
      <c r="X1139" s="62"/>
      <c r="Y1139" s="62"/>
      <c r="Z1139" s="62"/>
      <c r="AA1139" s="62"/>
      <c r="AB1139" s="62"/>
      <c r="AC1139" s="62"/>
      <c r="AD1139" s="62"/>
      <c r="AE1139" s="62"/>
      <c r="AF1139" s="62"/>
      <c r="AG1139" s="62"/>
      <c r="AH1139" s="62"/>
      <c r="AI1139" s="62"/>
      <c r="AJ1139" s="62"/>
      <c r="AK1139" s="62"/>
      <c r="AL1139" s="62"/>
      <c r="AM1139" s="62"/>
      <c r="AN1139" s="62"/>
      <c r="AO1139" s="62"/>
      <c r="AP1139" s="62"/>
      <c r="AQ1139" s="62"/>
    </row>
    <row r="1140">
      <c r="A1140" s="62"/>
      <c r="B1140" s="63"/>
      <c r="C1140" s="62"/>
      <c r="D1140" s="62"/>
      <c r="E1140" s="62"/>
      <c r="F1140" s="62"/>
      <c r="G1140" s="62"/>
      <c r="H1140" s="62"/>
      <c r="I1140" s="62"/>
      <c r="J1140" s="62"/>
      <c r="K1140" s="62"/>
      <c r="L1140" s="62"/>
      <c r="M1140" s="62"/>
      <c r="N1140" s="62"/>
      <c r="O1140" s="62"/>
      <c r="P1140" s="62"/>
      <c r="Q1140" s="62"/>
      <c r="R1140" s="62"/>
      <c r="S1140" s="62"/>
      <c r="T1140" s="10">
        <f t="shared" si="1"/>
        <v>0</v>
      </c>
      <c r="U1140" s="62"/>
      <c r="V1140" s="62"/>
      <c r="W1140" s="62"/>
      <c r="X1140" s="62"/>
      <c r="Y1140" s="62"/>
      <c r="Z1140" s="62"/>
      <c r="AA1140" s="62"/>
      <c r="AB1140" s="62"/>
      <c r="AC1140" s="62"/>
      <c r="AD1140" s="62"/>
      <c r="AE1140" s="62"/>
      <c r="AF1140" s="62"/>
      <c r="AG1140" s="62"/>
      <c r="AH1140" s="62"/>
      <c r="AI1140" s="62"/>
      <c r="AJ1140" s="62"/>
      <c r="AK1140" s="62"/>
      <c r="AL1140" s="62"/>
      <c r="AM1140" s="62"/>
      <c r="AN1140" s="62"/>
      <c r="AO1140" s="62"/>
      <c r="AP1140" s="62"/>
      <c r="AQ1140" s="62"/>
    </row>
    <row r="1141">
      <c r="A1141" s="62"/>
      <c r="B1141" s="63"/>
      <c r="C1141" s="62"/>
      <c r="D1141" s="62"/>
      <c r="E1141" s="62"/>
      <c r="F1141" s="62"/>
      <c r="G1141" s="62"/>
      <c r="H1141" s="62"/>
      <c r="I1141" s="62"/>
      <c r="J1141" s="62"/>
      <c r="K1141" s="62"/>
      <c r="L1141" s="62"/>
      <c r="M1141" s="62"/>
      <c r="N1141" s="62"/>
      <c r="O1141" s="62"/>
      <c r="P1141" s="62"/>
      <c r="Q1141" s="62"/>
      <c r="R1141" s="62"/>
      <c r="S1141" s="62"/>
      <c r="T1141" s="10">
        <f t="shared" si="1"/>
        <v>0</v>
      </c>
      <c r="U1141" s="62"/>
      <c r="V1141" s="62"/>
      <c r="W1141" s="62"/>
      <c r="X1141" s="62"/>
      <c r="Y1141" s="62"/>
      <c r="Z1141" s="62"/>
      <c r="AA1141" s="62"/>
      <c r="AB1141" s="62"/>
      <c r="AC1141" s="62"/>
      <c r="AD1141" s="62"/>
      <c r="AE1141" s="62"/>
      <c r="AF1141" s="62"/>
      <c r="AG1141" s="62"/>
      <c r="AH1141" s="62"/>
      <c r="AI1141" s="62"/>
      <c r="AJ1141" s="62"/>
      <c r="AK1141" s="62"/>
      <c r="AL1141" s="62"/>
      <c r="AM1141" s="62"/>
      <c r="AN1141" s="62"/>
      <c r="AO1141" s="62"/>
      <c r="AP1141" s="62"/>
      <c r="AQ1141" s="62"/>
    </row>
    <row r="1142">
      <c r="A1142" s="62"/>
      <c r="B1142" s="63"/>
      <c r="C1142" s="62"/>
      <c r="D1142" s="62"/>
      <c r="E1142" s="62"/>
      <c r="F1142" s="62"/>
      <c r="G1142" s="62"/>
      <c r="H1142" s="62"/>
      <c r="I1142" s="62"/>
      <c r="J1142" s="62"/>
      <c r="K1142" s="62"/>
      <c r="L1142" s="62"/>
      <c r="M1142" s="62"/>
      <c r="N1142" s="62"/>
      <c r="O1142" s="62"/>
      <c r="P1142" s="62"/>
      <c r="Q1142" s="62"/>
      <c r="R1142" s="62"/>
      <c r="S1142" s="62"/>
      <c r="T1142" s="10">
        <f t="shared" si="1"/>
        <v>0</v>
      </c>
      <c r="U1142" s="62"/>
      <c r="V1142" s="62"/>
      <c r="W1142" s="62"/>
      <c r="X1142" s="62"/>
      <c r="Y1142" s="62"/>
      <c r="Z1142" s="62"/>
      <c r="AA1142" s="62"/>
      <c r="AB1142" s="62"/>
      <c r="AC1142" s="62"/>
      <c r="AD1142" s="62"/>
      <c r="AE1142" s="62"/>
      <c r="AF1142" s="62"/>
      <c r="AG1142" s="62"/>
      <c r="AH1142" s="62"/>
      <c r="AI1142" s="62"/>
      <c r="AJ1142" s="62"/>
      <c r="AK1142" s="62"/>
      <c r="AL1142" s="62"/>
      <c r="AM1142" s="62"/>
      <c r="AN1142" s="62"/>
      <c r="AO1142" s="62"/>
      <c r="AP1142" s="62"/>
      <c r="AQ1142" s="62"/>
    </row>
    <row r="1143">
      <c r="A1143" s="62"/>
      <c r="B1143" s="63"/>
      <c r="C1143" s="62"/>
      <c r="D1143" s="62"/>
      <c r="E1143" s="62"/>
      <c r="F1143" s="62"/>
      <c r="G1143" s="62"/>
      <c r="H1143" s="62"/>
      <c r="I1143" s="62"/>
      <c r="J1143" s="62"/>
      <c r="K1143" s="62"/>
      <c r="L1143" s="62"/>
      <c r="M1143" s="62"/>
      <c r="N1143" s="62"/>
      <c r="O1143" s="62"/>
      <c r="P1143" s="62"/>
      <c r="Q1143" s="62"/>
      <c r="R1143" s="62"/>
      <c r="S1143" s="62"/>
      <c r="T1143" s="10">
        <f t="shared" si="1"/>
        <v>0</v>
      </c>
      <c r="U1143" s="62"/>
      <c r="V1143" s="62"/>
      <c r="W1143" s="62"/>
      <c r="X1143" s="62"/>
      <c r="Y1143" s="62"/>
      <c r="Z1143" s="62"/>
      <c r="AA1143" s="62"/>
      <c r="AB1143" s="62"/>
      <c r="AC1143" s="62"/>
      <c r="AD1143" s="62"/>
      <c r="AE1143" s="62"/>
      <c r="AF1143" s="62"/>
      <c r="AG1143" s="62"/>
      <c r="AH1143" s="62"/>
      <c r="AI1143" s="62"/>
      <c r="AJ1143" s="62"/>
      <c r="AK1143" s="62"/>
      <c r="AL1143" s="62"/>
      <c r="AM1143" s="62"/>
      <c r="AN1143" s="62"/>
      <c r="AO1143" s="62"/>
      <c r="AP1143" s="62"/>
      <c r="AQ1143" s="62"/>
    </row>
    <row r="1144">
      <c r="A1144" s="62"/>
      <c r="B1144" s="63"/>
      <c r="C1144" s="62"/>
      <c r="D1144" s="62"/>
      <c r="E1144" s="62"/>
      <c r="F1144" s="62"/>
      <c r="G1144" s="62"/>
      <c r="H1144" s="62"/>
      <c r="I1144" s="62"/>
      <c r="J1144" s="62"/>
      <c r="K1144" s="62"/>
      <c r="L1144" s="62"/>
      <c r="M1144" s="62"/>
      <c r="N1144" s="62"/>
      <c r="O1144" s="62"/>
      <c r="P1144" s="62"/>
      <c r="Q1144" s="62"/>
      <c r="R1144" s="62"/>
      <c r="S1144" s="62"/>
      <c r="T1144" s="10">
        <f t="shared" si="1"/>
        <v>0</v>
      </c>
      <c r="U1144" s="62"/>
      <c r="V1144" s="62"/>
      <c r="W1144" s="62"/>
      <c r="X1144" s="62"/>
      <c r="Y1144" s="62"/>
      <c r="Z1144" s="62"/>
      <c r="AA1144" s="62"/>
      <c r="AB1144" s="62"/>
      <c r="AC1144" s="62"/>
      <c r="AD1144" s="62"/>
      <c r="AE1144" s="62"/>
      <c r="AF1144" s="62"/>
      <c r="AG1144" s="62"/>
      <c r="AH1144" s="62"/>
      <c r="AI1144" s="62"/>
      <c r="AJ1144" s="62"/>
      <c r="AK1144" s="62"/>
      <c r="AL1144" s="62"/>
      <c r="AM1144" s="62"/>
      <c r="AN1144" s="62"/>
      <c r="AO1144" s="62"/>
      <c r="AP1144" s="62"/>
      <c r="AQ1144" s="62"/>
    </row>
    <row r="1145">
      <c r="A1145" s="62"/>
      <c r="B1145" s="63"/>
      <c r="C1145" s="62"/>
      <c r="D1145" s="62"/>
      <c r="E1145" s="62"/>
      <c r="F1145" s="62"/>
      <c r="G1145" s="62"/>
      <c r="H1145" s="62"/>
      <c r="I1145" s="62"/>
      <c r="J1145" s="62"/>
      <c r="K1145" s="62"/>
      <c r="L1145" s="62"/>
      <c r="M1145" s="62"/>
      <c r="N1145" s="62"/>
      <c r="O1145" s="62"/>
      <c r="P1145" s="62"/>
      <c r="Q1145" s="62"/>
      <c r="R1145" s="62"/>
      <c r="S1145" s="62"/>
      <c r="T1145" s="10">
        <f t="shared" si="1"/>
        <v>0</v>
      </c>
      <c r="U1145" s="62"/>
      <c r="V1145" s="62"/>
      <c r="W1145" s="62"/>
      <c r="X1145" s="62"/>
      <c r="Y1145" s="62"/>
      <c r="Z1145" s="62"/>
      <c r="AA1145" s="62"/>
      <c r="AB1145" s="62"/>
      <c r="AC1145" s="62"/>
      <c r="AD1145" s="62"/>
      <c r="AE1145" s="62"/>
      <c r="AF1145" s="62"/>
      <c r="AG1145" s="62"/>
      <c r="AH1145" s="62"/>
      <c r="AI1145" s="62"/>
      <c r="AJ1145" s="62"/>
      <c r="AK1145" s="62"/>
      <c r="AL1145" s="62"/>
      <c r="AM1145" s="62"/>
      <c r="AN1145" s="62"/>
      <c r="AO1145" s="62"/>
      <c r="AP1145" s="62"/>
      <c r="AQ1145" s="62"/>
    </row>
    <row r="1146">
      <c r="A1146" s="62"/>
      <c r="B1146" s="63"/>
      <c r="C1146" s="62"/>
      <c r="D1146" s="62"/>
      <c r="E1146" s="62"/>
      <c r="F1146" s="62"/>
      <c r="G1146" s="62"/>
      <c r="H1146" s="62"/>
      <c r="I1146" s="62"/>
      <c r="J1146" s="62"/>
      <c r="K1146" s="62"/>
      <c r="L1146" s="62"/>
      <c r="M1146" s="62"/>
      <c r="N1146" s="62"/>
      <c r="O1146" s="62"/>
      <c r="P1146" s="62"/>
      <c r="Q1146" s="62"/>
      <c r="R1146" s="62"/>
      <c r="S1146" s="62"/>
      <c r="T1146" s="10">
        <f t="shared" si="1"/>
        <v>0</v>
      </c>
      <c r="U1146" s="62"/>
      <c r="V1146" s="62"/>
      <c r="W1146" s="62"/>
      <c r="X1146" s="62"/>
      <c r="Y1146" s="62"/>
      <c r="Z1146" s="62"/>
      <c r="AA1146" s="62"/>
      <c r="AB1146" s="62"/>
      <c r="AC1146" s="62"/>
      <c r="AD1146" s="62"/>
      <c r="AE1146" s="62"/>
      <c r="AF1146" s="62"/>
      <c r="AG1146" s="62"/>
      <c r="AH1146" s="62"/>
      <c r="AI1146" s="62"/>
      <c r="AJ1146" s="62"/>
      <c r="AK1146" s="62"/>
      <c r="AL1146" s="62"/>
      <c r="AM1146" s="62"/>
      <c r="AN1146" s="62"/>
      <c r="AO1146" s="62"/>
      <c r="AP1146" s="62"/>
      <c r="AQ1146" s="62"/>
    </row>
    <row r="1147">
      <c r="A1147" s="62"/>
      <c r="B1147" s="63"/>
      <c r="C1147" s="62"/>
      <c r="D1147" s="62"/>
      <c r="E1147" s="62"/>
      <c r="F1147" s="62"/>
      <c r="G1147" s="62"/>
      <c r="H1147" s="62"/>
      <c r="I1147" s="62"/>
      <c r="J1147" s="62"/>
      <c r="K1147" s="62"/>
      <c r="L1147" s="62"/>
      <c r="M1147" s="62"/>
      <c r="N1147" s="62"/>
      <c r="O1147" s="62"/>
      <c r="P1147" s="62"/>
      <c r="Q1147" s="62"/>
      <c r="R1147" s="62"/>
      <c r="S1147" s="62"/>
      <c r="T1147" s="10">
        <f t="shared" si="1"/>
        <v>0</v>
      </c>
      <c r="U1147" s="62"/>
      <c r="V1147" s="62"/>
      <c r="W1147" s="62"/>
      <c r="X1147" s="62"/>
      <c r="Y1147" s="62"/>
      <c r="Z1147" s="62"/>
      <c r="AA1147" s="62"/>
      <c r="AB1147" s="62"/>
      <c r="AC1147" s="62"/>
      <c r="AD1147" s="62"/>
      <c r="AE1147" s="62"/>
      <c r="AF1147" s="62"/>
      <c r="AG1147" s="62"/>
      <c r="AH1147" s="62"/>
      <c r="AI1147" s="62"/>
      <c r="AJ1147" s="62"/>
      <c r="AK1147" s="62"/>
      <c r="AL1147" s="62"/>
      <c r="AM1147" s="62"/>
      <c r="AN1147" s="62"/>
      <c r="AO1147" s="62"/>
      <c r="AP1147" s="62"/>
      <c r="AQ1147" s="62"/>
    </row>
    <row r="1148">
      <c r="A1148" s="62"/>
      <c r="B1148" s="63"/>
      <c r="C1148" s="62"/>
      <c r="D1148" s="62"/>
      <c r="E1148" s="62"/>
      <c r="F1148" s="62"/>
      <c r="G1148" s="62"/>
      <c r="H1148" s="62"/>
      <c r="I1148" s="62"/>
      <c r="J1148" s="62"/>
      <c r="K1148" s="62"/>
      <c r="L1148" s="62"/>
      <c r="M1148" s="62"/>
      <c r="N1148" s="62"/>
      <c r="O1148" s="62"/>
      <c r="P1148" s="62"/>
      <c r="Q1148" s="62"/>
      <c r="R1148" s="62"/>
      <c r="S1148" s="62"/>
      <c r="T1148" s="10">
        <f t="shared" si="1"/>
        <v>0</v>
      </c>
      <c r="U1148" s="62"/>
      <c r="V1148" s="62"/>
      <c r="W1148" s="62"/>
      <c r="X1148" s="62"/>
      <c r="Y1148" s="62"/>
      <c r="Z1148" s="62"/>
      <c r="AA1148" s="62"/>
      <c r="AB1148" s="62"/>
      <c r="AC1148" s="62"/>
      <c r="AD1148" s="62"/>
      <c r="AE1148" s="62"/>
      <c r="AF1148" s="62"/>
      <c r="AG1148" s="62"/>
      <c r="AH1148" s="62"/>
      <c r="AI1148" s="62"/>
      <c r="AJ1148" s="62"/>
      <c r="AK1148" s="62"/>
      <c r="AL1148" s="62"/>
      <c r="AM1148" s="62"/>
      <c r="AN1148" s="62"/>
      <c r="AO1148" s="62"/>
      <c r="AP1148" s="62"/>
      <c r="AQ1148" s="62"/>
    </row>
    <row r="1149">
      <c r="A1149" s="62"/>
      <c r="B1149" s="63"/>
      <c r="C1149" s="62"/>
      <c r="D1149" s="62"/>
      <c r="E1149" s="62"/>
      <c r="F1149" s="62"/>
      <c r="G1149" s="62"/>
      <c r="H1149" s="62"/>
      <c r="I1149" s="62"/>
      <c r="J1149" s="62"/>
      <c r="K1149" s="62"/>
      <c r="L1149" s="62"/>
      <c r="M1149" s="62"/>
      <c r="N1149" s="62"/>
      <c r="O1149" s="62"/>
      <c r="P1149" s="62"/>
      <c r="Q1149" s="62"/>
      <c r="R1149" s="62"/>
      <c r="S1149" s="62"/>
      <c r="T1149" s="10">
        <f t="shared" si="1"/>
        <v>0</v>
      </c>
      <c r="U1149" s="62"/>
      <c r="V1149" s="62"/>
      <c r="W1149" s="62"/>
      <c r="X1149" s="62"/>
      <c r="Y1149" s="62"/>
      <c r="Z1149" s="62"/>
      <c r="AA1149" s="62"/>
      <c r="AB1149" s="62"/>
      <c r="AC1149" s="62"/>
      <c r="AD1149" s="62"/>
      <c r="AE1149" s="62"/>
      <c r="AF1149" s="62"/>
      <c r="AG1149" s="62"/>
      <c r="AH1149" s="62"/>
      <c r="AI1149" s="62"/>
      <c r="AJ1149" s="62"/>
      <c r="AK1149" s="62"/>
      <c r="AL1149" s="62"/>
      <c r="AM1149" s="62"/>
      <c r="AN1149" s="62"/>
      <c r="AO1149" s="62"/>
      <c r="AP1149" s="62"/>
      <c r="AQ1149" s="62"/>
    </row>
    <row r="1150">
      <c r="A1150" s="62"/>
      <c r="B1150" s="63"/>
      <c r="C1150" s="62"/>
      <c r="D1150" s="62"/>
      <c r="E1150" s="62"/>
      <c r="F1150" s="62"/>
      <c r="G1150" s="62"/>
      <c r="H1150" s="62"/>
      <c r="I1150" s="62"/>
      <c r="J1150" s="62"/>
      <c r="K1150" s="62"/>
      <c r="L1150" s="62"/>
      <c r="M1150" s="62"/>
      <c r="N1150" s="62"/>
      <c r="O1150" s="62"/>
      <c r="P1150" s="62"/>
      <c r="Q1150" s="62"/>
      <c r="R1150" s="62"/>
      <c r="S1150" s="62"/>
      <c r="T1150" s="10">
        <f t="shared" si="1"/>
        <v>0</v>
      </c>
      <c r="U1150" s="62"/>
      <c r="V1150" s="62"/>
      <c r="W1150" s="62"/>
      <c r="X1150" s="62"/>
      <c r="Y1150" s="62"/>
      <c r="Z1150" s="62"/>
      <c r="AA1150" s="62"/>
      <c r="AB1150" s="62"/>
      <c r="AC1150" s="62"/>
      <c r="AD1150" s="62"/>
      <c r="AE1150" s="62"/>
      <c r="AF1150" s="62"/>
      <c r="AG1150" s="62"/>
      <c r="AH1150" s="62"/>
      <c r="AI1150" s="62"/>
      <c r="AJ1150" s="62"/>
      <c r="AK1150" s="62"/>
      <c r="AL1150" s="62"/>
      <c r="AM1150" s="62"/>
      <c r="AN1150" s="62"/>
      <c r="AO1150" s="62"/>
      <c r="AP1150" s="62"/>
      <c r="AQ1150" s="62"/>
    </row>
    <row r="1151">
      <c r="A1151" s="62"/>
      <c r="B1151" s="63"/>
      <c r="C1151" s="62"/>
      <c r="D1151" s="62"/>
      <c r="E1151" s="62"/>
      <c r="F1151" s="62"/>
      <c r="G1151" s="62"/>
      <c r="H1151" s="62"/>
      <c r="I1151" s="62"/>
      <c r="J1151" s="62"/>
      <c r="K1151" s="62"/>
      <c r="L1151" s="62"/>
      <c r="M1151" s="62"/>
      <c r="N1151" s="62"/>
      <c r="O1151" s="62"/>
      <c r="P1151" s="62"/>
      <c r="Q1151" s="62"/>
      <c r="R1151" s="62"/>
      <c r="S1151" s="62"/>
      <c r="T1151" s="10">
        <f t="shared" si="1"/>
        <v>0</v>
      </c>
      <c r="U1151" s="62"/>
      <c r="V1151" s="62"/>
      <c r="W1151" s="62"/>
      <c r="X1151" s="62"/>
      <c r="Y1151" s="62"/>
      <c r="Z1151" s="62"/>
      <c r="AA1151" s="62"/>
      <c r="AB1151" s="62"/>
      <c r="AC1151" s="62"/>
      <c r="AD1151" s="62"/>
      <c r="AE1151" s="62"/>
      <c r="AF1151" s="62"/>
      <c r="AG1151" s="62"/>
      <c r="AH1151" s="62"/>
      <c r="AI1151" s="62"/>
      <c r="AJ1151" s="62"/>
      <c r="AK1151" s="62"/>
      <c r="AL1151" s="62"/>
      <c r="AM1151" s="62"/>
      <c r="AN1151" s="62"/>
      <c r="AO1151" s="62"/>
      <c r="AP1151" s="62"/>
      <c r="AQ1151" s="62"/>
    </row>
    <row r="1152">
      <c r="A1152" s="62"/>
      <c r="B1152" s="63"/>
      <c r="C1152" s="62"/>
      <c r="D1152" s="62"/>
      <c r="E1152" s="62"/>
      <c r="F1152" s="62"/>
      <c r="G1152" s="62"/>
      <c r="H1152" s="62"/>
      <c r="I1152" s="62"/>
      <c r="J1152" s="62"/>
      <c r="K1152" s="62"/>
      <c r="L1152" s="62"/>
      <c r="M1152" s="62"/>
      <c r="N1152" s="62"/>
      <c r="O1152" s="62"/>
      <c r="P1152" s="62"/>
      <c r="Q1152" s="62"/>
      <c r="R1152" s="62"/>
      <c r="S1152" s="62"/>
      <c r="T1152" s="10">
        <f t="shared" si="1"/>
        <v>0</v>
      </c>
      <c r="U1152" s="62"/>
      <c r="V1152" s="62"/>
      <c r="W1152" s="62"/>
      <c r="X1152" s="62"/>
      <c r="Y1152" s="62"/>
      <c r="Z1152" s="62"/>
      <c r="AA1152" s="62"/>
      <c r="AB1152" s="62"/>
      <c r="AC1152" s="62"/>
      <c r="AD1152" s="62"/>
      <c r="AE1152" s="62"/>
      <c r="AF1152" s="62"/>
      <c r="AG1152" s="62"/>
      <c r="AH1152" s="62"/>
      <c r="AI1152" s="62"/>
      <c r="AJ1152" s="62"/>
      <c r="AK1152" s="62"/>
      <c r="AL1152" s="62"/>
      <c r="AM1152" s="62"/>
      <c r="AN1152" s="62"/>
      <c r="AO1152" s="62"/>
      <c r="AP1152" s="62"/>
      <c r="AQ1152" s="62"/>
    </row>
    <row r="1153">
      <c r="A1153" s="62"/>
      <c r="B1153" s="63"/>
      <c r="C1153" s="62"/>
      <c r="D1153" s="62"/>
      <c r="E1153" s="62"/>
      <c r="F1153" s="62"/>
      <c r="G1153" s="62"/>
      <c r="H1153" s="62"/>
      <c r="I1153" s="62"/>
      <c r="J1153" s="62"/>
      <c r="K1153" s="62"/>
      <c r="L1153" s="62"/>
      <c r="M1153" s="62"/>
      <c r="N1153" s="62"/>
      <c r="O1153" s="62"/>
      <c r="P1153" s="62"/>
      <c r="Q1153" s="62"/>
      <c r="R1153" s="62"/>
      <c r="S1153" s="62"/>
      <c r="T1153" s="10">
        <f t="shared" si="1"/>
        <v>0</v>
      </c>
      <c r="U1153" s="62"/>
      <c r="V1153" s="62"/>
      <c r="W1153" s="62"/>
      <c r="X1153" s="62"/>
      <c r="Y1153" s="62"/>
      <c r="Z1153" s="62"/>
      <c r="AA1153" s="62"/>
      <c r="AB1153" s="62"/>
      <c r="AC1153" s="62"/>
      <c r="AD1153" s="62"/>
      <c r="AE1153" s="62"/>
      <c r="AF1153" s="62"/>
      <c r="AG1153" s="62"/>
      <c r="AH1153" s="62"/>
      <c r="AI1153" s="62"/>
      <c r="AJ1153" s="62"/>
      <c r="AK1153" s="62"/>
      <c r="AL1153" s="62"/>
      <c r="AM1153" s="62"/>
      <c r="AN1153" s="62"/>
      <c r="AO1153" s="62"/>
      <c r="AP1153" s="62"/>
      <c r="AQ1153" s="62"/>
    </row>
    <row r="1154">
      <c r="A1154" s="62"/>
      <c r="B1154" s="63"/>
      <c r="C1154" s="62"/>
      <c r="D1154" s="62"/>
      <c r="E1154" s="62"/>
      <c r="F1154" s="62"/>
      <c r="G1154" s="62"/>
      <c r="H1154" s="62"/>
      <c r="I1154" s="62"/>
      <c r="J1154" s="62"/>
      <c r="K1154" s="62"/>
      <c r="L1154" s="62"/>
      <c r="M1154" s="62"/>
      <c r="N1154" s="62"/>
      <c r="O1154" s="62"/>
      <c r="P1154" s="62"/>
      <c r="Q1154" s="62"/>
      <c r="R1154" s="62"/>
      <c r="S1154" s="62"/>
      <c r="T1154" s="10">
        <f t="shared" si="1"/>
        <v>0</v>
      </c>
      <c r="U1154" s="62"/>
      <c r="V1154" s="62"/>
      <c r="W1154" s="62"/>
      <c r="X1154" s="62"/>
      <c r="Y1154" s="62"/>
      <c r="Z1154" s="62"/>
      <c r="AA1154" s="62"/>
      <c r="AB1154" s="62"/>
      <c r="AC1154" s="62"/>
      <c r="AD1154" s="62"/>
      <c r="AE1154" s="62"/>
      <c r="AF1154" s="62"/>
      <c r="AG1154" s="62"/>
      <c r="AH1154" s="62"/>
      <c r="AI1154" s="62"/>
      <c r="AJ1154" s="62"/>
      <c r="AK1154" s="62"/>
      <c r="AL1154" s="62"/>
      <c r="AM1154" s="62"/>
      <c r="AN1154" s="62"/>
      <c r="AO1154" s="62"/>
      <c r="AP1154" s="62"/>
      <c r="AQ1154" s="62"/>
    </row>
    <row r="1155">
      <c r="A1155" s="62"/>
      <c r="B1155" s="63"/>
      <c r="C1155" s="62"/>
      <c r="D1155" s="62"/>
      <c r="E1155" s="62"/>
      <c r="F1155" s="62"/>
      <c r="G1155" s="62"/>
      <c r="H1155" s="62"/>
      <c r="I1155" s="62"/>
      <c r="J1155" s="62"/>
      <c r="K1155" s="62"/>
      <c r="L1155" s="62"/>
      <c r="M1155" s="62"/>
      <c r="N1155" s="62"/>
      <c r="O1155" s="62"/>
      <c r="P1155" s="62"/>
      <c r="Q1155" s="62"/>
      <c r="R1155" s="62"/>
      <c r="S1155" s="62"/>
      <c r="T1155" s="10">
        <f t="shared" si="1"/>
        <v>0</v>
      </c>
      <c r="U1155" s="62"/>
      <c r="V1155" s="62"/>
      <c r="W1155" s="62"/>
      <c r="X1155" s="62"/>
      <c r="Y1155" s="62"/>
      <c r="Z1155" s="62"/>
      <c r="AA1155" s="62"/>
      <c r="AB1155" s="62"/>
      <c r="AC1155" s="62"/>
      <c r="AD1155" s="62"/>
      <c r="AE1155" s="62"/>
      <c r="AF1155" s="62"/>
      <c r="AG1155" s="62"/>
      <c r="AH1155" s="62"/>
      <c r="AI1155" s="62"/>
      <c r="AJ1155" s="62"/>
      <c r="AK1155" s="62"/>
      <c r="AL1155" s="62"/>
      <c r="AM1155" s="62"/>
      <c r="AN1155" s="62"/>
      <c r="AO1155" s="62"/>
      <c r="AP1155" s="62"/>
      <c r="AQ1155" s="62"/>
    </row>
    <row r="1156">
      <c r="A1156" s="62"/>
      <c r="B1156" s="63"/>
      <c r="C1156" s="62"/>
      <c r="D1156" s="62"/>
      <c r="E1156" s="62"/>
      <c r="F1156" s="62"/>
      <c r="G1156" s="62"/>
      <c r="H1156" s="62"/>
      <c r="I1156" s="62"/>
      <c r="J1156" s="62"/>
      <c r="K1156" s="62"/>
      <c r="L1156" s="62"/>
      <c r="M1156" s="62"/>
      <c r="N1156" s="62"/>
      <c r="O1156" s="62"/>
      <c r="P1156" s="62"/>
      <c r="Q1156" s="62"/>
      <c r="R1156" s="62"/>
      <c r="S1156" s="62"/>
      <c r="T1156" s="10">
        <f t="shared" si="1"/>
        <v>0</v>
      </c>
      <c r="U1156" s="62"/>
      <c r="V1156" s="62"/>
      <c r="W1156" s="62"/>
      <c r="X1156" s="62"/>
      <c r="Y1156" s="62"/>
      <c r="Z1156" s="62"/>
      <c r="AA1156" s="62"/>
      <c r="AB1156" s="62"/>
      <c r="AC1156" s="62"/>
      <c r="AD1156" s="62"/>
      <c r="AE1156" s="62"/>
      <c r="AF1156" s="62"/>
      <c r="AG1156" s="62"/>
      <c r="AH1156" s="62"/>
      <c r="AI1156" s="62"/>
      <c r="AJ1156" s="62"/>
      <c r="AK1156" s="62"/>
      <c r="AL1156" s="62"/>
      <c r="AM1156" s="62"/>
      <c r="AN1156" s="62"/>
      <c r="AO1156" s="62"/>
      <c r="AP1156" s="62"/>
      <c r="AQ1156" s="62"/>
    </row>
    <row r="1157">
      <c r="A1157" s="62"/>
      <c r="B1157" s="63"/>
      <c r="C1157" s="62"/>
      <c r="D1157" s="62"/>
      <c r="E1157" s="62"/>
      <c r="F1157" s="62"/>
      <c r="G1157" s="62"/>
      <c r="H1157" s="62"/>
      <c r="I1157" s="62"/>
      <c r="J1157" s="62"/>
      <c r="K1157" s="62"/>
      <c r="L1157" s="62"/>
      <c r="M1157" s="62"/>
      <c r="N1157" s="62"/>
      <c r="O1157" s="62"/>
      <c r="P1157" s="62"/>
      <c r="Q1157" s="62"/>
      <c r="R1157" s="62"/>
      <c r="S1157" s="62"/>
      <c r="T1157" s="10">
        <f t="shared" si="1"/>
        <v>0</v>
      </c>
      <c r="U1157" s="62"/>
      <c r="V1157" s="62"/>
      <c r="W1157" s="62"/>
      <c r="X1157" s="62"/>
      <c r="Y1157" s="62"/>
      <c r="Z1157" s="62"/>
      <c r="AA1157" s="62"/>
      <c r="AB1157" s="62"/>
      <c r="AC1157" s="62"/>
      <c r="AD1157" s="62"/>
      <c r="AE1157" s="62"/>
      <c r="AF1157" s="62"/>
      <c r="AG1157" s="62"/>
      <c r="AH1157" s="62"/>
      <c r="AI1157" s="62"/>
      <c r="AJ1157" s="62"/>
      <c r="AK1157" s="62"/>
      <c r="AL1157" s="62"/>
      <c r="AM1157" s="62"/>
      <c r="AN1157" s="62"/>
      <c r="AO1157" s="62"/>
      <c r="AP1157" s="62"/>
      <c r="AQ1157" s="62"/>
    </row>
    <row r="1158">
      <c r="A1158" s="62"/>
      <c r="B1158" s="63"/>
      <c r="C1158" s="62"/>
      <c r="D1158" s="62"/>
      <c r="E1158" s="62"/>
      <c r="F1158" s="62"/>
      <c r="G1158" s="62"/>
      <c r="H1158" s="62"/>
      <c r="I1158" s="62"/>
      <c r="J1158" s="62"/>
      <c r="K1158" s="62"/>
      <c r="L1158" s="62"/>
      <c r="M1158" s="62"/>
      <c r="N1158" s="62"/>
      <c r="O1158" s="62"/>
      <c r="P1158" s="62"/>
      <c r="Q1158" s="62"/>
      <c r="R1158" s="62"/>
      <c r="S1158" s="62"/>
      <c r="T1158" s="10">
        <f t="shared" si="1"/>
        <v>0</v>
      </c>
      <c r="U1158" s="62"/>
      <c r="V1158" s="62"/>
      <c r="W1158" s="62"/>
      <c r="X1158" s="62"/>
      <c r="Y1158" s="62"/>
      <c r="Z1158" s="62"/>
      <c r="AA1158" s="62"/>
      <c r="AB1158" s="62"/>
      <c r="AC1158" s="62"/>
      <c r="AD1158" s="62"/>
      <c r="AE1158" s="62"/>
      <c r="AF1158" s="62"/>
      <c r="AG1158" s="62"/>
      <c r="AH1158" s="62"/>
      <c r="AI1158" s="62"/>
      <c r="AJ1158" s="62"/>
      <c r="AK1158" s="62"/>
      <c r="AL1158" s="62"/>
      <c r="AM1158" s="62"/>
      <c r="AN1158" s="62"/>
      <c r="AO1158" s="62"/>
      <c r="AP1158" s="62"/>
      <c r="AQ1158" s="62"/>
    </row>
    <row r="1159">
      <c r="A1159" s="62"/>
      <c r="B1159" s="63"/>
      <c r="C1159" s="62"/>
      <c r="D1159" s="62"/>
      <c r="E1159" s="62"/>
      <c r="F1159" s="62"/>
      <c r="G1159" s="62"/>
      <c r="H1159" s="62"/>
      <c r="I1159" s="62"/>
      <c r="J1159" s="62"/>
      <c r="K1159" s="62"/>
      <c r="L1159" s="62"/>
      <c r="M1159" s="62"/>
      <c r="N1159" s="62"/>
      <c r="O1159" s="62"/>
      <c r="P1159" s="62"/>
      <c r="Q1159" s="62"/>
      <c r="R1159" s="62"/>
      <c r="S1159" s="62"/>
      <c r="T1159" s="10">
        <f t="shared" si="1"/>
        <v>0</v>
      </c>
      <c r="U1159" s="62"/>
      <c r="V1159" s="62"/>
      <c r="W1159" s="62"/>
      <c r="X1159" s="62"/>
      <c r="Y1159" s="62"/>
      <c r="Z1159" s="62"/>
      <c r="AA1159" s="62"/>
      <c r="AB1159" s="62"/>
      <c r="AC1159" s="62"/>
      <c r="AD1159" s="62"/>
      <c r="AE1159" s="62"/>
      <c r="AF1159" s="62"/>
      <c r="AG1159" s="62"/>
      <c r="AH1159" s="62"/>
      <c r="AI1159" s="62"/>
      <c r="AJ1159" s="62"/>
      <c r="AK1159" s="62"/>
      <c r="AL1159" s="62"/>
      <c r="AM1159" s="62"/>
      <c r="AN1159" s="62"/>
      <c r="AO1159" s="62"/>
      <c r="AP1159" s="62"/>
      <c r="AQ1159" s="62"/>
    </row>
    <row r="1160">
      <c r="A1160" s="62"/>
      <c r="B1160" s="63"/>
      <c r="C1160" s="62"/>
      <c r="D1160" s="62"/>
      <c r="E1160" s="62"/>
      <c r="F1160" s="62"/>
      <c r="G1160" s="62"/>
      <c r="H1160" s="62"/>
      <c r="I1160" s="62"/>
      <c r="J1160" s="62"/>
      <c r="K1160" s="62"/>
      <c r="L1160" s="62"/>
      <c r="M1160" s="62"/>
      <c r="N1160" s="62"/>
      <c r="O1160" s="62"/>
      <c r="P1160" s="62"/>
      <c r="Q1160" s="62"/>
      <c r="R1160" s="62"/>
      <c r="S1160" s="62"/>
      <c r="T1160" s="10">
        <f t="shared" si="1"/>
        <v>0</v>
      </c>
      <c r="U1160" s="62"/>
      <c r="V1160" s="62"/>
      <c r="W1160" s="62"/>
      <c r="X1160" s="62"/>
      <c r="Y1160" s="62"/>
      <c r="Z1160" s="62"/>
      <c r="AA1160" s="62"/>
      <c r="AB1160" s="62"/>
      <c r="AC1160" s="62"/>
      <c r="AD1160" s="62"/>
      <c r="AE1160" s="62"/>
      <c r="AF1160" s="62"/>
      <c r="AG1160" s="62"/>
      <c r="AH1160" s="62"/>
      <c r="AI1160" s="62"/>
      <c r="AJ1160" s="62"/>
      <c r="AK1160" s="62"/>
      <c r="AL1160" s="62"/>
      <c r="AM1160" s="62"/>
      <c r="AN1160" s="62"/>
      <c r="AO1160" s="62"/>
      <c r="AP1160" s="62"/>
      <c r="AQ1160" s="62"/>
    </row>
    <row r="1161">
      <c r="A1161" s="62"/>
      <c r="B1161" s="63"/>
      <c r="C1161" s="62"/>
      <c r="D1161" s="62"/>
      <c r="E1161" s="62"/>
      <c r="F1161" s="62"/>
      <c r="G1161" s="62"/>
      <c r="H1161" s="62"/>
      <c r="I1161" s="62"/>
      <c r="J1161" s="62"/>
      <c r="K1161" s="62"/>
      <c r="L1161" s="62"/>
      <c r="M1161" s="62"/>
      <c r="N1161" s="62"/>
      <c r="O1161" s="62"/>
      <c r="P1161" s="62"/>
      <c r="Q1161" s="62"/>
      <c r="R1161" s="62"/>
      <c r="S1161" s="62"/>
      <c r="T1161" s="10">
        <f t="shared" si="1"/>
        <v>0</v>
      </c>
      <c r="U1161" s="62"/>
      <c r="V1161" s="62"/>
      <c r="W1161" s="62"/>
      <c r="X1161" s="62"/>
      <c r="Y1161" s="62"/>
      <c r="Z1161" s="62"/>
      <c r="AA1161" s="62"/>
      <c r="AB1161" s="62"/>
      <c r="AC1161" s="62"/>
      <c r="AD1161" s="62"/>
      <c r="AE1161" s="62"/>
      <c r="AF1161" s="62"/>
      <c r="AG1161" s="62"/>
      <c r="AH1161" s="62"/>
      <c r="AI1161" s="62"/>
      <c r="AJ1161" s="62"/>
      <c r="AK1161" s="62"/>
      <c r="AL1161" s="62"/>
      <c r="AM1161" s="62"/>
      <c r="AN1161" s="62"/>
      <c r="AO1161" s="62"/>
      <c r="AP1161" s="62"/>
      <c r="AQ1161" s="62"/>
    </row>
    <row r="1162">
      <c r="A1162" s="62"/>
      <c r="B1162" s="63"/>
      <c r="C1162" s="62"/>
      <c r="D1162" s="62"/>
      <c r="E1162" s="62"/>
      <c r="F1162" s="62"/>
      <c r="G1162" s="62"/>
      <c r="H1162" s="62"/>
      <c r="I1162" s="62"/>
      <c r="J1162" s="62"/>
      <c r="K1162" s="62"/>
      <c r="L1162" s="62"/>
      <c r="M1162" s="62"/>
      <c r="N1162" s="62"/>
      <c r="O1162" s="62"/>
      <c r="P1162" s="62"/>
      <c r="Q1162" s="62"/>
      <c r="R1162" s="62"/>
      <c r="S1162" s="62"/>
      <c r="T1162" s="10">
        <f t="shared" si="1"/>
        <v>0</v>
      </c>
      <c r="U1162" s="62"/>
      <c r="V1162" s="62"/>
      <c r="W1162" s="62"/>
      <c r="X1162" s="62"/>
      <c r="Y1162" s="62"/>
      <c r="Z1162" s="62"/>
      <c r="AA1162" s="62"/>
      <c r="AB1162" s="62"/>
      <c r="AC1162" s="62"/>
      <c r="AD1162" s="62"/>
      <c r="AE1162" s="62"/>
      <c r="AF1162" s="62"/>
      <c r="AG1162" s="62"/>
      <c r="AH1162" s="62"/>
      <c r="AI1162" s="62"/>
      <c r="AJ1162" s="62"/>
      <c r="AK1162" s="62"/>
      <c r="AL1162" s="62"/>
      <c r="AM1162" s="62"/>
      <c r="AN1162" s="62"/>
      <c r="AO1162" s="62"/>
      <c r="AP1162" s="62"/>
      <c r="AQ1162" s="62"/>
    </row>
    <row r="1163">
      <c r="A1163" s="62"/>
      <c r="B1163" s="63"/>
      <c r="C1163" s="62"/>
      <c r="D1163" s="62"/>
      <c r="E1163" s="62"/>
      <c r="F1163" s="62"/>
      <c r="G1163" s="62"/>
      <c r="H1163" s="62"/>
      <c r="I1163" s="62"/>
      <c r="J1163" s="62"/>
      <c r="K1163" s="62"/>
      <c r="L1163" s="62"/>
      <c r="M1163" s="62"/>
      <c r="N1163" s="62"/>
      <c r="O1163" s="62"/>
      <c r="P1163" s="62"/>
      <c r="Q1163" s="62"/>
      <c r="R1163" s="62"/>
      <c r="S1163" s="62"/>
      <c r="T1163" s="10">
        <f t="shared" si="1"/>
        <v>0</v>
      </c>
      <c r="U1163" s="62"/>
      <c r="V1163" s="62"/>
      <c r="W1163" s="62"/>
      <c r="X1163" s="62"/>
      <c r="Y1163" s="62"/>
      <c r="Z1163" s="62"/>
      <c r="AA1163" s="62"/>
      <c r="AB1163" s="62"/>
      <c r="AC1163" s="62"/>
      <c r="AD1163" s="62"/>
      <c r="AE1163" s="62"/>
      <c r="AF1163" s="62"/>
      <c r="AG1163" s="62"/>
      <c r="AH1163" s="62"/>
      <c r="AI1163" s="62"/>
      <c r="AJ1163" s="62"/>
      <c r="AK1163" s="62"/>
      <c r="AL1163" s="62"/>
      <c r="AM1163" s="62"/>
      <c r="AN1163" s="62"/>
      <c r="AO1163" s="62"/>
      <c r="AP1163" s="62"/>
      <c r="AQ1163" s="62"/>
    </row>
    <row r="1164">
      <c r="A1164" s="62"/>
      <c r="B1164" s="63"/>
      <c r="C1164" s="62"/>
      <c r="D1164" s="62"/>
      <c r="E1164" s="62"/>
      <c r="F1164" s="62"/>
      <c r="G1164" s="62"/>
      <c r="H1164" s="62"/>
      <c r="I1164" s="62"/>
      <c r="J1164" s="62"/>
      <c r="K1164" s="62"/>
      <c r="L1164" s="62"/>
      <c r="M1164" s="62"/>
      <c r="N1164" s="62"/>
      <c r="O1164" s="62"/>
      <c r="P1164" s="62"/>
      <c r="Q1164" s="62"/>
      <c r="R1164" s="62"/>
      <c r="S1164" s="62"/>
      <c r="T1164" s="10">
        <f t="shared" si="1"/>
        <v>0</v>
      </c>
      <c r="U1164" s="62"/>
      <c r="V1164" s="62"/>
      <c r="W1164" s="62"/>
      <c r="X1164" s="62"/>
      <c r="Y1164" s="62"/>
      <c r="Z1164" s="62"/>
      <c r="AA1164" s="62"/>
      <c r="AB1164" s="62"/>
      <c r="AC1164" s="62"/>
      <c r="AD1164" s="62"/>
      <c r="AE1164" s="62"/>
      <c r="AF1164" s="62"/>
      <c r="AG1164" s="62"/>
      <c r="AH1164" s="62"/>
      <c r="AI1164" s="62"/>
      <c r="AJ1164" s="62"/>
      <c r="AK1164" s="62"/>
      <c r="AL1164" s="62"/>
      <c r="AM1164" s="62"/>
      <c r="AN1164" s="62"/>
      <c r="AO1164" s="62"/>
      <c r="AP1164" s="62"/>
      <c r="AQ1164" s="62"/>
    </row>
    <row r="1165">
      <c r="A1165" s="62"/>
      <c r="B1165" s="63"/>
      <c r="C1165" s="62"/>
      <c r="D1165" s="62"/>
      <c r="E1165" s="62"/>
      <c r="F1165" s="62"/>
      <c r="G1165" s="62"/>
      <c r="H1165" s="62"/>
      <c r="I1165" s="62"/>
      <c r="J1165" s="62"/>
      <c r="K1165" s="62"/>
      <c r="L1165" s="62"/>
      <c r="M1165" s="62"/>
      <c r="N1165" s="62"/>
      <c r="O1165" s="62"/>
      <c r="P1165" s="62"/>
      <c r="Q1165" s="62"/>
      <c r="R1165" s="62"/>
      <c r="S1165" s="62"/>
      <c r="T1165" s="10">
        <f t="shared" si="1"/>
        <v>0</v>
      </c>
      <c r="U1165" s="62"/>
      <c r="V1165" s="62"/>
      <c r="W1165" s="62"/>
      <c r="X1165" s="62"/>
      <c r="Y1165" s="62"/>
      <c r="Z1165" s="62"/>
      <c r="AA1165" s="62"/>
      <c r="AB1165" s="62"/>
      <c r="AC1165" s="62"/>
      <c r="AD1165" s="62"/>
      <c r="AE1165" s="62"/>
      <c r="AF1165" s="62"/>
      <c r="AG1165" s="62"/>
      <c r="AH1165" s="62"/>
      <c r="AI1165" s="62"/>
      <c r="AJ1165" s="62"/>
      <c r="AK1165" s="62"/>
      <c r="AL1165" s="62"/>
      <c r="AM1165" s="62"/>
      <c r="AN1165" s="62"/>
      <c r="AO1165" s="62"/>
      <c r="AP1165" s="62"/>
      <c r="AQ1165" s="62"/>
    </row>
    <row r="1166">
      <c r="A1166" s="62"/>
      <c r="B1166" s="63"/>
      <c r="C1166" s="62"/>
      <c r="D1166" s="62"/>
      <c r="E1166" s="62"/>
      <c r="F1166" s="62"/>
      <c r="G1166" s="62"/>
      <c r="H1166" s="62"/>
      <c r="I1166" s="62"/>
      <c r="J1166" s="62"/>
      <c r="K1166" s="62"/>
      <c r="L1166" s="62"/>
      <c r="M1166" s="62"/>
      <c r="N1166" s="62"/>
      <c r="O1166" s="62"/>
      <c r="P1166" s="62"/>
      <c r="Q1166" s="62"/>
      <c r="R1166" s="62"/>
      <c r="S1166" s="62"/>
      <c r="T1166" s="10">
        <f t="shared" si="1"/>
        <v>0</v>
      </c>
      <c r="U1166" s="62"/>
      <c r="V1166" s="62"/>
      <c r="W1166" s="62"/>
      <c r="X1166" s="62"/>
      <c r="Y1166" s="62"/>
      <c r="Z1166" s="62"/>
      <c r="AA1166" s="62"/>
      <c r="AB1166" s="62"/>
      <c r="AC1166" s="62"/>
      <c r="AD1166" s="62"/>
      <c r="AE1166" s="62"/>
      <c r="AF1166" s="62"/>
      <c r="AG1166" s="62"/>
      <c r="AH1166" s="62"/>
      <c r="AI1166" s="62"/>
      <c r="AJ1166" s="62"/>
      <c r="AK1166" s="62"/>
      <c r="AL1166" s="62"/>
      <c r="AM1166" s="62"/>
      <c r="AN1166" s="62"/>
      <c r="AO1166" s="62"/>
      <c r="AP1166" s="62"/>
      <c r="AQ1166" s="62"/>
    </row>
    <row r="1167">
      <c r="A1167" s="62"/>
      <c r="B1167" s="63"/>
      <c r="C1167" s="62"/>
      <c r="D1167" s="62"/>
      <c r="E1167" s="62"/>
      <c r="F1167" s="62"/>
      <c r="G1167" s="62"/>
      <c r="H1167" s="62"/>
      <c r="I1167" s="62"/>
      <c r="J1167" s="62"/>
      <c r="K1167" s="62"/>
      <c r="L1167" s="62"/>
      <c r="M1167" s="62"/>
      <c r="N1167" s="62"/>
      <c r="O1167" s="62"/>
      <c r="P1167" s="62"/>
      <c r="Q1167" s="62"/>
      <c r="R1167" s="62"/>
      <c r="S1167" s="62"/>
      <c r="T1167" s="10">
        <f t="shared" si="1"/>
        <v>0</v>
      </c>
      <c r="U1167" s="62"/>
      <c r="V1167" s="62"/>
      <c r="W1167" s="62"/>
      <c r="X1167" s="62"/>
      <c r="Y1167" s="62"/>
      <c r="Z1167" s="62"/>
      <c r="AA1167" s="62"/>
      <c r="AB1167" s="62"/>
      <c r="AC1167" s="62"/>
      <c r="AD1167" s="62"/>
      <c r="AE1167" s="62"/>
      <c r="AF1167" s="62"/>
      <c r="AG1167" s="62"/>
      <c r="AH1167" s="62"/>
      <c r="AI1167" s="62"/>
      <c r="AJ1167" s="62"/>
      <c r="AK1167" s="62"/>
      <c r="AL1167" s="62"/>
      <c r="AM1167" s="62"/>
      <c r="AN1167" s="62"/>
      <c r="AO1167" s="62"/>
      <c r="AP1167" s="62"/>
      <c r="AQ1167" s="62"/>
    </row>
    <row r="1168">
      <c r="A1168" s="62"/>
      <c r="B1168" s="63"/>
      <c r="C1168" s="62"/>
      <c r="D1168" s="62"/>
      <c r="E1168" s="62"/>
      <c r="F1168" s="62"/>
      <c r="G1168" s="62"/>
      <c r="H1168" s="62"/>
      <c r="I1168" s="62"/>
      <c r="J1168" s="62"/>
      <c r="K1168" s="62"/>
      <c r="L1168" s="62"/>
      <c r="M1168" s="62"/>
      <c r="N1168" s="62"/>
      <c r="O1168" s="62"/>
      <c r="P1168" s="62"/>
      <c r="Q1168" s="62"/>
      <c r="R1168" s="62"/>
      <c r="S1168" s="62"/>
      <c r="T1168" s="10">
        <f t="shared" si="1"/>
        <v>0</v>
      </c>
      <c r="U1168" s="62"/>
      <c r="V1168" s="62"/>
      <c r="W1168" s="62"/>
      <c r="X1168" s="62"/>
      <c r="Y1168" s="62"/>
      <c r="Z1168" s="62"/>
      <c r="AA1168" s="62"/>
      <c r="AB1168" s="62"/>
      <c r="AC1168" s="62"/>
      <c r="AD1168" s="62"/>
      <c r="AE1168" s="62"/>
      <c r="AF1168" s="62"/>
      <c r="AG1168" s="62"/>
      <c r="AH1168" s="62"/>
      <c r="AI1168" s="62"/>
      <c r="AJ1168" s="62"/>
      <c r="AK1168" s="62"/>
      <c r="AL1168" s="62"/>
      <c r="AM1168" s="62"/>
      <c r="AN1168" s="62"/>
      <c r="AO1168" s="62"/>
      <c r="AP1168" s="62"/>
      <c r="AQ1168" s="62"/>
    </row>
    <row r="1169">
      <c r="A1169" s="62"/>
      <c r="B1169" s="63"/>
      <c r="C1169" s="62"/>
      <c r="D1169" s="62"/>
      <c r="E1169" s="62"/>
      <c r="F1169" s="62"/>
      <c r="G1169" s="62"/>
      <c r="H1169" s="62"/>
      <c r="I1169" s="62"/>
      <c r="J1169" s="62"/>
      <c r="K1169" s="62"/>
      <c r="L1169" s="62"/>
      <c r="M1169" s="62"/>
      <c r="N1169" s="62"/>
      <c r="O1169" s="62"/>
      <c r="P1169" s="62"/>
      <c r="Q1169" s="62"/>
      <c r="R1169" s="62"/>
      <c r="S1169" s="62"/>
      <c r="T1169" s="10">
        <f t="shared" si="1"/>
        <v>0</v>
      </c>
      <c r="U1169" s="62"/>
      <c r="V1169" s="62"/>
      <c r="W1169" s="62"/>
      <c r="X1169" s="62"/>
      <c r="Y1169" s="62"/>
      <c r="Z1169" s="62"/>
      <c r="AA1169" s="62"/>
      <c r="AB1169" s="62"/>
      <c r="AC1169" s="62"/>
      <c r="AD1169" s="62"/>
      <c r="AE1169" s="62"/>
      <c r="AF1169" s="62"/>
      <c r="AG1169" s="62"/>
      <c r="AH1169" s="62"/>
      <c r="AI1169" s="62"/>
      <c r="AJ1169" s="62"/>
      <c r="AK1169" s="62"/>
      <c r="AL1169" s="62"/>
      <c r="AM1169" s="62"/>
      <c r="AN1169" s="62"/>
      <c r="AO1169" s="62"/>
      <c r="AP1169" s="62"/>
      <c r="AQ1169" s="62"/>
    </row>
    <row r="1170">
      <c r="A1170" s="62"/>
      <c r="B1170" s="63"/>
      <c r="C1170" s="62"/>
      <c r="D1170" s="62"/>
      <c r="E1170" s="62"/>
      <c r="F1170" s="62"/>
      <c r="G1170" s="62"/>
      <c r="H1170" s="62"/>
      <c r="I1170" s="62"/>
      <c r="J1170" s="62"/>
      <c r="K1170" s="62"/>
      <c r="L1170" s="62"/>
      <c r="M1170" s="62"/>
      <c r="N1170" s="62"/>
      <c r="O1170" s="62"/>
      <c r="P1170" s="62"/>
      <c r="Q1170" s="62"/>
      <c r="R1170" s="62"/>
      <c r="S1170" s="62"/>
      <c r="T1170" s="10">
        <f t="shared" si="1"/>
        <v>0</v>
      </c>
      <c r="U1170" s="62"/>
      <c r="V1170" s="62"/>
      <c r="W1170" s="62"/>
      <c r="X1170" s="62"/>
      <c r="Y1170" s="62"/>
      <c r="Z1170" s="62"/>
      <c r="AA1170" s="62"/>
      <c r="AB1170" s="62"/>
      <c r="AC1170" s="62"/>
      <c r="AD1170" s="62"/>
      <c r="AE1170" s="62"/>
      <c r="AF1170" s="62"/>
      <c r="AG1170" s="62"/>
      <c r="AH1170" s="62"/>
      <c r="AI1170" s="62"/>
      <c r="AJ1170" s="62"/>
      <c r="AK1170" s="62"/>
      <c r="AL1170" s="62"/>
      <c r="AM1170" s="62"/>
      <c r="AN1170" s="62"/>
      <c r="AO1170" s="62"/>
      <c r="AP1170" s="62"/>
      <c r="AQ1170" s="62"/>
    </row>
    <row r="1171">
      <c r="A1171" s="62"/>
      <c r="B1171" s="63"/>
      <c r="C1171" s="62"/>
      <c r="D1171" s="62"/>
      <c r="E1171" s="62"/>
      <c r="F1171" s="62"/>
      <c r="G1171" s="62"/>
      <c r="H1171" s="62"/>
      <c r="I1171" s="62"/>
      <c r="J1171" s="62"/>
      <c r="K1171" s="62"/>
      <c r="L1171" s="62"/>
      <c r="M1171" s="62"/>
      <c r="N1171" s="62"/>
      <c r="O1171" s="62"/>
      <c r="P1171" s="62"/>
      <c r="Q1171" s="62"/>
      <c r="R1171" s="62"/>
      <c r="S1171" s="62"/>
      <c r="T1171" s="10">
        <f t="shared" si="1"/>
        <v>0</v>
      </c>
      <c r="U1171" s="62"/>
      <c r="V1171" s="62"/>
      <c r="W1171" s="62"/>
      <c r="X1171" s="62"/>
      <c r="Y1171" s="62"/>
      <c r="Z1171" s="62"/>
      <c r="AA1171" s="62"/>
      <c r="AB1171" s="62"/>
      <c r="AC1171" s="62"/>
      <c r="AD1171" s="62"/>
      <c r="AE1171" s="62"/>
      <c r="AF1171" s="62"/>
      <c r="AG1171" s="62"/>
      <c r="AH1171" s="62"/>
      <c r="AI1171" s="62"/>
      <c r="AJ1171" s="62"/>
      <c r="AK1171" s="62"/>
      <c r="AL1171" s="62"/>
      <c r="AM1171" s="62"/>
      <c r="AN1171" s="62"/>
      <c r="AO1171" s="62"/>
      <c r="AP1171" s="62"/>
      <c r="AQ1171" s="62"/>
    </row>
    <row r="1172">
      <c r="A1172" s="62"/>
      <c r="B1172" s="63"/>
      <c r="C1172" s="62"/>
      <c r="D1172" s="62"/>
      <c r="E1172" s="62"/>
      <c r="F1172" s="62"/>
      <c r="G1172" s="62"/>
      <c r="H1172" s="62"/>
      <c r="I1172" s="62"/>
      <c r="J1172" s="62"/>
      <c r="K1172" s="62"/>
      <c r="L1172" s="62"/>
      <c r="M1172" s="62"/>
      <c r="N1172" s="62"/>
      <c r="O1172" s="62"/>
      <c r="P1172" s="62"/>
      <c r="Q1172" s="62"/>
      <c r="R1172" s="62"/>
      <c r="S1172" s="62"/>
      <c r="T1172" s="10">
        <f t="shared" si="1"/>
        <v>0</v>
      </c>
      <c r="U1172" s="62"/>
      <c r="V1172" s="62"/>
      <c r="W1172" s="62"/>
      <c r="X1172" s="62"/>
      <c r="Y1172" s="62"/>
      <c r="Z1172" s="62"/>
      <c r="AA1172" s="62"/>
      <c r="AB1172" s="62"/>
      <c r="AC1172" s="62"/>
      <c r="AD1172" s="62"/>
      <c r="AE1172" s="62"/>
      <c r="AF1172" s="62"/>
      <c r="AG1172" s="62"/>
      <c r="AH1172" s="62"/>
      <c r="AI1172" s="62"/>
      <c r="AJ1172" s="62"/>
      <c r="AK1172" s="62"/>
      <c r="AL1172" s="62"/>
      <c r="AM1172" s="62"/>
      <c r="AN1172" s="62"/>
      <c r="AO1172" s="62"/>
      <c r="AP1172" s="62"/>
      <c r="AQ1172" s="62"/>
    </row>
    <row r="1173">
      <c r="A1173" s="62"/>
      <c r="B1173" s="63"/>
      <c r="C1173" s="62"/>
      <c r="D1173" s="62"/>
      <c r="E1173" s="62"/>
      <c r="F1173" s="62"/>
      <c r="G1173" s="62"/>
      <c r="H1173" s="62"/>
      <c r="I1173" s="62"/>
      <c r="J1173" s="62"/>
      <c r="K1173" s="62"/>
      <c r="L1173" s="62"/>
      <c r="M1173" s="62"/>
      <c r="N1173" s="62"/>
      <c r="O1173" s="62"/>
      <c r="P1173" s="62"/>
      <c r="Q1173" s="62"/>
      <c r="R1173" s="62"/>
      <c r="S1173" s="62"/>
      <c r="T1173" s="10">
        <f t="shared" si="1"/>
        <v>0</v>
      </c>
      <c r="U1173" s="62"/>
      <c r="V1173" s="62"/>
      <c r="W1173" s="62"/>
      <c r="X1173" s="62"/>
      <c r="Y1173" s="62"/>
      <c r="Z1173" s="62"/>
      <c r="AA1173" s="62"/>
      <c r="AB1173" s="62"/>
      <c r="AC1173" s="62"/>
      <c r="AD1173" s="62"/>
      <c r="AE1173" s="62"/>
      <c r="AF1173" s="62"/>
      <c r="AG1173" s="62"/>
      <c r="AH1173" s="62"/>
      <c r="AI1173" s="62"/>
      <c r="AJ1173" s="62"/>
      <c r="AK1173" s="62"/>
      <c r="AL1173" s="62"/>
      <c r="AM1173" s="62"/>
      <c r="AN1173" s="62"/>
      <c r="AO1173" s="62"/>
      <c r="AP1173" s="62"/>
      <c r="AQ1173" s="62"/>
    </row>
    <row r="1174">
      <c r="A1174" s="62"/>
      <c r="B1174" s="63"/>
      <c r="C1174" s="62"/>
      <c r="D1174" s="62"/>
      <c r="E1174" s="62"/>
      <c r="F1174" s="62"/>
      <c r="G1174" s="62"/>
      <c r="H1174" s="62"/>
      <c r="I1174" s="62"/>
      <c r="J1174" s="62"/>
      <c r="K1174" s="62"/>
      <c r="L1174" s="62"/>
      <c r="M1174" s="62"/>
      <c r="N1174" s="62"/>
      <c r="O1174" s="62"/>
      <c r="P1174" s="62"/>
      <c r="Q1174" s="62"/>
      <c r="R1174" s="62"/>
      <c r="S1174" s="62"/>
      <c r="T1174" s="10">
        <f t="shared" si="1"/>
        <v>0</v>
      </c>
      <c r="U1174" s="62"/>
      <c r="V1174" s="62"/>
      <c r="W1174" s="62"/>
      <c r="X1174" s="62"/>
      <c r="Y1174" s="62"/>
      <c r="Z1174" s="62"/>
      <c r="AA1174" s="62"/>
      <c r="AB1174" s="62"/>
      <c r="AC1174" s="62"/>
      <c r="AD1174" s="62"/>
      <c r="AE1174" s="62"/>
      <c r="AF1174" s="62"/>
      <c r="AG1174" s="62"/>
      <c r="AH1174" s="62"/>
      <c r="AI1174" s="62"/>
      <c r="AJ1174" s="62"/>
      <c r="AK1174" s="62"/>
      <c r="AL1174" s="62"/>
      <c r="AM1174" s="62"/>
      <c r="AN1174" s="62"/>
      <c r="AO1174" s="62"/>
      <c r="AP1174" s="62"/>
      <c r="AQ1174" s="62"/>
    </row>
    <row r="1175">
      <c r="A1175" s="62"/>
      <c r="B1175" s="63"/>
      <c r="C1175" s="62"/>
      <c r="D1175" s="62"/>
      <c r="E1175" s="62"/>
      <c r="F1175" s="62"/>
      <c r="G1175" s="62"/>
      <c r="H1175" s="62"/>
      <c r="I1175" s="62"/>
      <c r="J1175" s="62"/>
      <c r="K1175" s="62"/>
      <c r="L1175" s="62"/>
      <c r="M1175" s="62"/>
      <c r="N1175" s="62"/>
      <c r="O1175" s="62"/>
      <c r="P1175" s="62"/>
      <c r="Q1175" s="62"/>
      <c r="R1175" s="62"/>
      <c r="S1175" s="62"/>
      <c r="T1175" s="10">
        <f t="shared" si="1"/>
        <v>0</v>
      </c>
      <c r="U1175" s="62"/>
      <c r="V1175" s="62"/>
      <c r="W1175" s="62"/>
      <c r="X1175" s="62"/>
      <c r="Y1175" s="62"/>
      <c r="Z1175" s="62"/>
      <c r="AA1175" s="62"/>
      <c r="AB1175" s="62"/>
      <c r="AC1175" s="62"/>
      <c r="AD1175" s="62"/>
      <c r="AE1175" s="62"/>
      <c r="AF1175" s="62"/>
      <c r="AG1175" s="62"/>
      <c r="AH1175" s="62"/>
      <c r="AI1175" s="62"/>
      <c r="AJ1175" s="62"/>
      <c r="AK1175" s="62"/>
      <c r="AL1175" s="62"/>
      <c r="AM1175" s="62"/>
      <c r="AN1175" s="62"/>
      <c r="AO1175" s="62"/>
      <c r="AP1175" s="62"/>
      <c r="AQ1175" s="62"/>
    </row>
    <row r="1176">
      <c r="A1176" s="62"/>
      <c r="B1176" s="63"/>
      <c r="C1176" s="62"/>
      <c r="D1176" s="62"/>
      <c r="E1176" s="62"/>
      <c r="F1176" s="62"/>
      <c r="G1176" s="62"/>
      <c r="H1176" s="62"/>
      <c r="I1176" s="62"/>
      <c r="J1176" s="62"/>
      <c r="K1176" s="62"/>
      <c r="L1176" s="62"/>
      <c r="M1176" s="62"/>
      <c r="N1176" s="62"/>
      <c r="O1176" s="62"/>
      <c r="P1176" s="62"/>
      <c r="Q1176" s="62"/>
      <c r="R1176" s="62"/>
      <c r="S1176" s="62"/>
      <c r="T1176" s="10">
        <f t="shared" si="1"/>
        <v>0</v>
      </c>
      <c r="U1176" s="62"/>
      <c r="V1176" s="62"/>
      <c r="W1176" s="62"/>
      <c r="X1176" s="62"/>
      <c r="Y1176" s="62"/>
      <c r="Z1176" s="62"/>
      <c r="AA1176" s="62"/>
      <c r="AB1176" s="62"/>
      <c r="AC1176" s="62"/>
      <c r="AD1176" s="62"/>
      <c r="AE1176" s="62"/>
      <c r="AF1176" s="62"/>
      <c r="AG1176" s="62"/>
      <c r="AH1176" s="62"/>
      <c r="AI1176" s="62"/>
      <c r="AJ1176" s="62"/>
      <c r="AK1176" s="62"/>
      <c r="AL1176" s="62"/>
      <c r="AM1176" s="62"/>
      <c r="AN1176" s="62"/>
      <c r="AO1176" s="62"/>
      <c r="AP1176" s="62"/>
      <c r="AQ1176" s="62"/>
    </row>
    <row r="1177">
      <c r="A1177" s="62"/>
      <c r="B1177" s="63"/>
      <c r="C1177" s="62"/>
      <c r="D1177" s="62"/>
      <c r="E1177" s="62"/>
      <c r="F1177" s="62"/>
      <c r="G1177" s="62"/>
      <c r="H1177" s="62"/>
      <c r="I1177" s="62"/>
      <c r="J1177" s="62"/>
      <c r="K1177" s="62"/>
      <c r="L1177" s="62"/>
      <c r="M1177" s="62"/>
      <c r="N1177" s="62"/>
      <c r="O1177" s="62"/>
      <c r="P1177" s="62"/>
      <c r="Q1177" s="62"/>
      <c r="R1177" s="62"/>
      <c r="S1177" s="62"/>
      <c r="T1177" s="10">
        <f t="shared" si="1"/>
        <v>0</v>
      </c>
      <c r="U1177" s="62"/>
      <c r="V1177" s="62"/>
      <c r="W1177" s="62"/>
      <c r="X1177" s="62"/>
      <c r="Y1177" s="62"/>
      <c r="Z1177" s="62"/>
      <c r="AA1177" s="62"/>
      <c r="AB1177" s="62"/>
      <c r="AC1177" s="62"/>
      <c r="AD1177" s="62"/>
      <c r="AE1177" s="62"/>
      <c r="AF1177" s="62"/>
      <c r="AG1177" s="62"/>
      <c r="AH1177" s="62"/>
      <c r="AI1177" s="62"/>
      <c r="AJ1177" s="62"/>
      <c r="AK1177" s="62"/>
      <c r="AL1177" s="62"/>
      <c r="AM1177" s="62"/>
      <c r="AN1177" s="62"/>
      <c r="AO1177" s="62"/>
      <c r="AP1177" s="62"/>
      <c r="AQ1177" s="62"/>
    </row>
    <row r="1178">
      <c r="A1178" s="62"/>
      <c r="B1178" s="63"/>
      <c r="C1178" s="62"/>
      <c r="D1178" s="62"/>
      <c r="E1178" s="62"/>
      <c r="F1178" s="62"/>
      <c r="G1178" s="62"/>
      <c r="H1178" s="62"/>
      <c r="I1178" s="62"/>
      <c r="J1178" s="62"/>
      <c r="K1178" s="62"/>
      <c r="L1178" s="62"/>
      <c r="M1178" s="62"/>
      <c r="N1178" s="62"/>
      <c r="O1178" s="62"/>
      <c r="P1178" s="62"/>
      <c r="Q1178" s="62"/>
      <c r="R1178" s="62"/>
      <c r="S1178" s="62"/>
      <c r="T1178" s="10">
        <f t="shared" si="1"/>
        <v>0</v>
      </c>
      <c r="U1178" s="62"/>
      <c r="V1178" s="62"/>
      <c r="W1178" s="62"/>
      <c r="X1178" s="62"/>
      <c r="Y1178" s="62"/>
      <c r="Z1178" s="62"/>
      <c r="AA1178" s="62"/>
      <c r="AB1178" s="62"/>
      <c r="AC1178" s="62"/>
      <c r="AD1178" s="62"/>
      <c r="AE1178" s="62"/>
      <c r="AF1178" s="62"/>
      <c r="AG1178" s="62"/>
      <c r="AH1178" s="62"/>
      <c r="AI1178" s="62"/>
      <c r="AJ1178" s="62"/>
      <c r="AK1178" s="62"/>
      <c r="AL1178" s="62"/>
      <c r="AM1178" s="62"/>
      <c r="AN1178" s="62"/>
      <c r="AO1178" s="62"/>
      <c r="AP1178" s="62"/>
      <c r="AQ1178" s="62"/>
    </row>
    <row r="1179">
      <c r="A1179" s="62"/>
      <c r="B1179" s="63"/>
      <c r="C1179" s="62"/>
      <c r="D1179" s="62"/>
      <c r="E1179" s="62"/>
      <c r="F1179" s="62"/>
      <c r="G1179" s="62"/>
      <c r="H1179" s="62"/>
      <c r="I1179" s="62"/>
      <c r="J1179" s="62"/>
      <c r="K1179" s="62"/>
      <c r="L1179" s="62"/>
      <c r="M1179" s="62"/>
      <c r="N1179" s="62"/>
      <c r="O1179" s="62"/>
      <c r="P1179" s="62"/>
      <c r="Q1179" s="62"/>
      <c r="R1179" s="62"/>
      <c r="S1179" s="62"/>
      <c r="T1179" s="10">
        <f t="shared" si="1"/>
        <v>0</v>
      </c>
      <c r="U1179" s="62"/>
      <c r="V1179" s="62"/>
      <c r="W1179" s="62"/>
      <c r="X1179" s="62"/>
      <c r="Y1179" s="62"/>
      <c r="Z1179" s="62"/>
      <c r="AA1179" s="62"/>
      <c r="AB1179" s="62"/>
      <c r="AC1179" s="62"/>
      <c r="AD1179" s="62"/>
      <c r="AE1179" s="62"/>
      <c r="AF1179" s="62"/>
      <c r="AG1179" s="62"/>
      <c r="AH1179" s="62"/>
      <c r="AI1179" s="62"/>
      <c r="AJ1179" s="62"/>
      <c r="AK1179" s="62"/>
      <c r="AL1179" s="62"/>
      <c r="AM1179" s="62"/>
      <c r="AN1179" s="62"/>
      <c r="AO1179" s="62"/>
      <c r="AP1179" s="62"/>
      <c r="AQ1179" s="62"/>
    </row>
    <row r="1180">
      <c r="A1180" s="62"/>
      <c r="B1180" s="63"/>
      <c r="C1180" s="62"/>
      <c r="D1180" s="62"/>
      <c r="E1180" s="62"/>
      <c r="F1180" s="62"/>
      <c r="G1180" s="62"/>
      <c r="H1180" s="62"/>
      <c r="I1180" s="62"/>
      <c r="J1180" s="62"/>
      <c r="K1180" s="62"/>
      <c r="L1180" s="62"/>
      <c r="M1180" s="62"/>
      <c r="N1180" s="62"/>
      <c r="O1180" s="62"/>
      <c r="P1180" s="62"/>
      <c r="Q1180" s="62"/>
      <c r="R1180" s="62"/>
      <c r="S1180" s="62"/>
      <c r="T1180" s="10">
        <f t="shared" si="1"/>
        <v>0</v>
      </c>
      <c r="U1180" s="62"/>
      <c r="V1180" s="62"/>
      <c r="W1180" s="62"/>
      <c r="X1180" s="62"/>
      <c r="Y1180" s="62"/>
      <c r="Z1180" s="62"/>
      <c r="AA1180" s="62"/>
      <c r="AB1180" s="62"/>
      <c r="AC1180" s="62"/>
      <c r="AD1180" s="62"/>
      <c r="AE1180" s="62"/>
      <c r="AF1180" s="62"/>
      <c r="AG1180" s="62"/>
      <c r="AH1180" s="62"/>
      <c r="AI1180" s="62"/>
      <c r="AJ1180" s="62"/>
      <c r="AK1180" s="62"/>
      <c r="AL1180" s="62"/>
      <c r="AM1180" s="62"/>
      <c r="AN1180" s="62"/>
      <c r="AO1180" s="62"/>
      <c r="AP1180" s="62"/>
      <c r="AQ1180" s="62"/>
    </row>
    <row r="1181">
      <c r="A1181" s="62"/>
      <c r="B1181" s="63"/>
      <c r="C1181" s="62"/>
      <c r="D1181" s="62"/>
      <c r="E1181" s="62"/>
      <c r="F1181" s="62"/>
      <c r="G1181" s="62"/>
      <c r="H1181" s="62"/>
      <c r="I1181" s="62"/>
      <c r="J1181" s="62"/>
      <c r="K1181" s="62"/>
      <c r="L1181" s="62"/>
      <c r="M1181" s="62"/>
      <c r="N1181" s="62"/>
      <c r="O1181" s="62"/>
      <c r="P1181" s="62"/>
      <c r="Q1181" s="62"/>
      <c r="R1181" s="62"/>
      <c r="S1181" s="62"/>
      <c r="T1181" s="10">
        <f t="shared" si="1"/>
        <v>0</v>
      </c>
      <c r="U1181" s="62"/>
      <c r="V1181" s="62"/>
      <c r="W1181" s="62"/>
      <c r="X1181" s="62"/>
      <c r="Y1181" s="62"/>
      <c r="Z1181" s="62"/>
      <c r="AA1181" s="62"/>
      <c r="AB1181" s="62"/>
      <c r="AC1181" s="62"/>
      <c r="AD1181" s="62"/>
      <c r="AE1181" s="62"/>
      <c r="AF1181" s="62"/>
      <c r="AG1181" s="62"/>
      <c r="AH1181" s="62"/>
      <c r="AI1181" s="62"/>
      <c r="AJ1181" s="62"/>
      <c r="AK1181" s="62"/>
      <c r="AL1181" s="62"/>
      <c r="AM1181" s="62"/>
      <c r="AN1181" s="62"/>
      <c r="AO1181" s="62"/>
      <c r="AP1181" s="62"/>
      <c r="AQ1181" s="62"/>
    </row>
    <row r="1182">
      <c r="A1182" s="62"/>
      <c r="B1182" s="63"/>
      <c r="C1182" s="62"/>
      <c r="D1182" s="62"/>
      <c r="E1182" s="62"/>
      <c r="F1182" s="62"/>
      <c r="G1182" s="62"/>
      <c r="H1182" s="62"/>
      <c r="I1182" s="62"/>
      <c r="J1182" s="62"/>
      <c r="K1182" s="62"/>
      <c r="L1182" s="62"/>
      <c r="M1182" s="62"/>
      <c r="N1182" s="62"/>
      <c r="O1182" s="62"/>
      <c r="P1182" s="62"/>
      <c r="Q1182" s="62"/>
      <c r="R1182" s="62"/>
      <c r="S1182" s="62"/>
      <c r="T1182" s="10">
        <f t="shared" si="1"/>
        <v>0</v>
      </c>
      <c r="U1182" s="62"/>
      <c r="V1182" s="62"/>
      <c r="W1182" s="62"/>
      <c r="X1182" s="62"/>
      <c r="Y1182" s="62"/>
      <c r="Z1182" s="62"/>
      <c r="AA1182" s="62"/>
      <c r="AB1182" s="62"/>
      <c r="AC1182" s="62"/>
      <c r="AD1182" s="62"/>
      <c r="AE1182" s="62"/>
      <c r="AF1182" s="62"/>
      <c r="AG1182" s="62"/>
      <c r="AH1182" s="62"/>
      <c r="AI1182" s="62"/>
      <c r="AJ1182" s="62"/>
      <c r="AK1182" s="62"/>
      <c r="AL1182" s="62"/>
      <c r="AM1182" s="62"/>
      <c r="AN1182" s="62"/>
      <c r="AO1182" s="62"/>
      <c r="AP1182" s="62"/>
      <c r="AQ1182" s="62"/>
    </row>
    <row r="1183">
      <c r="A1183" s="62"/>
      <c r="B1183" s="63"/>
      <c r="C1183" s="62"/>
      <c r="D1183" s="62"/>
      <c r="E1183" s="62"/>
      <c r="F1183" s="62"/>
      <c r="G1183" s="62"/>
      <c r="H1183" s="62"/>
      <c r="I1183" s="62"/>
      <c r="J1183" s="62"/>
      <c r="K1183" s="62"/>
      <c r="L1183" s="62"/>
      <c r="M1183" s="62"/>
      <c r="N1183" s="62"/>
      <c r="O1183" s="62"/>
      <c r="P1183" s="62"/>
      <c r="Q1183" s="62"/>
      <c r="R1183" s="62"/>
      <c r="S1183" s="62"/>
      <c r="T1183" s="10">
        <f t="shared" si="1"/>
        <v>0</v>
      </c>
      <c r="U1183" s="62"/>
      <c r="V1183" s="62"/>
      <c r="W1183" s="62"/>
      <c r="X1183" s="62"/>
      <c r="Y1183" s="62"/>
      <c r="Z1183" s="62"/>
      <c r="AA1183" s="62"/>
      <c r="AB1183" s="62"/>
      <c r="AC1183" s="62"/>
      <c r="AD1183" s="62"/>
      <c r="AE1183" s="62"/>
      <c r="AF1183" s="62"/>
      <c r="AG1183" s="62"/>
      <c r="AH1183" s="62"/>
      <c r="AI1183" s="62"/>
      <c r="AJ1183" s="62"/>
      <c r="AK1183" s="62"/>
      <c r="AL1183" s="62"/>
      <c r="AM1183" s="62"/>
      <c r="AN1183" s="62"/>
      <c r="AO1183" s="62"/>
      <c r="AP1183" s="62"/>
      <c r="AQ1183" s="62"/>
    </row>
    <row r="1184">
      <c r="A1184" s="62"/>
      <c r="B1184" s="63"/>
      <c r="C1184" s="62"/>
      <c r="D1184" s="62"/>
      <c r="E1184" s="62"/>
      <c r="F1184" s="62"/>
      <c r="G1184" s="62"/>
      <c r="H1184" s="62"/>
      <c r="I1184" s="62"/>
      <c r="J1184" s="62"/>
      <c r="K1184" s="62"/>
      <c r="L1184" s="62"/>
      <c r="M1184" s="62"/>
      <c r="N1184" s="62"/>
      <c r="O1184" s="62"/>
      <c r="P1184" s="62"/>
      <c r="Q1184" s="62"/>
      <c r="R1184" s="62"/>
      <c r="S1184" s="62"/>
      <c r="T1184" s="10">
        <f t="shared" si="1"/>
        <v>0</v>
      </c>
      <c r="U1184" s="62"/>
      <c r="V1184" s="62"/>
      <c r="W1184" s="62"/>
      <c r="X1184" s="62"/>
      <c r="Y1184" s="62"/>
      <c r="Z1184" s="62"/>
      <c r="AA1184" s="62"/>
      <c r="AB1184" s="62"/>
      <c r="AC1184" s="62"/>
      <c r="AD1184" s="62"/>
      <c r="AE1184" s="62"/>
      <c r="AF1184" s="62"/>
      <c r="AG1184" s="62"/>
      <c r="AH1184" s="62"/>
      <c r="AI1184" s="62"/>
      <c r="AJ1184" s="62"/>
      <c r="AK1184" s="62"/>
      <c r="AL1184" s="62"/>
      <c r="AM1184" s="62"/>
      <c r="AN1184" s="62"/>
      <c r="AO1184" s="62"/>
      <c r="AP1184" s="62"/>
      <c r="AQ1184" s="62"/>
    </row>
    <row r="1185">
      <c r="A1185" s="62"/>
      <c r="B1185" s="63"/>
      <c r="C1185" s="62"/>
      <c r="D1185" s="62"/>
      <c r="E1185" s="62"/>
      <c r="F1185" s="62"/>
      <c r="G1185" s="62"/>
      <c r="H1185" s="62"/>
      <c r="I1185" s="62"/>
      <c r="J1185" s="62"/>
      <c r="K1185" s="62"/>
      <c r="L1185" s="62"/>
      <c r="M1185" s="62"/>
      <c r="N1185" s="62"/>
      <c r="O1185" s="62"/>
      <c r="P1185" s="62"/>
      <c r="Q1185" s="62"/>
      <c r="R1185" s="62"/>
      <c r="S1185" s="62"/>
      <c r="T1185" s="10">
        <f t="shared" si="1"/>
        <v>0</v>
      </c>
      <c r="U1185" s="62"/>
      <c r="V1185" s="62"/>
      <c r="W1185" s="62"/>
      <c r="X1185" s="62"/>
      <c r="Y1185" s="62"/>
      <c r="Z1185" s="62"/>
      <c r="AA1185" s="62"/>
      <c r="AB1185" s="62"/>
      <c r="AC1185" s="62"/>
      <c r="AD1185" s="62"/>
      <c r="AE1185" s="62"/>
      <c r="AF1185" s="62"/>
      <c r="AG1185" s="62"/>
      <c r="AH1185" s="62"/>
      <c r="AI1185" s="62"/>
      <c r="AJ1185" s="62"/>
      <c r="AK1185" s="62"/>
      <c r="AL1185" s="62"/>
      <c r="AM1185" s="62"/>
      <c r="AN1185" s="62"/>
      <c r="AO1185" s="62"/>
      <c r="AP1185" s="62"/>
      <c r="AQ1185" s="62"/>
    </row>
    <row r="1186">
      <c r="A1186" s="62"/>
      <c r="B1186" s="63"/>
      <c r="C1186" s="62"/>
      <c r="D1186" s="62"/>
      <c r="E1186" s="62"/>
      <c r="F1186" s="62"/>
      <c r="G1186" s="62"/>
      <c r="H1186" s="62"/>
      <c r="I1186" s="62"/>
      <c r="J1186" s="62"/>
      <c r="K1186" s="62"/>
      <c r="L1186" s="62"/>
      <c r="M1186" s="62"/>
      <c r="N1186" s="62"/>
      <c r="O1186" s="62"/>
      <c r="P1186" s="62"/>
      <c r="Q1186" s="62"/>
      <c r="R1186" s="62"/>
      <c r="S1186" s="62"/>
      <c r="T1186" s="10">
        <f t="shared" si="1"/>
        <v>0</v>
      </c>
      <c r="U1186" s="62"/>
      <c r="V1186" s="62"/>
      <c r="W1186" s="62"/>
      <c r="X1186" s="62"/>
      <c r="Y1186" s="62"/>
      <c r="Z1186" s="62"/>
      <c r="AA1186" s="62"/>
      <c r="AB1186" s="62"/>
      <c r="AC1186" s="62"/>
      <c r="AD1186" s="62"/>
      <c r="AE1186" s="62"/>
      <c r="AF1186" s="62"/>
      <c r="AG1186" s="62"/>
      <c r="AH1186" s="62"/>
      <c r="AI1186" s="62"/>
      <c r="AJ1186" s="62"/>
      <c r="AK1186" s="62"/>
      <c r="AL1186" s="62"/>
      <c r="AM1186" s="62"/>
      <c r="AN1186" s="62"/>
      <c r="AO1186" s="62"/>
      <c r="AP1186" s="62"/>
      <c r="AQ1186" s="62"/>
    </row>
    <row r="1187">
      <c r="A1187" s="62"/>
      <c r="B1187" s="63"/>
      <c r="C1187" s="62"/>
      <c r="D1187" s="62"/>
      <c r="E1187" s="62"/>
      <c r="F1187" s="62"/>
      <c r="G1187" s="62"/>
      <c r="H1187" s="62"/>
      <c r="I1187" s="62"/>
      <c r="J1187" s="62"/>
      <c r="K1187" s="62"/>
      <c r="L1187" s="62"/>
      <c r="M1187" s="62"/>
      <c r="N1187" s="62"/>
      <c r="O1187" s="62"/>
      <c r="P1187" s="62"/>
      <c r="Q1187" s="62"/>
      <c r="R1187" s="62"/>
      <c r="S1187" s="62"/>
      <c r="T1187" s="10">
        <f t="shared" si="1"/>
        <v>0</v>
      </c>
      <c r="U1187" s="62"/>
      <c r="V1187" s="62"/>
      <c r="W1187" s="62"/>
      <c r="X1187" s="62"/>
      <c r="Y1187" s="62"/>
      <c r="Z1187" s="62"/>
      <c r="AA1187" s="62"/>
      <c r="AB1187" s="62"/>
      <c r="AC1187" s="62"/>
      <c r="AD1187" s="62"/>
      <c r="AE1187" s="62"/>
      <c r="AF1187" s="62"/>
      <c r="AG1187" s="62"/>
      <c r="AH1187" s="62"/>
      <c r="AI1187" s="62"/>
      <c r="AJ1187" s="62"/>
      <c r="AK1187" s="62"/>
      <c r="AL1187" s="62"/>
      <c r="AM1187" s="62"/>
      <c r="AN1187" s="62"/>
      <c r="AO1187" s="62"/>
      <c r="AP1187" s="62"/>
      <c r="AQ1187" s="62"/>
    </row>
    <row r="1188">
      <c r="A1188" s="62"/>
      <c r="B1188" s="63"/>
      <c r="C1188" s="62"/>
      <c r="D1188" s="62"/>
      <c r="E1188" s="62"/>
      <c r="F1188" s="62"/>
      <c r="G1188" s="62"/>
      <c r="H1188" s="62"/>
      <c r="I1188" s="62"/>
      <c r="J1188" s="62"/>
      <c r="K1188" s="62"/>
      <c r="L1188" s="62"/>
      <c r="M1188" s="62"/>
      <c r="N1188" s="62"/>
      <c r="O1188" s="62"/>
      <c r="P1188" s="62"/>
      <c r="Q1188" s="62"/>
      <c r="R1188" s="62"/>
      <c r="S1188" s="62"/>
      <c r="T1188" s="10">
        <f t="shared" si="1"/>
        <v>0</v>
      </c>
      <c r="U1188" s="62"/>
      <c r="V1188" s="62"/>
      <c r="W1188" s="62"/>
      <c r="X1188" s="62"/>
      <c r="Y1188" s="62"/>
      <c r="Z1188" s="62"/>
      <c r="AA1188" s="62"/>
      <c r="AB1188" s="62"/>
      <c r="AC1188" s="62"/>
      <c r="AD1188" s="62"/>
      <c r="AE1188" s="62"/>
      <c r="AF1188" s="62"/>
      <c r="AG1188" s="62"/>
      <c r="AH1188" s="62"/>
      <c r="AI1188" s="62"/>
      <c r="AJ1188" s="62"/>
      <c r="AK1188" s="62"/>
      <c r="AL1188" s="62"/>
      <c r="AM1188" s="62"/>
      <c r="AN1188" s="62"/>
      <c r="AO1188" s="62"/>
      <c r="AP1188" s="62"/>
      <c r="AQ1188" s="62"/>
    </row>
    <row r="1189">
      <c r="A1189" s="62"/>
      <c r="B1189" s="63"/>
      <c r="C1189" s="62"/>
      <c r="D1189" s="62"/>
      <c r="E1189" s="62"/>
      <c r="F1189" s="62"/>
      <c r="G1189" s="62"/>
      <c r="H1189" s="62"/>
      <c r="I1189" s="62"/>
      <c r="J1189" s="62"/>
      <c r="K1189" s="62"/>
      <c r="L1189" s="62"/>
      <c r="M1189" s="62"/>
      <c r="N1189" s="62"/>
      <c r="O1189" s="62"/>
      <c r="P1189" s="62"/>
      <c r="Q1189" s="62"/>
      <c r="R1189" s="62"/>
      <c r="S1189" s="62"/>
      <c r="T1189" s="10">
        <f t="shared" si="1"/>
        <v>0</v>
      </c>
      <c r="U1189" s="62"/>
      <c r="V1189" s="62"/>
      <c r="W1189" s="62"/>
      <c r="X1189" s="62"/>
      <c r="Y1189" s="62"/>
      <c r="Z1189" s="62"/>
      <c r="AA1189" s="62"/>
      <c r="AB1189" s="62"/>
      <c r="AC1189" s="62"/>
      <c r="AD1189" s="62"/>
      <c r="AE1189" s="62"/>
      <c r="AF1189" s="62"/>
      <c r="AG1189" s="62"/>
      <c r="AH1189" s="62"/>
      <c r="AI1189" s="62"/>
      <c r="AJ1189" s="62"/>
      <c r="AK1189" s="62"/>
      <c r="AL1189" s="62"/>
      <c r="AM1189" s="62"/>
      <c r="AN1189" s="62"/>
      <c r="AO1189" s="62"/>
      <c r="AP1189" s="62"/>
      <c r="AQ1189" s="62"/>
    </row>
    <row r="1190">
      <c r="A1190" s="62"/>
      <c r="B1190" s="63"/>
      <c r="C1190" s="62"/>
      <c r="D1190" s="62"/>
      <c r="E1190" s="62"/>
      <c r="F1190" s="62"/>
      <c r="G1190" s="62"/>
      <c r="H1190" s="62"/>
      <c r="I1190" s="62"/>
      <c r="J1190" s="62"/>
      <c r="K1190" s="62"/>
      <c r="L1190" s="62"/>
      <c r="M1190" s="62"/>
      <c r="N1190" s="62"/>
      <c r="O1190" s="62"/>
      <c r="P1190" s="62"/>
      <c r="Q1190" s="62"/>
      <c r="R1190" s="62"/>
      <c r="S1190" s="62"/>
      <c r="T1190" s="10">
        <f t="shared" si="1"/>
        <v>0</v>
      </c>
      <c r="U1190" s="62"/>
      <c r="V1190" s="62"/>
      <c r="W1190" s="62"/>
      <c r="X1190" s="62"/>
      <c r="Y1190" s="62"/>
      <c r="Z1190" s="62"/>
      <c r="AA1190" s="62"/>
      <c r="AB1190" s="62"/>
      <c r="AC1190" s="62"/>
      <c r="AD1190" s="62"/>
      <c r="AE1190" s="62"/>
      <c r="AF1190" s="62"/>
      <c r="AG1190" s="62"/>
      <c r="AH1190" s="62"/>
      <c r="AI1190" s="62"/>
      <c r="AJ1190" s="62"/>
      <c r="AK1190" s="62"/>
      <c r="AL1190" s="62"/>
      <c r="AM1190" s="62"/>
      <c r="AN1190" s="62"/>
      <c r="AO1190" s="62"/>
      <c r="AP1190" s="62"/>
      <c r="AQ1190" s="62"/>
    </row>
    <row r="1191">
      <c r="A1191" s="62"/>
      <c r="B1191" s="63"/>
      <c r="C1191" s="62"/>
      <c r="D1191" s="62"/>
      <c r="E1191" s="62"/>
      <c r="F1191" s="62"/>
      <c r="G1191" s="62"/>
      <c r="H1191" s="62"/>
      <c r="I1191" s="62"/>
      <c r="J1191" s="62"/>
      <c r="K1191" s="62"/>
      <c r="L1191" s="62"/>
      <c r="M1191" s="62"/>
      <c r="N1191" s="62"/>
      <c r="O1191" s="62"/>
      <c r="P1191" s="62"/>
      <c r="Q1191" s="62"/>
      <c r="R1191" s="62"/>
      <c r="S1191" s="62"/>
      <c r="T1191" s="10">
        <f t="shared" si="1"/>
        <v>0</v>
      </c>
      <c r="U1191" s="62"/>
      <c r="V1191" s="62"/>
      <c r="W1191" s="62"/>
      <c r="X1191" s="62"/>
      <c r="Y1191" s="62"/>
      <c r="Z1191" s="62"/>
      <c r="AA1191" s="62"/>
      <c r="AB1191" s="62"/>
      <c r="AC1191" s="62"/>
      <c r="AD1191" s="62"/>
      <c r="AE1191" s="62"/>
      <c r="AF1191" s="62"/>
      <c r="AG1191" s="62"/>
      <c r="AH1191" s="62"/>
      <c r="AI1191" s="62"/>
      <c r="AJ1191" s="62"/>
      <c r="AK1191" s="62"/>
      <c r="AL1191" s="62"/>
      <c r="AM1191" s="62"/>
      <c r="AN1191" s="62"/>
      <c r="AO1191" s="62"/>
      <c r="AP1191" s="62"/>
      <c r="AQ1191" s="62"/>
    </row>
    <row r="1192">
      <c r="A1192" s="62"/>
      <c r="B1192" s="63"/>
      <c r="C1192" s="62"/>
      <c r="D1192" s="62"/>
      <c r="E1192" s="62"/>
      <c r="F1192" s="62"/>
      <c r="G1192" s="62"/>
      <c r="H1192" s="62"/>
      <c r="I1192" s="62"/>
      <c r="J1192" s="62"/>
      <c r="K1192" s="62"/>
      <c r="L1192" s="62"/>
      <c r="M1192" s="62"/>
      <c r="N1192" s="62"/>
      <c r="O1192" s="62"/>
      <c r="P1192" s="62"/>
      <c r="Q1192" s="62"/>
      <c r="R1192" s="62"/>
      <c r="S1192" s="62"/>
      <c r="T1192" s="10">
        <f t="shared" si="1"/>
        <v>0</v>
      </c>
      <c r="U1192" s="62"/>
      <c r="V1192" s="62"/>
      <c r="W1192" s="62"/>
      <c r="X1192" s="62"/>
      <c r="Y1192" s="62"/>
      <c r="Z1192" s="62"/>
      <c r="AA1192" s="62"/>
      <c r="AB1192" s="62"/>
      <c r="AC1192" s="62"/>
      <c r="AD1192" s="62"/>
      <c r="AE1192" s="62"/>
      <c r="AF1192" s="62"/>
      <c r="AG1192" s="62"/>
      <c r="AH1192" s="62"/>
      <c r="AI1192" s="62"/>
      <c r="AJ1192" s="62"/>
      <c r="AK1192" s="62"/>
      <c r="AL1192" s="62"/>
      <c r="AM1192" s="62"/>
      <c r="AN1192" s="62"/>
      <c r="AO1192" s="62"/>
      <c r="AP1192" s="62"/>
      <c r="AQ1192" s="62"/>
    </row>
    <row r="1193">
      <c r="A1193" s="62"/>
      <c r="B1193" s="63"/>
      <c r="C1193" s="62"/>
      <c r="D1193" s="62"/>
      <c r="E1193" s="62"/>
      <c r="F1193" s="62"/>
      <c r="G1193" s="62"/>
      <c r="H1193" s="62"/>
      <c r="I1193" s="62"/>
      <c r="J1193" s="62"/>
      <c r="K1193" s="62"/>
      <c r="L1193" s="62"/>
      <c r="M1193" s="62"/>
      <c r="N1193" s="62"/>
      <c r="O1193" s="62"/>
      <c r="P1193" s="62"/>
      <c r="Q1193" s="62"/>
      <c r="R1193" s="62"/>
      <c r="S1193" s="62"/>
      <c r="T1193" s="10">
        <f t="shared" si="1"/>
        <v>0</v>
      </c>
      <c r="U1193" s="62"/>
      <c r="V1193" s="62"/>
      <c r="W1193" s="62"/>
      <c r="X1193" s="62"/>
      <c r="Y1193" s="62"/>
      <c r="Z1193" s="62"/>
      <c r="AA1193" s="62"/>
      <c r="AB1193" s="62"/>
      <c r="AC1193" s="62"/>
      <c r="AD1193" s="62"/>
      <c r="AE1193" s="62"/>
      <c r="AF1193" s="62"/>
      <c r="AG1193" s="62"/>
      <c r="AH1193" s="62"/>
      <c r="AI1193" s="62"/>
      <c r="AJ1193" s="62"/>
      <c r="AK1193" s="62"/>
      <c r="AL1193" s="62"/>
      <c r="AM1193" s="62"/>
      <c r="AN1193" s="62"/>
      <c r="AO1193" s="62"/>
      <c r="AP1193" s="62"/>
      <c r="AQ1193" s="62"/>
    </row>
    <row r="1194">
      <c r="A1194" s="62"/>
      <c r="B1194" s="63"/>
      <c r="C1194" s="62"/>
      <c r="D1194" s="62"/>
      <c r="E1194" s="62"/>
      <c r="F1194" s="62"/>
      <c r="G1194" s="62"/>
      <c r="H1194" s="62"/>
      <c r="I1194" s="62"/>
      <c r="J1194" s="62"/>
      <c r="K1194" s="62"/>
      <c r="L1194" s="62"/>
      <c r="M1194" s="62"/>
      <c r="N1194" s="62"/>
      <c r="O1194" s="62"/>
      <c r="P1194" s="62"/>
      <c r="Q1194" s="62"/>
      <c r="R1194" s="62"/>
      <c r="S1194" s="62"/>
      <c r="T1194" s="10">
        <f t="shared" si="1"/>
        <v>0</v>
      </c>
      <c r="U1194" s="62"/>
      <c r="V1194" s="62"/>
      <c r="W1194" s="62"/>
      <c r="X1194" s="62"/>
      <c r="Y1194" s="62"/>
      <c r="Z1194" s="62"/>
      <c r="AA1194" s="62"/>
      <c r="AB1194" s="62"/>
      <c r="AC1194" s="62"/>
      <c r="AD1194" s="62"/>
      <c r="AE1194" s="62"/>
      <c r="AF1194" s="62"/>
      <c r="AG1194" s="62"/>
      <c r="AH1194" s="62"/>
      <c r="AI1194" s="62"/>
      <c r="AJ1194" s="62"/>
      <c r="AK1194" s="62"/>
      <c r="AL1194" s="62"/>
      <c r="AM1194" s="62"/>
      <c r="AN1194" s="62"/>
      <c r="AO1194" s="62"/>
      <c r="AP1194" s="62"/>
      <c r="AQ1194" s="62"/>
    </row>
    <row r="1195">
      <c r="A1195" s="62"/>
      <c r="B1195" s="63"/>
      <c r="C1195" s="62"/>
      <c r="D1195" s="62"/>
      <c r="E1195" s="62"/>
      <c r="F1195" s="62"/>
      <c r="G1195" s="62"/>
      <c r="H1195" s="62"/>
      <c r="I1195" s="62"/>
      <c r="J1195" s="62"/>
      <c r="K1195" s="62"/>
      <c r="L1195" s="62"/>
      <c r="M1195" s="62"/>
      <c r="N1195" s="62"/>
      <c r="O1195" s="62"/>
      <c r="P1195" s="62"/>
      <c r="Q1195" s="62"/>
      <c r="R1195" s="62"/>
      <c r="S1195" s="62"/>
      <c r="T1195" s="10">
        <f t="shared" si="1"/>
        <v>0</v>
      </c>
      <c r="U1195" s="62"/>
      <c r="V1195" s="62"/>
      <c r="W1195" s="62"/>
      <c r="X1195" s="62"/>
      <c r="Y1195" s="62"/>
      <c r="Z1195" s="62"/>
      <c r="AA1195" s="62"/>
      <c r="AB1195" s="62"/>
      <c r="AC1195" s="62"/>
      <c r="AD1195" s="62"/>
      <c r="AE1195" s="62"/>
      <c r="AF1195" s="62"/>
      <c r="AG1195" s="62"/>
      <c r="AH1195" s="62"/>
      <c r="AI1195" s="62"/>
      <c r="AJ1195" s="62"/>
      <c r="AK1195" s="62"/>
      <c r="AL1195" s="62"/>
      <c r="AM1195" s="62"/>
      <c r="AN1195" s="62"/>
      <c r="AO1195" s="62"/>
      <c r="AP1195" s="62"/>
      <c r="AQ1195" s="62"/>
    </row>
    <row r="1196">
      <c r="A1196" s="62"/>
      <c r="B1196" s="63"/>
      <c r="C1196" s="62"/>
      <c r="D1196" s="62"/>
      <c r="E1196" s="62"/>
      <c r="F1196" s="62"/>
      <c r="G1196" s="62"/>
      <c r="H1196" s="62"/>
      <c r="I1196" s="62"/>
      <c r="J1196" s="62"/>
      <c r="K1196" s="62"/>
      <c r="L1196" s="62"/>
      <c r="M1196" s="62"/>
      <c r="N1196" s="62"/>
      <c r="O1196" s="62"/>
      <c r="P1196" s="62"/>
      <c r="Q1196" s="62"/>
      <c r="R1196" s="62"/>
      <c r="S1196" s="62"/>
      <c r="T1196" s="10">
        <f t="shared" si="1"/>
        <v>0</v>
      </c>
      <c r="U1196" s="62"/>
      <c r="V1196" s="62"/>
      <c r="W1196" s="62"/>
      <c r="X1196" s="62"/>
      <c r="Y1196" s="62"/>
      <c r="Z1196" s="62"/>
      <c r="AA1196" s="62"/>
      <c r="AB1196" s="62"/>
      <c r="AC1196" s="62"/>
      <c r="AD1196" s="62"/>
      <c r="AE1196" s="62"/>
      <c r="AF1196" s="62"/>
      <c r="AG1196" s="62"/>
      <c r="AH1196" s="62"/>
      <c r="AI1196" s="62"/>
      <c r="AJ1196" s="62"/>
      <c r="AK1196" s="62"/>
      <c r="AL1196" s="62"/>
      <c r="AM1196" s="62"/>
      <c r="AN1196" s="62"/>
      <c r="AO1196" s="62"/>
      <c r="AP1196" s="62"/>
      <c r="AQ1196" s="62"/>
    </row>
    <row r="1197">
      <c r="A1197" s="62"/>
      <c r="B1197" s="63"/>
      <c r="C1197" s="62"/>
      <c r="D1197" s="62"/>
      <c r="E1197" s="62"/>
      <c r="F1197" s="62"/>
      <c r="G1197" s="62"/>
      <c r="H1197" s="62"/>
      <c r="I1197" s="62"/>
      <c r="J1197" s="62"/>
      <c r="K1197" s="62"/>
      <c r="L1197" s="62"/>
      <c r="M1197" s="62"/>
      <c r="N1197" s="62"/>
      <c r="O1197" s="62"/>
      <c r="P1197" s="62"/>
      <c r="Q1197" s="62"/>
      <c r="R1197" s="62"/>
      <c r="S1197" s="62"/>
      <c r="T1197" s="10">
        <f t="shared" si="1"/>
        <v>0</v>
      </c>
      <c r="U1197" s="62"/>
      <c r="V1197" s="62"/>
      <c r="W1197" s="62"/>
      <c r="X1197" s="62"/>
      <c r="Y1197" s="62"/>
      <c r="Z1197" s="62"/>
      <c r="AA1197" s="62"/>
      <c r="AB1197" s="62"/>
      <c r="AC1197" s="62"/>
      <c r="AD1197" s="62"/>
      <c r="AE1197" s="62"/>
      <c r="AF1197" s="62"/>
      <c r="AG1197" s="62"/>
      <c r="AH1197" s="62"/>
      <c r="AI1197" s="62"/>
      <c r="AJ1197" s="62"/>
      <c r="AK1197" s="62"/>
      <c r="AL1197" s="62"/>
      <c r="AM1197" s="62"/>
      <c r="AN1197" s="62"/>
      <c r="AO1197" s="62"/>
      <c r="AP1197" s="62"/>
      <c r="AQ1197" s="62"/>
    </row>
    <row r="1198">
      <c r="A1198" s="62"/>
      <c r="B1198" s="63"/>
      <c r="C1198" s="62"/>
      <c r="D1198" s="62"/>
      <c r="E1198" s="62"/>
      <c r="F1198" s="62"/>
      <c r="G1198" s="62"/>
      <c r="H1198" s="62"/>
      <c r="I1198" s="62"/>
      <c r="J1198" s="62"/>
      <c r="K1198" s="62"/>
      <c r="L1198" s="62"/>
      <c r="M1198" s="62"/>
      <c r="N1198" s="62"/>
      <c r="O1198" s="62"/>
      <c r="P1198" s="62"/>
      <c r="Q1198" s="62"/>
      <c r="R1198" s="62"/>
      <c r="S1198" s="62"/>
      <c r="T1198" s="10">
        <f t="shared" si="1"/>
        <v>0</v>
      </c>
      <c r="U1198" s="62"/>
      <c r="V1198" s="62"/>
      <c r="W1198" s="62"/>
      <c r="X1198" s="62"/>
      <c r="Y1198" s="62"/>
      <c r="Z1198" s="62"/>
      <c r="AA1198" s="62"/>
      <c r="AB1198" s="62"/>
      <c r="AC1198" s="62"/>
      <c r="AD1198" s="62"/>
      <c r="AE1198" s="62"/>
      <c r="AF1198" s="62"/>
      <c r="AG1198" s="62"/>
      <c r="AH1198" s="62"/>
      <c r="AI1198" s="62"/>
      <c r="AJ1198" s="62"/>
      <c r="AK1198" s="62"/>
      <c r="AL1198" s="62"/>
      <c r="AM1198" s="62"/>
      <c r="AN1198" s="62"/>
      <c r="AO1198" s="62"/>
      <c r="AP1198" s="62"/>
      <c r="AQ1198" s="62"/>
    </row>
    <row r="1199">
      <c r="A1199" s="62"/>
      <c r="B1199" s="63"/>
      <c r="C1199" s="62"/>
      <c r="D1199" s="62"/>
      <c r="E1199" s="62"/>
      <c r="F1199" s="62"/>
      <c r="G1199" s="62"/>
      <c r="H1199" s="62"/>
      <c r="I1199" s="62"/>
      <c r="J1199" s="62"/>
      <c r="K1199" s="62"/>
      <c r="L1199" s="62"/>
      <c r="M1199" s="62"/>
      <c r="N1199" s="62"/>
      <c r="O1199" s="62"/>
      <c r="P1199" s="62"/>
      <c r="Q1199" s="62"/>
      <c r="R1199" s="62"/>
      <c r="S1199" s="62"/>
      <c r="T1199" s="10">
        <f t="shared" si="1"/>
        <v>0</v>
      </c>
      <c r="U1199" s="62"/>
      <c r="V1199" s="62"/>
      <c r="W1199" s="62"/>
      <c r="X1199" s="62"/>
      <c r="Y1199" s="62"/>
      <c r="Z1199" s="62"/>
      <c r="AA1199" s="62"/>
      <c r="AB1199" s="62"/>
      <c r="AC1199" s="62"/>
      <c r="AD1199" s="62"/>
      <c r="AE1199" s="62"/>
      <c r="AF1199" s="62"/>
      <c r="AG1199" s="62"/>
      <c r="AH1199" s="62"/>
      <c r="AI1199" s="62"/>
      <c r="AJ1199" s="62"/>
      <c r="AK1199" s="62"/>
      <c r="AL1199" s="62"/>
      <c r="AM1199" s="62"/>
      <c r="AN1199" s="62"/>
      <c r="AO1199" s="62"/>
      <c r="AP1199" s="62"/>
      <c r="AQ1199" s="62"/>
    </row>
    <row r="1200">
      <c r="A1200" s="62"/>
      <c r="B1200" s="63"/>
      <c r="C1200" s="62"/>
      <c r="D1200" s="62"/>
      <c r="E1200" s="62"/>
      <c r="F1200" s="62"/>
      <c r="G1200" s="62"/>
      <c r="H1200" s="62"/>
      <c r="I1200" s="62"/>
      <c r="J1200" s="62"/>
      <c r="K1200" s="62"/>
      <c r="L1200" s="62"/>
      <c r="M1200" s="62"/>
      <c r="N1200" s="62"/>
      <c r="O1200" s="62"/>
      <c r="P1200" s="62"/>
      <c r="Q1200" s="62"/>
      <c r="R1200" s="62"/>
      <c r="S1200" s="62"/>
      <c r="T1200" s="10">
        <f t="shared" si="1"/>
        <v>0</v>
      </c>
      <c r="U1200" s="62"/>
      <c r="V1200" s="62"/>
      <c r="W1200" s="62"/>
      <c r="X1200" s="62"/>
      <c r="Y1200" s="62"/>
      <c r="Z1200" s="62"/>
      <c r="AA1200" s="62"/>
      <c r="AB1200" s="62"/>
      <c r="AC1200" s="62"/>
      <c r="AD1200" s="62"/>
      <c r="AE1200" s="62"/>
      <c r="AF1200" s="62"/>
      <c r="AG1200" s="62"/>
      <c r="AH1200" s="62"/>
      <c r="AI1200" s="62"/>
      <c r="AJ1200" s="62"/>
      <c r="AK1200" s="62"/>
      <c r="AL1200" s="62"/>
      <c r="AM1200" s="62"/>
      <c r="AN1200" s="62"/>
      <c r="AO1200" s="62"/>
      <c r="AP1200" s="62"/>
      <c r="AQ1200" s="62"/>
    </row>
    <row r="1201">
      <c r="A1201" s="62"/>
      <c r="B1201" s="63"/>
      <c r="C1201" s="62"/>
      <c r="D1201" s="62"/>
      <c r="E1201" s="62"/>
      <c r="F1201" s="62"/>
      <c r="G1201" s="62"/>
      <c r="H1201" s="62"/>
      <c r="I1201" s="62"/>
      <c r="J1201" s="62"/>
      <c r="K1201" s="62"/>
      <c r="L1201" s="62"/>
      <c r="M1201" s="62"/>
      <c r="N1201" s="62"/>
      <c r="O1201" s="62"/>
      <c r="P1201" s="62"/>
      <c r="Q1201" s="62"/>
      <c r="R1201" s="62"/>
      <c r="S1201" s="62"/>
      <c r="T1201" s="10">
        <f t="shared" si="1"/>
        <v>0</v>
      </c>
      <c r="U1201" s="62"/>
      <c r="V1201" s="62"/>
      <c r="W1201" s="62"/>
      <c r="X1201" s="62"/>
      <c r="Y1201" s="62"/>
      <c r="Z1201" s="62"/>
      <c r="AA1201" s="62"/>
      <c r="AB1201" s="62"/>
      <c r="AC1201" s="62"/>
      <c r="AD1201" s="62"/>
      <c r="AE1201" s="62"/>
      <c r="AF1201" s="62"/>
      <c r="AG1201" s="62"/>
      <c r="AH1201" s="62"/>
      <c r="AI1201" s="62"/>
      <c r="AJ1201" s="62"/>
      <c r="AK1201" s="62"/>
      <c r="AL1201" s="62"/>
      <c r="AM1201" s="62"/>
      <c r="AN1201" s="62"/>
      <c r="AO1201" s="62"/>
      <c r="AP1201" s="62"/>
      <c r="AQ1201" s="62"/>
    </row>
    <row r="1202">
      <c r="A1202" s="62"/>
      <c r="B1202" s="63"/>
      <c r="C1202" s="62"/>
      <c r="D1202" s="62"/>
      <c r="E1202" s="62"/>
      <c r="F1202" s="62"/>
      <c r="G1202" s="62"/>
      <c r="H1202" s="62"/>
      <c r="I1202" s="62"/>
      <c r="J1202" s="62"/>
      <c r="K1202" s="62"/>
      <c r="L1202" s="62"/>
      <c r="M1202" s="62"/>
      <c r="N1202" s="62"/>
      <c r="O1202" s="62"/>
      <c r="P1202" s="62"/>
      <c r="Q1202" s="62"/>
      <c r="R1202" s="62"/>
      <c r="S1202" s="62"/>
      <c r="T1202" s="10">
        <f t="shared" si="1"/>
        <v>0</v>
      </c>
      <c r="U1202" s="62"/>
      <c r="V1202" s="62"/>
      <c r="W1202" s="62"/>
      <c r="X1202" s="62"/>
      <c r="Y1202" s="62"/>
      <c r="Z1202" s="62"/>
      <c r="AA1202" s="62"/>
      <c r="AB1202" s="62"/>
      <c r="AC1202" s="62"/>
      <c r="AD1202" s="62"/>
      <c r="AE1202" s="62"/>
      <c r="AF1202" s="62"/>
      <c r="AG1202" s="62"/>
      <c r="AH1202" s="62"/>
      <c r="AI1202" s="62"/>
      <c r="AJ1202" s="62"/>
      <c r="AK1202" s="62"/>
      <c r="AL1202" s="62"/>
      <c r="AM1202" s="62"/>
      <c r="AN1202" s="62"/>
      <c r="AO1202" s="62"/>
      <c r="AP1202" s="62"/>
      <c r="AQ1202" s="62"/>
    </row>
    <row r="1203">
      <c r="A1203" s="62"/>
      <c r="B1203" s="63"/>
      <c r="C1203" s="62"/>
      <c r="D1203" s="62"/>
      <c r="E1203" s="62"/>
      <c r="F1203" s="62"/>
      <c r="G1203" s="62"/>
      <c r="H1203" s="62"/>
      <c r="I1203" s="62"/>
      <c r="J1203" s="62"/>
      <c r="K1203" s="62"/>
      <c r="L1203" s="62"/>
      <c r="M1203" s="62"/>
      <c r="N1203" s="62"/>
      <c r="O1203" s="62"/>
      <c r="P1203" s="62"/>
      <c r="Q1203" s="62"/>
      <c r="R1203" s="62"/>
      <c r="S1203" s="62"/>
      <c r="T1203" s="10">
        <f t="shared" si="1"/>
        <v>0</v>
      </c>
      <c r="U1203" s="62"/>
      <c r="V1203" s="62"/>
      <c r="W1203" s="62"/>
      <c r="X1203" s="62"/>
      <c r="Y1203" s="62"/>
      <c r="Z1203" s="62"/>
      <c r="AA1203" s="62"/>
      <c r="AB1203" s="62"/>
      <c r="AC1203" s="62"/>
      <c r="AD1203" s="62"/>
      <c r="AE1203" s="62"/>
      <c r="AF1203" s="62"/>
      <c r="AG1203" s="62"/>
      <c r="AH1203" s="62"/>
      <c r="AI1203" s="62"/>
      <c r="AJ1203" s="62"/>
      <c r="AK1203" s="62"/>
      <c r="AL1203" s="62"/>
      <c r="AM1203" s="62"/>
      <c r="AN1203" s="62"/>
      <c r="AO1203" s="62"/>
      <c r="AP1203" s="62"/>
      <c r="AQ1203" s="62"/>
    </row>
    <row r="1204">
      <c r="A1204" s="62"/>
      <c r="B1204" s="63"/>
      <c r="C1204" s="62"/>
      <c r="D1204" s="62"/>
      <c r="E1204" s="62"/>
      <c r="F1204" s="62"/>
      <c r="G1204" s="62"/>
      <c r="H1204" s="62"/>
      <c r="I1204" s="62"/>
      <c r="J1204" s="62"/>
      <c r="K1204" s="62"/>
      <c r="L1204" s="62"/>
      <c r="M1204" s="62"/>
      <c r="N1204" s="62"/>
      <c r="O1204" s="62"/>
      <c r="P1204" s="62"/>
      <c r="Q1204" s="62"/>
      <c r="R1204" s="62"/>
      <c r="S1204" s="62"/>
      <c r="T1204" s="10">
        <f t="shared" si="1"/>
        <v>0</v>
      </c>
      <c r="U1204" s="62"/>
      <c r="V1204" s="62"/>
      <c r="W1204" s="62"/>
      <c r="X1204" s="62"/>
      <c r="Y1204" s="62"/>
      <c r="Z1204" s="62"/>
      <c r="AA1204" s="62"/>
      <c r="AB1204" s="62"/>
      <c r="AC1204" s="62"/>
      <c r="AD1204" s="62"/>
      <c r="AE1204" s="62"/>
      <c r="AF1204" s="62"/>
      <c r="AG1204" s="62"/>
      <c r="AH1204" s="62"/>
      <c r="AI1204" s="62"/>
      <c r="AJ1204" s="62"/>
      <c r="AK1204" s="62"/>
      <c r="AL1204" s="62"/>
      <c r="AM1204" s="62"/>
      <c r="AN1204" s="62"/>
      <c r="AO1204" s="62"/>
      <c r="AP1204" s="62"/>
      <c r="AQ1204" s="62"/>
    </row>
    <row r="1205">
      <c r="A1205" s="62"/>
      <c r="B1205" s="63"/>
      <c r="C1205" s="62"/>
      <c r="D1205" s="62"/>
      <c r="E1205" s="62"/>
      <c r="F1205" s="62"/>
      <c r="G1205" s="62"/>
      <c r="H1205" s="62"/>
      <c r="I1205" s="62"/>
      <c r="J1205" s="62"/>
      <c r="K1205" s="62"/>
      <c r="L1205" s="62"/>
      <c r="M1205" s="62"/>
      <c r="N1205" s="62"/>
      <c r="O1205" s="62"/>
      <c r="P1205" s="62"/>
      <c r="Q1205" s="62"/>
      <c r="R1205" s="62"/>
      <c r="S1205" s="62"/>
      <c r="T1205" s="10">
        <f t="shared" si="1"/>
        <v>0</v>
      </c>
      <c r="U1205" s="62"/>
      <c r="V1205" s="62"/>
      <c r="W1205" s="62"/>
      <c r="X1205" s="62"/>
      <c r="Y1205" s="62"/>
      <c r="Z1205" s="62"/>
      <c r="AA1205" s="62"/>
      <c r="AB1205" s="62"/>
      <c r="AC1205" s="62"/>
      <c r="AD1205" s="62"/>
      <c r="AE1205" s="62"/>
      <c r="AF1205" s="62"/>
      <c r="AG1205" s="62"/>
      <c r="AH1205" s="62"/>
      <c r="AI1205" s="62"/>
      <c r="AJ1205" s="62"/>
      <c r="AK1205" s="62"/>
      <c r="AL1205" s="62"/>
      <c r="AM1205" s="62"/>
      <c r="AN1205" s="62"/>
      <c r="AO1205" s="62"/>
      <c r="AP1205" s="62"/>
      <c r="AQ1205" s="62"/>
    </row>
    <row r="1206">
      <c r="A1206" s="62"/>
      <c r="B1206" s="63"/>
      <c r="C1206" s="62"/>
      <c r="D1206" s="62"/>
      <c r="E1206" s="62"/>
      <c r="F1206" s="62"/>
      <c r="G1206" s="62"/>
      <c r="H1206" s="62"/>
      <c r="I1206" s="62"/>
      <c r="J1206" s="62"/>
      <c r="K1206" s="62"/>
      <c r="L1206" s="62"/>
      <c r="M1206" s="62"/>
      <c r="N1206" s="62"/>
      <c r="O1206" s="62"/>
      <c r="P1206" s="62"/>
      <c r="Q1206" s="62"/>
      <c r="R1206" s="62"/>
      <c r="S1206" s="62"/>
      <c r="T1206" s="10">
        <f t="shared" si="1"/>
        <v>0</v>
      </c>
      <c r="U1206" s="62"/>
      <c r="V1206" s="62"/>
      <c r="W1206" s="62"/>
      <c r="X1206" s="62"/>
      <c r="Y1206" s="62"/>
      <c r="Z1206" s="62"/>
      <c r="AA1206" s="62"/>
      <c r="AB1206" s="62"/>
      <c r="AC1206" s="62"/>
      <c r="AD1206" s="62"/>
      <c r="AE1206" s="62"/>
      <c r="AF1206" s="62"/>
      <c r="AG1206" s="62"/>
      <c r="AH1206" s="62"/>
      <c r="AI1206" s="62"/>
      <c r="AJ1206" s="62"/>
      <c r="AK1206" s="62"/>
      <c r="AL1206" s="62"/>
      <c r="AM1206" s="62"/>
      <c r="AN1206" s="62"/>
      <c r="AO1206" s="62"/>
      <c r="AP1206" s="62"/>
      <c r="AQ1206" s="62"/>
    </row>
    <row r="1207">
      <c r="A1207" s="62"/>
      <c r="B1207" s="63"/>
      <c r="C1207" s="62"/>
      <c r="D1207" s="62"/>
      <c r="E1207" s="62"/>
      <c r="F1207" s="62"/>
      <c r="G1207" s="62"/>
      <c r="H1207" s="62"/>
      <c r="I1207" s="62"/>
      <c r="J1207" s="62"/>
      <c r="K1207" s="62"/>
      <c r="L1207" s="62"/>
      <c r="M1207" s="62"/>
      <c r="N1207" s="62"/>
      <c r="O1207" s="62"/>
      <c r="P1207" s="62"/>
      <c r="Q1207" s="62"/>
      <c r="R1207" s="62"/>
      <c r="S1207" s="62"/>
      <c r="T1207" s="10">
        <f t="shared" si="1"/>
        <v>0</v>
      </c>
      <c r="U1207" s="62"/>
      <c r="V1207" s="62"/>
      <c r="W1207" s="62"/>
      <c r="X1207" s="62"/>
      <c r="Y1207" s="62"/>
      <c r="Z1207" s="62"/>
      <c r="AA1207" s="62"/>
      <c r="AB1207" s="62"/>
      <c r="AC1207" s="62"/>
      <c r="AD1207" s="62"/>
      <c r="AE1207" s="62"/>
      <c r="AF1207" s="62"/>
      <c r="AG1207" s="62"/>
      <c r="AH1207" s="62"/>
      <c r="AI1207" s="62"/>
      <c r="AJ1207" s="62"/>
      <c r="AK1207" s="62"/>
      <c r="AL1207" s="62"/>
      <c r="AM1207" s="62"/>
      <c r="AN1207" s="62"/>
      <c r="AO1207" s="62"/>
      <c r="AP1207" s="62"/>
      <c r="AQ1207" s="62"/>
    </row>
    <row r="1208">
      <c r="A1208" s="62"/>
      <c r="B1208" s="63"/>
      <c r="C1208" s="62"/>
      <c r="D1208" s="62"/>
      <c r="E1208" s="62"/>
      <c r="F1208" s="62"/>
      <c r="G1208" s="62"/>
      <c r="H1208" s="62"/>
      <c r="I1208" s="62"/>
      <c r="J1208" s="62"/>
      <c r="K1208" s="62"/>
      <c r="L1208" s="62"/>
      <c r="M1208" s="62"/>
      <c r="N1208" s="62"/>
      <c r="O1208" s="62"/>
      <c r="P1208" s="62"/>
      <c r="Q1208" s="62"/>
      <c r="R1208" s="62"/>
      <c r="S1208" s="62"/>
      <c r="T1208" s="10">
        <f t="shared" si="1"/>
        <v>0</v>
      </c>
      <c r="U1208" s="62"/>
      <c r="V1208" s="62"/>
      <c r="W1208" s="62"/>
      <c r="X1208" s="62"/>
      <c r="Y1208" s="62"/>
      <c r="Z1208" s="62"/>
      <c r="AA1208" s="62"/>
      <c r="AB1208" s="62"/>
      <c r="AC1208" s="62"/>
      <c r="AD1208" s="62"/>
      <c r="AE1208" s="62"/>
      <c r="AF1208" s="62"/>
      <c r="AG1208" s="62"/>
      <c r="AH1208" s="62"/>
      <c r="AI1208" s="62"/>
      <c r="AJ1208" s="62"/>
      <c r="AK1208" s="62"/>
      <c r="AL1208" s="62"/>
      <c r="AM1208" s="62"/>
      <c r="AN1208" s="62"/>
      <c r="AO1208" s="62"/>
      <c r="AP1208" s="62"/>
      <c r="AQ1208" s="62"/>
    </row>
    <row r="1209">
      <c r="A1209" s="62"/>
      <c r="B1209" s="63"/>
      <c r="C1209" s="62"/>
      <c r="D1209" s="62"/>
      <c r="E1209" s="62"/>
      <c r="F1209" s="62"/>
      <c r="G1209" s="62"/>
      <c r="H1209" s="62"/>
      <c r="I1209" s="62"/>
      <c r="J1209" s="62"/>
      <c r="K1209" s="62"/>
      <c r="L1209" s="62"/>
      <c r="M1209" s="62"/>
      <c r="N1209" s="62"/>
      <c r="O1209" s="62"/>
      <c r="P1209" s="62"/>
      <c r="Q1209" s="62"/>
      <c r="R1209" s="62"/>
      <c r="S1209" s="62"/>
      <c r="T1209" s="10">
        <f t="shared" si="1"/>
        <v>0</v>
      </c>
      <c r="U1209" s="62"/>
      <c r="V1209" s="62"/>
      <c r="W1209" s="62"/>
      <c r="X1209" s="62"/>
      <c r="Y1209" s="62"/>
      <c r="Z1209" s="62"/>
      <c r="AA1209" s="62"/>
      <c r="AB1209" s="62"/>
      <c r="AC1209" s="62"/>
      <c r="AD1209" s="62"/>
      <c r="AE1209" s="62"/>
      <c r="AF1209" s="62"/>
      <c r="AG1209" s="62"/>
      <c r="AH1209" s="62"/>
      <c r="AI1209" s="62"/>
      <c r="AJ1209" s="62"/>
      <c r="AK1209" s="62"/>
      <c r="AL1209" s="62"/>
      <c r="AM1209" s="62"/>
      <c r="AN1209" s="62"/>
      <c r="AO1209" s="62"/>
      <c r="AP1209" s="62"/>
      <c r="AQ1209" s="62"/>
    </row>
    <row r="1210">
      <c r="A1210" s="62"/>
      <c r="B1210" s="63"/>
      <c r="C1210" s="62"/>
      <c r="D1210" s="62"/>
      <c r="E1210" s="62"/>
      <c r="F1210" s="62"/>
      <c r="G1210" s="62"/>
      <c r="H1210" s="62"/>
      <c r="I1210" s="62"/>
      <c r="J1210" s="62"/>
      <c r="K1210" s="62"/>
      <c r="L1210" s="62"/>
      <c r="M1210" s="62"/>
      <c r="N1210" s="62"/>
      <c r="O1210" s="62"/>
      <c r="P1210" s="62"/>
      <c r="Q1210" s="62"/>
      <c r="R1210" s="62"/>
      <c r="S1210" s="62"/>
      <c r="T1210" s="10">
        <f t="shared" si="1"/>
        <v>0</v>
      </c>
      <c r="U1210" s="62"/>
      <c r="V1210" s="62"/>
      <c r="W1210" s="62"/>
      <c r="X1210" s="62"/>
      <c r="Y1210" s="62"/>
      <c r="Z1210" s="62"/>
      <c r="AA1210" s="62"/>
      <c r="AB1210" s="62"/>
      <c r="AC1210" s="62"/>
      <c r="AD1210" s="62"/>
      <c r="AE1210" s="62"/>
      <c r="AF1210" s="62"/>
      <c r="AG1210" s="62"/>
      <c r="AH1210" s="62"/>
      <c r="AI1210" s="62"/>
      <c r="AJ1210" s="62"/>
      <c r="AK1210" s="62"/>
      <c r="AL1210" s="62"/>
      <c r="AM1210" s="62"/>
      <c r="AN1210" s="62"/>
      <c r="AO1210" s="62"/>
      <c r="AP1210" s="62"/>
      <c r="AQ1210" s="62"/>
    </row>
  </sheetData>
  <hyperlinks>
    <hyperlink r:id="rId2" ref="C4"/>
    <hyperlink r:id="rId3" ref="I4"/>
    <hyperlink r:id="rId4" ref="J4"/>
    <hyperlink r:id="rId5" ref="K4"/>
    <hyperlink r:id="rId6" location="health" ref="O4"/>
    <hyperlink r:id="rId7" ref="C5"/>
    <hyperlink r:id="rId8" ref="I5"/>
    <hyperlink r:id="rId9" location="health" ref="O5"/>
    <hyperlink r:id="rId10" ref="C6"/>
    <hyperlink r:id="rId11" ref="I6"/>
    <hyperlink r:id="rId12" ref="J6"/>
    <hyperlink r:id="rId13" location="health" ref="O6"/>
    <hyperlink r:id="rId14" location="health" ref="O7"/>
    <hyperlink r:id="rId15" ref="C8"/>
    <hyperlink r:id="rId16" ref="I8"/>
    <hyperlink r:id="rId17" location="health" ref="O8"/>
    <hyperlink r:id="rId18" ref="C9"/>
    <hyperlink r:id="rId19" ref="I9"/>
    <hyperlink r:id="rId20" ref="C11"/>
    <hyperlink r:id="rId21" ref="I11"/>
    <hyperlink r:id="rId22" ref="N12"/>
    <hyperlink r:id="rId23" ref="C15"/>
    <hyperlink r:id="rId24" ref="I15"/>
    <hyperlink r:id="rId25" ref="N15"/>
    <hyperlink r:id="rId26" ref="C16"/>
    <hyperlink r:id="rId27" ref="I16"/>
    <hyperlink r:id="rId28" ref="C17"/>
    <hyperlink r:id="rId29" ref="I17"/>
    <hyperlink r:id="rId30" ref="N17"/>
    <hyperlink r:id="rId31" location="health" ref="O18"/>
    <hyperlink r:id="rId32" ref="L19"/>
    <hyperlink r:id="rId33" ref="N19"/>
    <hyperlink r:id="rId34" ref="N20"/>
    <hyperlink r:id="rId35" ref="K21"/>
    <hyperlink r:id="rId36" ref="N23"/>
    <hyperlink r:id="rId37" ref="N24"/>
    <hyperlink r:id="rId38" ref="N25"/>
    <hyperlink r:id="rId39" location="health" ref="O28"/>
    <hyperlink r:id="rId40" location="health" ref="O29"/>
    <hyperlink r:id="rId41" ref="C32"/>
    <hyperlink r:id="rId42" ref="I32"/>
    <hyperlink r:id="rId43" ref="K32"/>
    <hyperlink r:id="rId44" ref="L32"/>
    <hyperlink r:id="rId45" location="health" ref="O32"/>
    <hyperlink r:id="rId46" ref="C33"/>
    <hyperlink r:id="rId47" ref="I33"/>
    <hyperlink r:id="rId48" ref="K33"/>
    <hyperlink r:id="rId49" ref="M33"/>
    <hyperlink r:id="rId50" ref="N33"/>
    <hyperlink r:id="rId51" location="health" ref="O33"/>
    <hyperlink r:id="rId52" ref="C34"/>
    <hyperlink r:id="rId53" ref="I34"/>
    <hyperlink r:id="rId54" ref="J34"/>
    <hyperlink r:id="rId55" ref="K34"/>
    <hyperlink r:id="rId56" ref="L34"/>
    <hyperlink r:id="rId57" ref="M34"/>
    <hyperlink r:id="rId58" ref="N34"/>
    <hyperlink r:id="rId59" location="health" ref="O34"/>
    <hyperlink r:id="rId60" ref="Q34"/>
    <hyperlink r:id="rId61" ref="C35"/>
    <hyperlink r:id="rId62" ref="I35"/>
    <hyperlink r:id="rId63" ref="K35"/>
    <hyperlink r:id="rId64" ref="L35"/>
    <hyperlink r:id="rId65" ref="M35"/>
    <hyperlink r:id="rId66" ref="N35"/>
    <hyperlink r:id="rId67" location="health" ref="O35"/>
    <hyperlink r:id="rId68" ref="Q35"/>
    <hyperlink r:id="rId69" ref="C36"/>
    <hyperlink r:id="rId70" ref="I36"/>
    <hyperlink r:id="rId71" ref="K36"/>
    <hyperlink r:id="rId72" ref="M36"/>
    <hyperlink r:id="rId73" ref="N36"/>
    <hyperlink r:id="rId74" location="health" ref="O36"/>
    <hyperlink r:id="rId75" ref="Q36"/>
    <hyperlink r:id="rId76" ref="C37"/>
    <hyperlink r:id="rId77" ref="I37"/>
    <hyperlink r:id="rId78" ref="K37"/>
    <hyperlink r:id="rId79" ref="N37"/>
    <hyperlink r:id="rId80" location="health" ref="O37"/>
    <hyperlink r:id="rId81" ref="C38"/>
    <hyperlink r:id="rId82" ref="I38"/>
    <hyperlink r:id="rId83" ref="K38"/>
    <hyperlink r:id="rId84" ref="L38"/>
    <hyperlink r:id="rId85" ref="N38"/>
    <hyperlink r:id="rId86" location="health" ref="O38"/>
    <hyperlink r:id="rId87" ref="C39"/>
    <hyperlink r:id="rId88" ref="I39"/>
    <hyperlink r:id="rId89" ref="K39"/>
    <hyperlink r:id="rId90" ref="L39"/>
    <hyperlink r:id="rId91" ref="N39"/>
    <hyperlink r:id="rId92" location="health" ref="O39"/>
    <hyperlink r:id="rId93" ref="L41"/>
    <hyperlink r:id="rId94" ref="C43"/>
    <hyperlink r:id="rId95" ref="I43"/>
    <hyperlink r:id="rId96" ref="K43"/>
    <hyperlink r:id="rId97" location="health" ref="O43"/>
    <hyperlink r:id="rId98" ref="I44"/>
    <hyperlink r:id="rId99" ref="K44"/>
    <hyperlink r:id="rId100" ref="M44"/>
    <hyperlink r:id="rId101" ref="Q44"/>
    <hyperlink r:id="rId102" ref="C45"/>
    <hyperlink r:id="rId103" ref="I45"/>
    <hyperlink r:id="rId104" ref="K45"/>
    <hyperlink r:id="rId105" ref="M45"/>
    <hyperlink r:id="rId106" ref="I46"/>
    <hyperlink r:id="rId107" ref="K46"/>
    <hyperlink r:id="rId108" location="health" ref="O46"/>
    <hyperlink r:id="rId109" ref="I47"/>
    <hyperlink r:id="rId110" ref="K47"/>
    <hyperlink r:id="rId111" ref="Q47"/>
    <hyperlink r:id="rId112" ref="I48"/>
    <hyperlink r:id="rId113" ref="K48"/>
    <hyperlink r:id="rId114" ref="I49"/>
    <hyperlink r:id="rId115" ref="K49"/>
    <hyperlink r:id="rId116" ref="I50"/>
    <hyperlink r:id="rId117" ref="K50"/>
    <hyperlink r:id="rId118" ref="M50"/>
    <hyperlink r:id="rId119" ref="Q50"/>
    <hyperlink r:id="rId120" ref="I51"/>
    <hyperlink r:id="rId121" ref="K51"/>
    <hyperlink r:id="rId122" location="health" ref="O51"/>
    <hyperlink r:id="rId123" ref="I52"/>
    <hyperlink r:id="rId124" ref="K52"/>
    <hyperlink r:id="rId125" ref="I53"/>
    <hyperlink r:id="rId126" ref="K53"/>
    <hyperlink r:id="rId127" ref="N53"/>
    <hyperlink r:id="rId128" ref="Q53"/>
    <hyperlink r:id="rId129" ref="K55"/>
    <hyperlink r:id="rId130" ref="N55"/>
    <hyperlink r:id="rId131" ref="P55"/>
    <hyperlink r:id="rId132" ref="Q55"/>
    <hyperlink r:id="rId133" ref="K56"/>
    <hyperlink r:id="rId134" ref="M56"/>
    <hyperlink r:id="rId135" ref="N56"/>
    <hyperlink r:id="rId136" ref="P56"/>
    <hyperlink r:id="rId137" ref="K57"/>
    <hyperlink r:id="rId138" ref="P57"/>
    <hyperlink r:id="rId139" ref="Q57"/>
    <hyperlink r:id="rId140" ref="K58"/>
    <hyperlink r:id="rId141" ref="P58"/>
    <hyperlink r:id="rId142" ref="K59"/>
    <hyperlink r:id="rId143" ref="N59"/>
    <hyperlink r:id="rId144" ref="P59"/>
    <hyperlink r:id="rId145" ref="Q59"/>
    <hyperlink r:id="rId146" ref="K60"/>
    <hyperlink r:id="rId147" ref="P60"/>
    <hyperlink r:id="rId148" ref="K61"/>
    <hyperlink r:id="rId149" ref="P61"/>
    <hyperlink r:id="rId150" ref="Q61"/>
    <hyperlink r:id="rId151" ref="K62"/>
    <hyperlink r:id="rId152" ref="P62"/>
    <hyperlink r:id="rId153" ref="K63"/>
    <hyperlink r:id="rId154" ref="P63"/>
    <hyperlink r:id="rId155" ref="J64"/>
    <hyperlink r:id="rId156" ref="K64"/>
    <hyperlink r:id="rId157" ref="L64"/>
    <hyperlink r:id="rId158" ref="N64"/>
    <hyperlink r:id="rId159" ref="J65"/>
    <hyperlink r:id="rId160" ref="K65"/>
    <hyperlink r:id="rId161" ref="N65"/>
    <hyperlink r:id="rId162" ref="K66"/>
    <hyperlink r:id="rId163" ref="K67"/>
    <hyperlink r:id="rId164" ref="K68"/>
    <hyperlink r:id="rId165" ref="K69"/>
    <hyperlink r:id="rId166" ref="K70"/>
    <hyperlink r:id="rId167" ref="K71"/>
    <hyperlink r:id="rId168" location="health" ref="O71"/>
    <hyperlink r:id="rId169" ref="K72"/>
    <hyperlink r:id="rId170" location="health" ref="O72"/>
    <hyperlink r:id="rId171" ref="Q72"/>
    <hyperlink r:id="rId172" ref="K73"/>
    <hyperlink r:id="rId173" ref="Q73"/>
    <hyperlink r:id="rId174" ref="K74"/>
    <hyperlink r:id="rId175" ref="Q74"/>
    <hyperlink r:id="rId176" ref="J75"/>
    <hyperlink r:id="rId177" ref="K75"/>
    <hyperlink r:id="rId178" ref="J76"/>
    <hyperlink r:id="rId179" ref="K76"/>
    <hyperlink r:id="rId180" ref="I78"/>
    <hyperlink r:id="rId181" ref="L78"/>
    <hyperlink r:id="rId182" location="health" ref="O78"/>
    <hyperlink r:id="rId183" ref="Q78"/>
    <hyperlink r:id="rId184" ref="I79"/>
    <hyperlink r:id="rId185" ref="L79"/>
    <hyperlink r:id="rId186" location="health" ref="O79"/>
    <hyperlink r:id="rId187" ref="I83"/>
    <hyperlink r:id="rId188" ref="K83"/>
    <hyperlink r:id="rId189" ref="Q83"/>
    <hyperlink r:id="rId190" ref="I84"/>
    <hyperlink r:id="rId191" ref="K84"/>
    <hyperlink r:id="rId192" ref="I85"/>
    <hyperlink r:id="rId193" ref="K85"/>
    <hyperlink r:id="rId194" ref="L85"/>
    <hyperlink r:id="rId195" ref="M85"/>
    <hyperlink r:id="rId196" ref="Q85"/>
    <hyperlink r:id="rId197" ref="I86"/>
    <hyperlink r:id="rId198" ref="K86"/>
    <hyperlink r:id="rId199" ref="L86"/>
    <hyperlink r:id="rId200" ref="M86"/>
    <hyperlink r:id="rId201" ref="Q86"/>
    <hyperlink r:id="rId202" ref="I87"/>
    <hyperlink r:id="rId203" ref="K87"/>
    <hyperlink r:id="rId204" ref="I88"/>
    <hyperlink r:id="rId205" ref="K88"/>
    <hyperlink r:id="rId206" ref="I89"/>
    <hyperlink r:id="rId207" ref="K89"/>
    <hyperlink r:id="rId208" ref="I90"/>
    <hyperlink r:id="rId209" ref="K90"/>
    <hyperlink r:id="rId210" ref="I91"/>
    <hyperlink r:id="rId211" ref="K91"/>
    <hyperlink r:id="rId212" ref="I92"/>
    <hyperlink r:id="rId213" ref="K92"/>
    <hyperlink r:id="rId214" ref="I93"/>
    <hyperlink r:id="rId215" ref="K93"/>
    <hyperlink r:id="rId216" ref="I94"/>
    <hyperlink r:id="rId217" ref="K94"/>
    <hyperlink r:id="rId218" ref="M94"/>
    <hyperlink r:id="rId219" ref="I95"/>
    <hyperlink r:id="rId220" ref="K95"/>
    <hyperlink r:id="rId221" ref="M95"/>
    <hyperlink r:id="rId222" ref="K97"/>
    <hyperlink r:id="rId223" ref="K98"/>
    <hyperlink r:id="rId224" ref="P101"/>
    <hyperlink r:id="rId225" ref="M103"/>
    <hyperlink r:id="rId226" ref="Q103"/>
    <hyperlink r:id="rId227" ref="K104"/>
    <hyperlink r:id="rId228" ref="J107"/>
    <hyperlink r:id="rId229" ref="J108"/>
    <hyperlink r:id="rId230" ref="N109"/>
    <hyperlink r:id="rId231" ref="K111"/>
    <hyperlink r:id="rId232" ref="I114"/>
    <hyperlink r:id="rId233" ref="I115"/>
    <hyperlink r:id="rId234" ref="I116"/>
    <hyperlink r:id="rId235" ref="K116"/>
    <hyperlink r:id="rId236" ref="M116"/>
    <hyperlink r:id="rId237" ref="N116"/>
    <hyperlink r:id="rId238" ref="I117"/>
    <hyperlink r:id="rId239" ref="I118"/>
    <hyperlink r:id="rId240" location="health" ref="O118"/>
    <hyperlink r:id="rId241" ref="I119"/>
    <hyperlink r:id="rId242" ref="Q119"/>
    <hyperlink r:id="rId243" ref="I120"/>
    <hyperlink r:id="rId244" location="health" ref="O120"/>
    <hyperlink r:id="rId245" ref="I121"/>
    <hyperlink r:id="rId246" ref="K123"/>
    <hyperlink r:id="rId247" ref="L123"/>
    <hyperlink r:id="rId248" ref="M123"/>
    <hyperlink r:id="rId249" location="health" ref="O123"/>
    <hyperlink r:id="rId250" ref="K124"/>
    <hyperlink r:id="rId251" ref="M124"/>
    <hyperlink r:id="rId252" ref="Q124"/>
    <hyperlink r:id="rId253" ref="I127"/>
    <hyperlink r:id="rId254" ref="Q127"/>
    <hyperlink r:id="rId255" ref="I129"/>
    <hyperlink r:id="rId256" ref="I130"/>
    <hyperlink r:id="rId257" ref="I131"/>
    <hyperlink r:id="rId258" ref="I132"/>
    <hyperlink r:id="rId259" ref="K132"/>
    <hyperlink r:id="rId260" ref="N132"/>
    <hyperlink r:id="rId261" ref="Q132"/>
    <hyperlink r:id="rId262" ref="I136"/>
    <hyperlink r:id="rId263" ref="K136"/>
    <hyperlink r:id="rId264" ref="L136"/>
    <hyperlink r:id="rId265" ref="N136"/>
    <hyperlink r:id="rId266" ref="I137"/>
    <hyperlink r:id="rId267" ref="K137"/>
    <hyperlink r:id="rId268" ref="L137"/>
    <hyperlink r:id="rId269" ref="N137"/>
    <hyperlink r:id="rId270" ref="Q137"/>
    <hyperlink r:id="rId271" ref="I138"/>
    <hyperlink r:id="rId272" ref="I139"/>
    <hyperlink r:id="rId273" ref="K139"/>
    <hyperlink r:id="rId274" ref="L139"/>
    <hyperlink r:id="rId275" ref="N139"/>
    <hyperlink r:id="rId276" ref="I140"/>
    <hyperlink r:id="rId277" ref="K140"/>
    <hyperlink r:id="rId278" ref="L140"/>
    <hyperlink r:id="rId279" ref="N140"/>
    <hyperlink r:id="rId280" ref="I141"/>
    <hyperlink r:id="rId281" ref="K141"/>
    <hyperlink r:id="rId282" ref="L141"/>
    <hyperlink r:id="rId283" ref="N141"/>
    <hyperlink r:id="rId284" ref="I142"/>
    <hyperlink r:id="rId285" ref="K142"/>
    <hyperlink r:id="rId286" ref="L142"/>
    <hyperlink r:id="rId287" ref="N142"/>
    <hyperlink r:id="rId288" ref="I143"/>
    <hyperlink r:id="rId289" ref="Q143"/>
    <hyperlink r:id="rId290" ref="I144"/>
    <hyperlink r:id="rId291" ref="L144"/>
    <hyperlink r:id="rId292" ref="N144"/>
    <hyperlink r:id="rId293" ref="I145"/>
    <hyperlink r:id="rId294" ref="L145"/>
    <hyperlink r:id="rId295" ref="N145"/>
    <hyperlink r:id="rId296" ref="N147"/>
    <hyperlink r:id="rId297" ref="L148"/>
    <hyperlink r:id="rId298" ref="N148"/>
    <hyperlink r:id="rId299" ref="L149"/>
    <hyperlink r:id="rId300" ref="N149"/>
    <hyperlink r:id="rId301" ref="K150"/>
    <hyperlink r:id="rId302" ref="L150"/>
    <hyperlink r:id="rId303" ref="N150"/>
    <hyperlink r:id="rId304" ref="Q150"/>
    <hyperlink r:id="rId305" ref="L151"/>
    <hyperlink r:id="rId306" ref="Q151"/>
    <hyperlink r:id="rId307" ref="N152"/>
    <hyperlink r:id="rId308" ref="Q152"/>
    <hyperlink r:id="rId309" ref="J153"/>
    <hyperlink r:id="rId310" ref="L153"/>
    <hyperlink r:id="rId311" ref="L155"/>
    <hyperlink r:id="rId312" ref="I157"/>
    <hyperlink r:id="rId313" ref="I158"/>
    <hyperlink r:id="rId314" ref="I159"/>
    <hyperlink r:id="rId315" ref="I160"/>
    <hyperlink r:id="rId316" ref="I161"/>
    <hyperlink r:id="rId317" ref="I162"/>
    <hyperlink r:id="rId318" ref="Q162"/>
    <hyperlink r:id="rId319" ref="N165"/>
    <hyperlink r:id="rId320" ref="J166"/>
    <hyperlink r:id="rId321" ref="Q169"/>
    <hyperlink r:id="rId322" ref="Q173"/>
    <hyperlink r:id="rId323" ref="N176"/>
    <hyperlink r:id="rId324" ref="N177"/>
    <hyperlink r:id="rId325" ref="I180"/>
    <hyperlink r:id="rId326" ref="Q180"/>
    <hyperlink r:id="rId327" ref="I181"/>
    <hyperlink r:id="rId328" ref="M181"/>
    <hyperlink r:id="rId329" ref="Q181"/>
    <hyperlink r:id="rId330" ref="I182"/>
    <hyperlink r:id="rId331" location="health" ref="O182"/>
    <hyperlink r:id="rId332" ref="I183"/>
    <hyperlink r:id="rId333" ref="M183"/>
    <hyperlink r:id="rId334" ref="O183"/>
    <hyperlink r:id="rId335" ref="I184"/>
    <hyperlink r:id="rId336" ref="I185"/>
    <hyperlink r:id="rId337" ref="I186"/>
    <hyperlink r:id="rId338" ref="I187"/>
    <hyperlink r:id="rId339" ref="I188"/>
    <hyperlink r:id="rId340" ref="I190"/>
    <hyperlink r:id="rId341" ref="K190"/>
    <hyperlink r:id="rId342" ref="L190"/>
    <hyperlink r:id="rId343" ref="N190"/>
    <hyperlink r:id="rId344" location="health" ref="O190"/>
    <hyperlink r:id="rId345" ref="Q190"/>
    <hyperlink r:id="rId346" ref="J192"/>
    <hyperlink r:id="rId347" ref="K192"/>
    <hyperlink r:id="rId348" ref="L192"/>
    <hyperlink r:id="rId349" ref="N192"/>
    <hyperlink r:id="rId350" ref="O192"/>
    <hyperlink r:id="rId351" ref="P192"/>
    <hyperlink r:id="rId352" ref="Q192"/>
    <hyperlink r:id="rId353" ref="K193"/>
    <hyperlink r:id="rId354" ref="L193"/>
    <hyperlink r:id="rId355" ref="N193"/>
    <hyperlink r:id="rId356" ref="O193"/>
    <hyperlink r:id="rId357" ref="K194"/>
    <hyperlink r:id="rId358" ref="L194"/>
    <hyperlink r:id="rId359" ref="N194"/>
    <hyperlink r:id="rId360" ref="O194"/>
    <hyperlink r:id="rId361" ref="I196"/>
    <hyperlink r:id="rId362" ref="M196"/>
    <hyperlink r:id="rId363" location="health" ref="O196"/>
    <hyperlink r:id="rId364" ref="I197"/>
    <hyperlink r:id="rId365" ref="M197"/>
    <hyperlink r:id="rId366" ref="I198"/>
    <hyperlink r:id="rId367" ref="I199"/>
    <hyperlink r:id="rId368" ref="Q199"/>
    <hyperlink r:id="rId369" ref="I201"/>
    <hyperlink r:id="rId370" ref="I202"/>
    <hyperlink r:id="rId371" ref="I203"/>
    <hyperlink r:id="rId372" ref="I205"/>
    <hyperlink r:id="rId373" ref="I206"/>
    <hyperlink r:id="rId374" ref="I207"/>
    <hyperlink r:id="rId375" ref="I209"/>
    <hyperlink r:id="rId376" ref="I210"/>
    <hyperlink r:id="rId377" ref="I211"/>
    <hyperlink r:id="rId378" ref="I212"/>
    <hyperlink r:id="rId379" ref="I214"/>
    <hyperlink r:id="rId380" ref="I215"/>
    <hyperlink r:id="rId381" ref="I217"/>
    <hyperlink r:id="rId382" ref="J217"/>
    <hyperlink r:id="rId383" ref="K217"/>
    <hyperlink r:id="rId384" ref="P217"/>
    <hyperlink r:id="rId385" ref="J219"/>
    <hyperlink r:id="rId386" ref="K219"/>
    <hyperlink r:id="rId387" ref="N219"/>
    <hyperlink r:id="rId388" ref="P219"/>
    <hyperlink r:id="rId389" ref="Q219"/>
    <hyperlink r:id="rId390" ref="P220"/>
    <hyperlink r:id="rId391" ref="Q220"/>
    <hyperlink r:id="rId392" ref="J221"/>
    <hyperlink r:id="rId393" ref="K221"/>
    <hyperlink r:id="rId394" ref="P221"/>
    <hyperlink r:id="rId395" ref="Q221"/>
    <hyperlink r:id="rId396" ref="J222"/>
    <hyperlink r:id="rId397" ref="K222"/>
    <hyperlink r:id="rId398" ref="N222"/>
    <hyperlink r:id="rId399" ref="P222"/>
    <hyperlink r:id="rId400" ref="Q222"/>
    <hyperlink r:id="rId401" ref="J223"/>
    <hyperlink r:id="rId402" ref="K223"/>
    <hyperlink r:id="rId403" ref="P223"/>
    <hyperlink r:id="rId404" ref="J224"/>
    <hyperlink r:id="rId405" ref="K224"/>
    <hyperlink r:id="rId406" ref="P224"/>
    <hyperlink r:id="rId407" ref="J225"/>
    <hyperlink r:id="rId408" ref="K225"/>
    <hyperlink r:id="rId409" ref="I227"/>
    <hyperlink r:id="rId410" ref="K227"/>
    <hyperlink r:id="rId411" ref="N227"/>
    <hyperlink r:id="rId412" ref="J229"/>
    <hyperlink r:id="rId413" ref="K229"/>
    <hyperlink r:id="rId414" ref="L229"/>
    <hyperlink r:id="rId415" ref="N229"/>
    <hyperlink r:id="rId416" ref="Q229"/>
    <hyperlink r:id="rId417" ref="I231"/>
    <hyperlink r:id="rId418" ref="L231"/>
    <hyperlink r:id="rId419" ref="N231"/>
    <hyperlink r:id="rId420" ref="N233"/>
    <hyperlink r:id="rId421" ref="Q233"/>
    <hyperlink r:id="rId422" ref="I235"/>
    <hyperlink r:id="rId423" ref="I238"/>
    <hyperlink r:id="rId424" ref="I239"/>
    <hyperlink r:id="rId425" ref="I240"/>
    <hyperlink r:id="rId426" ref="I241"/>
    <hyperlink r:id="rId427" ref="I242"/>
    <hyperlink r:id="rId428" ref="I243"/>
    <hyperlink r:id="rId429" ref="I244"/>
    <hyperlink r:id="rId430" ref="J246"/>
    <hyperlink r:id="rId431" ref="P246"/>
    <hyperlink r:id="rId432" ref="P247"/>
    <hyperlink r:id="rId433" ref="J248"/>
    <hyperlink r:id="rId434" ref="P248"/>
    <hyperlink r:id="rId435" ref="J249"/>
    <hyperlink r:id="rId436" ref="P249"/>
    <hyperlink r:id="rId437" ref="J250"/>
    <hyperlink r:id="rId438" ref="P250"/>
    <hyperlink r:id="rId439" ref="P251"/>
    <hyperlink r:id="rId440" ref="J252"/>
    <hyperlink r:id="rId441" ref="N252"/>
    <hyperlink r:id="rId442" ref="P252"/>
    <hyperlink r:id="rId443" ref="J253"/>
    <hyperlink r:id="rId444" ref="P253"/>
    <hyperlink r:id="rId445" ref="J255"/>
    <hyperlink r:id="rId446" ref="J257"/>
    <hyperlink r:id="rId447" ref="J258"/>
    <hyperlink r:id="rId448" ref="J259"/>
    <hyperlink r:id="rId449" ref="N259"/>
    <hyperlink r:id="rId450" ref="J260"/>
    <hyperlink r:id="rId451" ref="N260"/>
    <hyperlink r:id="rId452" ref="J261"/>
    <hyperlink r:id="rId453" ref="K261"/>
    <hyperlink r:id="rId454" ref="L261"/>
    <hyperlink r:id="rId455" ref="J262"/>
    <hyperlink r:id="rId456" ref="J263"/>
    <hyperlink r:id="rId457" ref="J264"/>
    <hyperlink r:id="rId458" ref="J265"/>
    <hyperlink r:id="rId459" ref="J266"/>
    <hyperlink r:id="rId460" ref="L268"/>
    <hyperlink r:id="rId461" ref="I270"/>
    <hyperlink r:id="rId462" ref="I271"/>
    <hyperlink r:id="rId463" ref="K271"/>
    <hyperlink r:id="rId464" ref="I272"/>
    <hyperlink r:id="rId465" ref="I273"/>
    <hyperlink r:id="rId466" ref="I274"/>
    <hyperlink r:id="rId467" ref="J274"/>
    <hyperlink r:id="rId468" ref="K274"/>
    <hyperlink r:id="rId469" ref="L274"/>
    <hyperlink r:id="rId470" ref="I275"/>
    <hyperlink r:id="rId471" ref="J280"/>
    <hyperlink r:id="rId472" ref="L280"/>
    <hyperlink r:id="rId473" ref="N280"/>
    <hyperlink r:id="rId474" ref="P280"/>
    <hyperlink r:id="rId475" ref="Q280"/>
    <hyperlink r:id="rId476" ref="J281"/>
    <hyperlink r:id="rId477" ref="N281"/>
    <hyperlink r:id="rId478" ref="Q281"/>
    <hyperlink r:id="rId479" ref="P282"/>
    <hyperlink r:id="rId480" ref="J285"/>
    <hyperlink r:id="rId481" ref="K285"/>
    <hyperlink r:id="rId482" ref="J286"/>
    <hyperlink r:id="rId483" ref="K286"/>
    <hyperlink r:id="rId484" ref="J287"/>
    <hyperlink r:id="rId485" ref="K287"/>
    <hyperlink r:id="rId486" ref="J288"/>
    <hyperlink r:id="rId487" ref="K288"/>
    <hyperlink r:id="rId488" ref="J289"/>
    <hyperlink r:id="rId489" ref="K289"/>
    <hyperlink r:id="rId490" ref="J290"/>
    <hyperlink r:id="rId491" ref="K290"/>
    <hyperlink r:id="rId492" ref="J291"/>
    <hyperlink r:id="rId493" ref="K291"/>
    <hyperlink r:id="rId494" ref="K292"/>
    <hyperlink r:id="rId495" ref="K293"/>
    <hyperlink r:id="rId496" ref="K295"/>
    <hyperlink r:id="rId497" ref="L296"/>
    <hyperlink r:id="rId498" ref="I298"/>
    <hyperlink r:id="rId499" ref="J298"/>
    <hyperlink r:id="rId500" ref="K298"/>
    <hyperlink r:id="rId501" ref="M298"/>
    <hyperlink r:id="rId502" ref="I299"/>
    <hyperlink r:id="rId503" ref="K299"/>
    <hyperlink r:id="rId504" ref="P303"/>
    <hyperlink r:id="rId505" ref="J304"/>
    <hyperlink r:id="rId506" ref="K304"/>
    <hyperlink r:id="rId507" ref="L304"/>
    <hyperlink r:id="rId508" ref="K305"/>
    <hyperlink r:id="rId509" ref="N305"/>
    <hyperlink r:id="rId510" ref="K306"/>
    <hyperlink r:id="rId511" ref="N306"/>
    <hyperlink r:id="rId512" ref="K307"/>
    <hyperlink r:id="rId513" ref="N307"/>
    <hyperlink r:id="rId514" ref="K308"/>
    <hyperlink r:id="rId515" ref="K309"/>
    <hyperlink r:id="rId516" ref="I311"/>
    <hyperlink r:id="rId517" ref="I312"/>
    <hyperlink r:id="rId518" ref="I313"/>
    <hyperlink r:id="rId519" location="health" ref="O313"/>
    <hyperlink r:id="rId520" ref="I314"/>
    <hyperlink r:id="rId521" location="health" ref="O314"/>
    <hyperlink r:id="rId522" ref="P317"/>
    <hyperlink r:id="rId523" ref="J318"/>
    <hyperlink r:id="rId524" ref="I320"/>
    <hyperlink r:id="rId525" ref="J320"/>
    <hyperlink r:id="rId526" ref="K320"/>
    <hyperlink r:id="rId527" ref="L320"/>
    <hyperlink r:id="rId528" ref="M320"/>
    <hyperlink r:id="rId529" ref="I321"/>
    <hyperlink r:id="rId530" ref="J321"/>
    <hyperlink r:id="rId531" ref="K321"/>
    <hyperlink r:id="rId532" ref="L321"/>
    <hyperlink r:id="rId533" ref="I322"/>
    <hyperlink r:id="rId534" ref="K322"/>
    <hyperlink r:id="rId535" ref="L322"/>
    <hyperlink r:id="rId536" ref="M322"/>
    <hyperlink r:id="rId537" ref="N322"/>
    <hyperlink r:id="rId538" ref="I323"/>
    <hyperlink r:id="rId539" ref="K323"/>
    <hyperlink r:id="rId540" ref="L323"/>
    <hyperlink r:id="rId541" ref="M323"/>
    <hyperlink r:id="rId542" ref="I324"/>
    <hyperlink r:id="rId543" ref="I325"/>
    <hyperlink r:id="rId544" ref="J325"/>
    <hyperlink r:id="rId545" location="health" ref="O325"/>
    <hyperlink r:id="rId546" ref="I326"/>
    <hyperlink r:id="rId547" ref="J326"/>
    <hyperlink r:id="rId548" location="health" ref="O326"/>
    <hyperlink r:id="rId549" ref="I327"/>
    <hyperlink r:id="rId550" ref="J329"/>
    <hyperlink r:id="rId551" ref="K329"/>
    <hyperlink r:id="rId552" ref="L329"/>
    <hyperlink r:id="rId553" ref="M329"/>
    <hyperlink r:id="rId554" ref="J330"/>
    <hyperlink r:id="rId555" ref="K330"/>
    <hyperlink r:id="rId556" ref="M330"/>
    <hyperlink r:id="rId557" ref="J331"/>
    <hyperlink r:id="rId558" ref="K337"/>
    <hyperlink r:id="rId559" ref="K339"/>
    <hyperlink r:id="rId560" ref="K340"/>
    <hyperlink r:id="rId561" ref="K341"/>
    <hyperlink r:id="rId562" ref="P345"/>
    <hyperlink r:id="rId563" ref="P346"/>
    <hyperlink r:id="rId564" ref="P347"/>
    <hyperlink r:id="rId565" ref="P348"/>
    <hyperlink r:id="rId566" ref="J349"/>
    <hyperlink r:id="rId567" ref="J350"/>
    <hyperlink r:id="rId568" ref="N350"/>
    <hyperlink r:id="rId569" ref="J351"/>
    <hyperlink r:id="rId570" ref="N351"/>
    <hyperlink r:id="rId571" ref="J352"/>
    <hyperlink r:id="rId572" ref="N352"/>
    <hyperlink r:id="rId573" ref="J353"/>
    <hyperlink r:id="rId574" ref="J354"/>
    <hyperlink r:id="rId575" ref="J355"/>
    <hyperlink r:id="rId576" ref="J356"/>
    <hyperlink r:id="rId577" ref="L356"/>
    <hyperlink r:id="rId578" ref="K357"/>
    <hyperlink r:id="rId579" ref="L357"/>
    <hyperlink r:id="rId580" ref="K358"/>
    <hyperlink r:id="rId581" ref="L358"/>
    <hyperlink r:id="rId582" ref="K359"/>
    <hyperlink r:id="rId583" ref="L359"/>
    <hyperlink r:id="rId584" ref="I361"/>
    <hyperlink r:id="rId585" ref="I365"/>
    <hyperlink r:id="rId586" ref="L367"/>
    <hyperlink r:id="rId587" ref="L368"/>
    <hyperlink r:id="rId588" ref="P370"/>
    <hyperlink r:id="rId589" ref="P371"/>
    <hyperlink r:id="rId590" ref="N372"/>
  </hyperlinks>
  <printOptions gridLines="1" horizontalCentered="1"/>
  <pageMargins bottom="0.75" footer="0.0" header="0.0" left="0.7" right="0.7" top="0.75"/>
  <pageSetup fitToHeight="0" cellComments="atEnd" orientation="landscape" pageOrder="overThenDown" paperHeight="60in" paperWidth="60in"/>
  <drawing r:id="rId591"/>
  <legacyDrawing r:id="rId5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4"/>
      <c r="C1" s="4"/>
      <c r="D1" s="4"/>
      <c r="E1" s="4"/>
      <c r="F1" s="4"/>
      <c r="G1" s="4"/>
      <c r="H1" s="4"/>
      <c r="I1" s="4"/>
      <c r="J1" s="4"/>
      <c r="K1" s="4"/>
      <c r="L1" s="4"/>
      <c r="M1" s="4"/>
      <c r="N1" s="4"/>
      <c r="O1" s="4"/>
      <c r="P1" s="4"/>
      <c r="Q1" s="4"/>
      <c r="R1" s="4"/>
      <c r="S1" s="4"/>
      <c r="T1" s="4"/>
      <c r="U1" s="4"/>
      <c r="V1" s="4"/>
      <c r="W1" s="4"/>
      <c r="X1" s="4"/>
      <c r="Y1" s="4"/>
      <c r="Z1" s="4"/>
    </row>
    <row r="2">
      <c r="A2" s="5" t="s">
        <v>21</v>
      </c>
      <c r="B2" s="6"/>
      <c r="C2" s="6"/>
      <c r="D2" s="6"/>
      <c r="E2" s="6"/>
      <c r="F2" s="6"/>
      <c r="G2" s="6"/>
      <c r="H2" s="6"/>
      <c r="I2" s="6"/>
      <c r="J2" s="6"/>
      <c r="K2" s="6"/>
      <c r="L2" s="6"/>
      <c r="M2" s="6"/>
      <c r="N2" s="6"/>
      <c r="O2" s="6"/>
      <c r="P2" s="6"/>
      <c r="Q2" s="6"/>
      <c r="R2" s="6"/>
      <c r="S2" s="6"/>
      <c r="T2" s="6"/>
      <c r="U2" s="6"/>
      <c r="V2" s="6"/>
      <c r="W2" s="6"/>
      <c r="X2" s="6"/>
      <c r="Y2" s="6"/>
      <c r="Z2" s="6"/>
    </row>
    <row r="3">
      <c r="A3" s="7" t="s">
        <v>22</v>
      </c>
    </row>
    <row r="4">
      <c r="A4" s="7" t="s">
        <v>24</v>
      </c>
    </row>
    <row r="5">
      <c r="A5" s="7" t="s">
        <v>25</v>
      </c>
    </row>
    <row r="6">
      <c r="A6" s="7" t="s">
        <v>26</v>
      </c>
    </row>
    <row r="7">
      <c r="A7" s="7" t="s">
        <v>27</v>
      </c>
    </row>
    <row r="8">
      <c r="A8" s="5" t="s">
        <v>28</v>
      </c>
      <c r="B8" s="6"/>
      <c r="C8" s="6"/>
      <c r="D8" s="6"/>
      <c r="E8" s="6"/>
      <c r="F8" s="6"/>
      <c r="G8" s="6"/>
      <c r="H8" s="6"/>
      <c r="I8" s="6"/>
      <c r="J8" s="6"/>
      <c r="K8" s="6"/>
      <c r="L8" s="6"/>
      <c r="M8" s="6"/>
      <c r="N8" s="6"/>
      <c r="O8" s="6"/>
      <c r="P8" s="6"/>
      <c r="Q8" s="6"/>
      <c r="R8" s="6"/>
      <c r="S8" s="6"/>
      <c r="T8" s="6"/>
      <c r="U8" s="6"/>
      <c r="V8" s="6"/>
      <c r="W8" s="6"/>
      <c r="X8" s="6"/>
      <c r="Y8" s="6"/>
      <c r="Z8" s="6"/>
    </row>
    <row r="9">
      <c r="A9" s="9" t="s">
        <v>29</v>
      </c>
    </row>
    <row r="10">
      <c r="A10" s="9" t="s">
        <v>30</v>
      </c>
    </row>
    <row r="11">
      <c r="A11" s="9" t="s">
        <v>31</v>
      </c>
    </row>
    <row r="12">
      <c r="A12" s="9" t="s">
        <v>32</v>
      </c>
    </row>
    <row r="13">
      <c r="A13" s="5" t="s">
        <v>33</v>
      </c>
      <c r="B13" s="6"/>
      <c r="C13" s="6"/>
      <c r="D13" s="6"/>
      <c r="E13" s="6"/>
      <c r="F13" s="6"/>
      <c r="G13" s="6"/>
      <c r="H13" s="6"/>
      <c r="I13" s="6"/>
      <c r="J13" s="6"/>
      <c r="K13" s="6"/>
      <c r="L13" s="6"/>
      <c r="M13" s="6"/>
      <c r="N13" s="6"/>
      <c r="O13" s="6"/>
      <c r="P13" s="6"/>
      <c r="Q13" s="6"/>
      <c r="R13" s="6"/>
      <c r="S13" s="6"/>
      <c r="T13" s="6"/>
      <c r="U13" s="6"/>
      <c r="V13" s="6"/>
      <c r="W13" s="6"/>
      <c r="X13" s="6"/>
      <c r="Y13" s="6"/>
      <c r="Z13" s="6"/>
    </row>
    <row r="14">
      <c r="A14" s="9" t="s">
        <v>34</v>
      </c>
    </row>
    <row r="15">
      <c r="A15" s="9" t="s">
        <v>35</v>
      </c>
    </row>
    <row r="16">
      <c r="A16" s="9" t="s">
        <v>36</v>
      </c>
    </row>
    <row r="17">
      <c r="A17" s="9" t="s">
        <v>37</v>
      </c>
    </row>
    <row r="18">
      <c r="A18" s="9" t="s">
        <v>38</v>
      </c>
    </row>
    <row r="19">
      <c r="A19" s="5" t="s">
        <v>39</v>
      </c>
      <c r="B19" s="6"/>
      <c r="C19" s="6"/>
      <c r="D19" s="6"/>
      <c r="E19" s="6"/>
      <c r="F19" s="6"/>
      <c r="G19" s="6"/>
      <c r="H19" s="6"/>
      <c r="I19" s="6"/>
      <c r="J19" s="6"/>
      <c r="K19" s="6"/>
      <c r="L19" s="6"/>
      <c r="M19" s="6"/>
      <c r="N19" s="6"/>
      <c r="O19" s="6"/>
      <c r="P19" s="6"/>
      <c r="Q19" s="6"/>
      <c r="R19" s="6"/>
      <c r="S19" s="6"/>
      <c r="T19" s="6"/>
      <c r="U19" s="6"/>
      <c r="V19" s="6"/>
      <c r="W19" s="6"/>
      <c r="X19" s="6"/>
      <c r="Y19" s="6"/>
      <c r="Z19" s="6"/>
    </row>
    <row r="20">
      <c r="A20" s="9" t="s">
        <v>40</v>
      </c>
    </row>
    <row r="21">
      <c r="A21" s="9" t="s">
        <v>41</v>
      </c>
    </row>
    <row r="22">
      <c r="A22" s="9" t="s">
        <v>42</v>
      </c>
    </row>
    <row r="23">
      <c r="A23" s="9" t="s">
        <v>43</v>
      </c>
    </row>
    <row r="24">
      <c r="A24" s="9" t="s">
        <v>44</v>
      </c>
    </row>
    <row r="25">
      <c r="A25" s="9" t="s">
        <v>45</v>
      </c>
    </row>
    <row r="26">
      <c r="A26" s="9" t="s">
        <v>46</v>
      </c>
    </row>
    <row r="27">
      <c r="A27" s="9" t="s">
        <v>47</v>
      </c>
    </row>
    <row r="28">
      <c r="A28" s="9" t="s">
        <v>48</v>
      </c>
    </row>
    <row r="29">
      <c r="A29" s="9" t="s">
        <v>49</v>
      </c>
    </row>
    <row r="30">
      <c r="A30" s="9" t="s">
        <v>50</v>
      </c>
    </row>
    <row r="31">
      <c r="A31" s="5" t="s">
        <v>51</v>
      </c>
      <c r="B31" s="6"/>
      <c r="C31" s="6"/>
      <c r="D31" s="6"/>
      <c r="E31" s="6"/>
      <c r="F31" s="6"/>
      <c r="G31" s="6"/>
      <c r="H31" s="6"/>
      <c r="I31" s="6"/>
      <c r="J31" s="6"/>
      <c r="K31" s="6"/>
      <c r="L31" s="6"/>
      <c r="M31" s="6"/>
      <c r="N31" s="6"/>
      <c r="O31" s="6"/>
      <c r="P31" s="6"/>
      <c r="Q31" s="6"/>
      <c r="R31" s="6"/>
      <c r="S31" s="6"/>
      <c r="T31" s="6"/>
      <c r="U31" s="6"/>
      <c r="V31" s="6"/>
      <c r="W31" s="6"/>
      <c r="X31" s="6"/>
      <c r="Y31" s="6"/>
      <c r="Z31" s="6"/>
    </row>
    <row r="32">
      <c r="A32" s="9" t="s">
        <v>52</v>
      </c>
    </row>
    <row r="33">
      <c r="A33" s="9" t="s">
        <v>53</v>
      </c>
    </row>
    <row r="34">
      <c r="A34" s="9" t="s">
        <v>54</v>
      </c>
    </row>
    <row r="35">
      <c r="A35" s="9" t="s">
        <v>55</v>
      </c>
    </row>
    <row r="36">
      <c r="A36" s="9" t="s">
        <v>56</v>
      </c>
    </row>
    <row r="37">
      <c r="A37" s="9" t="s">
        <v>57</v>
      </c>
    </row>
    <row r="38">
      <c r="A38" s="9" t="s">
        <v>58</v>
      </c>
    </row>
    <row r="39">
      <c r="A39" s="11"/>
    </row>
    <row r="40">
      <c r="A40" s="11" t="s">
        <v>59</v>
      </c>
    </row>
    <row r="41">
      <c r="A41" s="9" t="s">
        <v>60</v>
      </c>
    </row>
    <row r="42">
      <c r="A42" s="9"/>
    </row>
    <row r="43">
      <c r="A43" s="2" t="s">
        <v>61</v>
      </c>
      <c r="B43" s="4"/>
      <c r="C43" s="4"/>
      <c r="D43" s="4"/>
      <c r="E43" s="4"/>
      <c r="F43" s="4"/>
      <c r="G43" s="4"/>
      <c r="H43" s="4"/>
      <c r="I43" s="4"/>
      <c r="J43" s="4"/>
      <c r="K43" s="4"/>
      <c r="L43" s="4"/>
      <c r="M43" s="4"/>
      <c r="N43" s="4"/>
      <c r="O43" s="4"/>
      <c r="P43" s="4"/>
      <c r="Q43" s="4"/>
      <c r="R43" s="4"/>
      <c r="S43" s="4"/>
      <c r="T43" s="4"/>
      <c r="U43" s="4"/>
      <c r="V43" s="4"/>
      <c r="W43" s="4"/>
      <c r="X43" s="4"/>
      <c r="Y43" s="4"/>
      <c r="Z43" s="4"/>
    </row>
    <row r="44">
      <c r="A44" s="9" t="s">
        <v>62</v>
      </c>
    </row>
    <row r="45">
      <c r="A45" s="9" t="s">
        <v>63</v>
      </c>
    </row>
    <row r="46">
      <c r="A46" s="9" t="s">
        <v>64</v>
      </c>
    </row>
    <row r="47">
      <c r="A47" s="9" t="s">
        <v>65</v>
      </c>
    </row>
    <row r="48">
      <c r="A48" s="9" t="s">
        <v>42</v>
      </c>
    </row>
    <row r="49">
      <c r="A49" s="9" t="s">
        <v>45</v>
      </c>
    </row>
    <row r="50">
      <c r="A50" s="9" t="s">
        <v>67</v>
      </c>
    </row>
    <row r="51">
      <c r="A51" s="9" t="s">
        <v>48</v>
      </c>
    </row>
    <row r="52">
      <c r="A52" s="9" t="s">
        <v>34</v>
      </c>
    </row>
    <row r="53">
      <c r="A53" s="9" t="s">
        <v>33</v>
      </c>
    </row>
    <row r="54">
      <c r="A54" s="9" t="s">
        <v>68</v>
      </c>
    </row>
    <row r="55">
      <c r="A55" s="9" t="s">
        <v>69</v>
      </c>
    </row>
    <row r="56">
      <c r="A56" s="9" t="s">
        <v>70</v>
      </c>
    </row>
    <row r="57">
      <c r="A57" s="9" t="s">
        <v>71</v>
      </c>
    </row>
    <row r="58">
      <c r="A58" s="9"/>
    </row>
    <row r="59">
      <c r="A59" s="9" t="s">
        <v>72</v>
      </c>
    </row>
    <row r="60">
      <c r="A60" s="9"/>
    </row>
    <row r="61">
      <c r="A61" s="2" t="s">
        <v>73</v>
      </c>
      <c r="B61" s="4"/>
      <c r="C61" s="4"/>
      <c r="D61" s="4"/>
      <c r="E61" s="4"/>
      <c r="F61" s="4"/>
      <c r="G61" s="4"/>
      <c r="H61" s="4"/>
      <c r="I61" s="4"/>
      <c r="J61" s="4"/>
      <c r="K61" s="4"/>
      <c r="L61" s="4"/>
      <c r="M61" s="4"/>
      <c r="N61" s="4"/>
      <c r="O61" s="4"/>
      <c r="P61" s="4"/>
      <c r="Q61" s="4"/>
      <c r="R61" s="4"/>
      <c r="S61" s="4"/>
      <c r="T61" s="4"/>
      <c r="U61" s="4"/>
      <c r="V61" s="4"/>
      <c r="W61" s="4"/>
      <c r="X61" s="4"/>
      <c r="Y61" s="4"/>
      <c r="Z61" s="4"/>
    </row>
    <row r="62">
      <c r="A62" s="17" t="s">
        <v>22</v>
      </c>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9" t="s">
        <v>75</v>
      </c>
    </row>
    <row r="64">
      <c r="A64" s="9" t="s">
        <v>76</v>
      </c>
    </row>
    <row r="65">
      <c r="A65" s="9" t="s">
        <v>78</v>
      </c>
    </row>
    <row r="66">
      <c r="A66" s="9" t="s">
        <v>79</v>
      </c>
    </row>
    <row r="67">
      <c r="A67" s="9" t="s">
        <v>80</v>
      </c>
    </row>
    <row r="68">
      <c r="A68" s="9" t="s">
        <v>81</v>
      </c>
    </row>
    <row r="69">
      <c r="A69" s="9" t="s">
        <v>82</v>
      </c>
    </row>
    <row r="70">
      <c r="A70" s="9" t="s">
        <v>83</v>
      </c>
    </row>
    <row r="71">
      <c r="A71" s="9" t="s">
        <v>84</v>
      </c>
    </row>
    <row r="72">
      <c r="A72" s="9" t="s">
        <v>85</v>
      </c>
    </row>
    <row r="73">
      <c r="A73" s="9" t="s">
        <v>87</v>
      </c>
    </row>
    <row r="74">
      <c r="A74" s="9" t="s">
        <v>88</v>
      </c>
    </row>
    <row r="75">
      <c r="A75" s="9" t="s">
        <v>89</v>
      </c>
    </row>
    <row r="76">
      <c r="A76" s="9" t="s">
        <v>90</v>
      </c>
    </row>
    <row r="78">
      <c r="A78" s="9" t="s">
        <v>91</v>
      </c>
    </row>
    <row r="79">
      <c r="A79" s="9"/>
    </row>
    <row r="80">
      <c r="A80" s="2" t="s">
        <v>92</v>
      </c>
      <c r="B80" s="4"/>
      <c r="C80" s="4"/>
      <c r="D80" s="4"/>
      <c r="E80" s="4"/>
      <c r="F80" s="4"/>
      <c r="G80" s="4"/>
      <c r="H80" s="4"/>
      <c r="I80" s="4"/>
      <c r="J80" s="4"/>
      <c r="K80" s="4"/>
      <c r="L80" s="4"/>
      <c r="M80" s="4"/>
      <c r="N80" s="4"/>
      <c r="O80" s="4"/>
      <c r="P80" s="4"/>
      <c r="Q80" s="4"/>
      <c r="R80" s="4"/>
      <c r="S80" s="4"/>
      <c r="T80" s="4"/>
      <c r="U80" s="4"/>
      <c r="V80" s="4"/>
      <c r="W80" s="4"/>
      <c r="X80" s="4"/>
      <c r="Y80" s="4"/>
      <c r="Z80" s="4"/>
    </row>
    <row r="81">
      <c r="A81" s="9" t="s">
        <v>28</v>
      </c>
    </row>
    <row r="82">
      <c r="A82" s="9" t="s">
        <v>93</v>
      </c>
    </row>
    <row r="83">
      <c r="A83" s="9" t="s">
        <v>81</v>
      </c>
    </row>
    <row r="84">
      <c r="A84" s="9" t="s">
        <v>94</v>
      </c>
    </row>
    <row r="85">
      <c r="A85" s="9" t="s">
        <v>95</v>
      </c>
    </row>
    <row r="86">
      <c r="A86" s="9" t="s">
        <v>54</v>
      </c>
    </row>
    <row r="87">
      <c r="A87" s="9" t="s">
        <v>97</v>
      </c>
    </row>
    <row r="88">
      <c r="A88" s="9" t="s">
        <v>98</v>
      </c>
    </row>
    <row r="89">
      <c r="A89" s="9" t="s">
        <v>99</v>
      </c>
    </row>
    <row r="90">
      <c r="A90" s="9"/>
    </row>
    <row r="91">
      <c r="A91" s="9" t="s">
        <v>100</v>
      </c>
    </row>
    <row r="92">
      <c r="A92" s="9"/>
    </row>
    <row r="93">
      <c r="A93" s="2" t="s">
        <v>101</v>
      </c>
      <c r="B93" s="4"/>
      <c r="C93" s="4"/>
      <c r="D93" s="4"/>
      <c r="E93" s="4"/>
      <c r="F93" s="4"/>
      <c r="G93" s="4"/>
      <c r="H93" s="4"/>
      <c r="I93" s="4"/>
      <c r="J93" s="4"/>
      <c r="K93" s="4"/>
      <c r="L93" s="4"/>
      <c r="M93" s="4"/>
      <c r="N93" s="4"/>
      <c r="O93" s="4"/>
      <c r="P93" s="4"/>
      <c r="Q93" s="4"/>
      <c r="R93" s="4"/>
      <c r="S93" s="4"/>
      <c r="T93" s="4"/>
      <c r="U93" s="4"/>
      <c r="V93" s="4"/>
      <c r="W93" s="4"/>
      <c r="X93" s="4"/>
      <c r="Y93" s="4"/>
      <c r="Z93" s="4"/>
    </row>
    <row r="94">
      <c r="A94" s="9" t="s">
        <v>103</v>
      </c>
    </row>
    <row r="95">
      <c r="A95" s="9" t="s">
        <v>28</v>
      </c>
    </row>
    <row r="96">
      <c r="A96" s="9" t="s">
        <v>104</v>
      </c>
    </row>
    <row r="97">
      <c r="A97" s="9" t="s">
        <v>105</v>
      </c>
    </row>
    <row r="98">
      <c r="A98" s="9" t="s">
        <v>106</v>
      </c>
    </row>
    <row r="99">
      <c r="A99" s="9" t="s">
        <v>107</v>
      </c>
    </row>
    <row r="100">
      <c r="A100" s="9" t="s">
        <v>87</v>
      </c>
    </row>
    <row r="101">
      <c r="A101" s="9" t="s">
        <v>109</v>
      </c>
    </row>
    <row r="102">
      <c r="A102" s="9" t="s">
        <v>110</v>
      </c>
    </row>
    <row r="103">
      <c r="A103" s="9" t="s">
        <v>111</v>
      </c>
    </row>
    <row r="104">
      <c r="A104" s="9" t="s">
        <v>112</v>
      </c>
    </row>
    <row r="105">
      <c r="A105" s="9" t="s">
        <v>113</v>
      </c>
    </row>
    <row r="107">
      <c r="A107" s="9" t="s">
        <v>114</v>
      </c>
    </row>
    <row r="109">
      <c r="A109" s="2" t="s">
        <v>115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9" t="s">
        <v>116</v>
      </c>
    </row>
    <row r="111">
      <c r="A111" s="9" t="s">
        <v>117</v>
      </c>
    </row>
    <row r="112">
      <c r="A112" s="9" t="s">
        <v>118</v>
      </c>
    </row>
    <row r="113">
      <c r="A113" s="9" t="s">
        <v>119</v>
      </c>
    </row>
    <row r="114">
      <c r="A114" s="9" t="s">
        <v>120</v>
      </c>
    </row>
    <row r="115">
      <c r="A115" s="9" t="s">
        <v>48</v>
      </c>
    </row>
    <row r="116">
      <c r="A116" s="9" t="s">
        <v>121</v>
      </c>
    </row>
    <row r="117">
      <c r="A117" s="9" t="s">
        <v>123</v>
      </c>
    </row>
    <row r="118">
      <c r="A118" s="9" t="s">
        <v>124</v>
      </c>
    </row>
    <row r="119">
      <c r="A119" s="9" t="s">
        <v>125</v>
      </c>
    </row>
    <row r="120">
      <c r="A120" s="9" t="s">
        <v>49</v>
      </c>
    </row>
    <row r="121">
      <c r="A121" s="9" t="s">
        <v>126</v>
      </c>
    </row>
    <row r="123">
      <c r="A123" s="9" t="s">
        <v>127</v>
      </c>
    </row>
    <row r="125">
      <c r="A125" s="2" t="s">
        <v>128</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9" t="s">
        <v>130</v>
      </c>
    </row>
    <row r="127">
      <c r="A127" s="9" t="s">
        <v>131</v>
      </c>
    </row>
    <row r="128">
      <c r="A128" s="9" t="s">
        <v>132</v>
      </c>
    </row>
    <row r="129">
      <c r="A129" s="9" t="s">
        <v>133</v>
      </c>
    </row>
    <row r="130">
      <c r="A130" s="9" t="s">
        <v>42</v>
      </c>
    </row>
    <row r="131">
      <c r="A131" s="9" t="s">
        <v>134</v>
      </c>
    </row>
    <row r="132">
      <c r="A132" s="9" t="s">
        <v>121</v>
      </c>
    </row>
    <row r="133">
      <c r="A133" s="9" t="s">
        <v>136</v>
      </c>
    </row>
    <row r="134">
      <c r="A134" s="9" t="s">
        <v>137</v>
      </c>
    </row>
    <row r="135">
      <c r="A135" s="9" t="s">
        <v>138</v>
      </c>
    </row>
    <row r="137">
      <c r="A137" s="9" t="s">
        <v>139</v>
      </c>
    </row>
    <row r="139">
      <c r="A139" s="2" t="s">
        <v>141</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9" t="s">
        <v>142</v>
      </c>
    </row>
    <row r="141">
      <c r="A141" s="9" t="s">
        <v>143</v>
      </c>
    </row>
    <row r="142">
      <c r="A142" s="9" t="s">
        <v>144</v>
      </c>
    </row>
    <row r="144">
      <c r="A144" s="9" t="s">
        <v>145</v>
      </c>
    </row>
    <row r="146">
      <c r="A146" s="2" t="s">
        <v>146</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9" t="s">
        <v>148</v>
      </c>
    </row>
    <row r="148">
      <c r="A148" s="9" t="s">
        <v>149</v>
      </c>
    </row>
    <row r="149">
      <c r="A149" s="9" t="s">
        <v>150</v>
      </c>
    </row>
    <row r="150">
      <c r="A150" s="9" t="s">
        <v>151</v>
      </c>
    </row>
    <row r="151">
      <c r="A151" s="9" t="s">
        <v>152</v>
      </c>
    </row>
    <row r="152">
      <c r="A152" s="9" t="s">
        <v>153</v>
      </c>
    </row>
    <row r="154">
      <c r="A154" s="11" t="s">
        <v>154</v>
      </c>
    </row>
    <row r="155">
      <c r="A155" s="9" t="s">
        <v>155</v>
      </c>
    </row>
    <row r="157">
      <c r="A157" s="2" t="s">
        <v>157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9" t="s">
        <v>80</v>
      </c>
    </row>
    <row r="159">
      <c r="A159" s="9" t="s">
        <v>158</v>
      </c>
    </row>
    <row r="160">
      <c r="A160" s="9" t="s">
        <v>159</v>
      </c>
    </row>
    <row r="161">
      <c r="A161" s="9" t="s">
        <v>160</v>
      </c>
    </row>
    <row r="162">
      <c r="A162" s="9" t="s">
        <v>162</v>
      </c>
    </row>
    <row r="163">
      <c r="A163" s="9" t="s">
        <v>165</v>
      </c>
    </row>
    <row r="164">
      <c r="A164" s="9" t="s">
        <v>166</v>
      </c>
    </row>
    <row r="165">
      <c r="A165" s="9" t="s">
        <v>167</v>
      </c>
    </row>
    <row r="167">
      <c r="A167" s="9" t="s">
        <v>168</v>
      </c>
    </row>
    <row r="169">
      <c r="A169" s="2" t="s">
        <v>170</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9" t="s">
        <v>171</v>
      </c>
    </row>
    <row r="171">
      <c r="A171" s="9" t="s">
        <v>172</v>
      </c>
    </row>
    <row r="172">
      <c r="A172" s="9" t="s">
        <v>174</v>
      </c>
    </row>
    <row r="173">
      <c r="A173" s="9" t="s">
        <v>175</v>
      </c>
    </row>
    <row r="175">
      <c r="A175" s="9" t="s">
        <v>177</v>
      </c>
    </row>
    <row r="176">
      <c r="A176" s="9"/>
    </row>
    <row r="177">
      <c r="A177" s="2" t="s">
        <v>178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9" t="s">
        <v>23</v>
      </c>
    </row>
    <row r="179">
      <c r="A179" s="9" t="s">
        <v>179</v>
      </c>
    </row>
    <row r="180">
      <c r="A180" s="9" t="s">
        <v>181</v>
      </c>
    </row>
    <row r="181">
      <c r="A181" s="9" t="s">
        <v>182</v>
      </c>
    </row>
    <row r="182">
      <c r="A182" s="9" t="s">
        <v>183</v>
      </c>
    </row>
    <row r="183">
      <c r="A183" s="9" t="s">
        <v>184</v>
      </c>
    </row>
    <row r="184">
      <c r="A184" s="9" t="s">
        <v>185</v>
      </c>
    </row>
    <row r="185">
      <c r="A185" s="9" t="s">
        <v>187</v>
      </c>
    </row>
    <row r="186">
      <c r="A186" s="9" t="s">
        <v>188</v>
      </c>
    </row>
    <row r="187">
      <c r="A187" s="9" t="s">
        <v>81</v>
      </c>
    </row>
    <row r="189">
      <c r="A189" s="9" t="s">
        <v>189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86"/>
  </cols>
  <sheetData>
    <row r="1">
      <c r="A1" s="13" t="str">
        <f>IFERROR(__xludf.DUMMYFUNCTION("query('All Indicators'!A:T, ""SELECT * WHERE A IS NOT NULL ORDER BY T desc"", 1)"),"Indicator")</f>
        <v>Indicator</v>
      </c>
      <c r="B1" t="str">
        <f>IFERROR(__xludf.DUMMYFUNCTION("""COMPUTED_VALUE"""),"US Stat")</f>
        <v>US Stat</v>
      </c>
      <c r="C1" t="str">
        <f>IFERROR(__xludf.DUMMYFUNCTION("""COMPUTED_VALUE"""),"US Stat Source")</f>
        <v>US Stat Source</v>
      </c>
      <c r="D1" t="str">
        <f>IFERROR(__xludf.DUMMYFUNCTION("""COMPUTED_VALUE"""),"US Percentile")</f>
        <v>US Percentile</v>
      </c>
      <c r="E1" t="str">
        <f>IFERROR(__xludf.DUMMYFUNCTION("""COMPUTED_VALUE"""),"US Percentile Source")</f>
        <v>US Percentile Source</v>
      </c>
      <c r="F1" t="str">
        <f>IFERROR(__xludf.DUMMYFUNCTION("""COMPUTED_VALUE"""),"Stat Year")</f>
        <v>Stat Year</v>
      </c>
      <c r="G1" t="str">
        <f>IFERROR(__xludf.DUMMYFUNCTION("""COMPUTED_VALUE"""),"Tags")</f>
        <v>Tags</v>
      </c>
      <c r="H1" t="str">
        <f>IFERROR(__xludf.DUMMYFUNCTION("""COMPUTED_VALUE"""),"Notes")</f>
        <v>Notes</v>
      </c>
      <c r="I1" t="str">
        <f>IFERROR(__xludf.DUMMYFUNCTION("""COMPUTED_VALUE"""),"WHO")</f>
        <v>WHO</v>
      </c>
      <c r="J1" t="str">
        <f>IFERROR(__xludf.DUMMYFUNCTION("""COMPUTED_VALUE"""),"Commonwealth Fund")</f>
        <v>Commonwealth Fund</v>
      </c>
      <c r="K1" t="str">
        <f>IFERROR(__xludf.DUMMYFUNCTION("""COMPUTED_VALUE"""),"OECD")</f>
        <v>OECD</v>
      </c>
      <c r="L1" t="str">
        <f>IFERROR(__xludf.DUMMYFUNCTION("""COMPUTED_VALUE"""),"USAFacts")</f>
        <v>USAFacts</v>
      </c>
      <c r="M1" t="str">
        <f>IFERROR(__xludf.DUMMYFUNCTION("""COMPUTED_VALUE"""),"Gapminder")</f>
        <v>Gapminder</v>
      </c>
      <c r="N1" t="str">
        <f>IFERROR(__xludf.DUMMYFUNCTION("""COMPUTED_VALUE"""),"United Health Foundation")</f>
        <v>United Health Foundation</v>
      </c>
      <c r="O1" t="str">
        <f>IFERROR(__xludf.DUMMYFUNCTION("""COMPUTED_VALUE"""),"World Bank")</f>
        <v>World Bank</v>
      </c>
      <c r="P1" t="str">
        <f>IFERROR(__xludf.DUMMYFUNCTION("""COMPUTED_VALUE"""),"CMS")</f>
        <v>CMS</v>
      </c>
      <c r="Q1" t="str">
        <f>IFERROR(__xludf.DUMMYFUNCTION("""COMPUTED_VALUE"""),"CDC")</f>
        <v>CDC</v>
      </c>
      <c r="R1" t="str">
        <f>IFERROR(__xludf.DUMMYFUNCTION("""COMPUTED_VALUE"""),"NIH")</f>
        <v>NIH</v>
      </c>
      <c r="S1" t="str">
        <f>IFERROR(__xludf.DUMMYFUNCTION("""COMPUTED_VALUE"""),"MITRE BWHP")</f>
        <v>MITRE BWHP</v>
      </c>
      <c r="T1" t="str">
        <f>IFERROR(__xludf.DUMMYFUNCTION("""COMPUTED_VALUE"""),"Employment among sources, total")</f>
        <v>Employment among sources, total</v>
      </c>
    </row>
    <row r="2">
      <c r="A2" t="str">
        <f>IFERROR(__xludf.DUMMYFUNCTION("""COMPUTED_VALUE"""),"Infant mortality (per 1,000 lb)")</f>
        <v>Infant mortality (per 1,000 lb)</v>
      </c>
      <c r="B2">
        <f>IFERROR(__xludf.DUMMYFUNCTION("""COMPUTED_VALUE"""),5.9)</f>
        <v>5.9</v>
      </c>
      <c r="C2" s="19" t="str">
        <f>IFERROR(__xludf.DUMMYFUNCTION("""COMPUTED_VALUE"""),"https://www.americashealthrankings.org/explore/health-of-women-and-children/measure/IMR_MCH/state/ALL")</f>
        <v>https://www.americashealthrankings.org/explore/health-of-women-and-children/measure/IMR_MCH/state/ALL</v>
      </c>
      <c r="D2" t="str">
        <f>IFERROR(__xludf.DUMMYFUNCTION("""COMPUTED_VALUE"""),"")</f>
        <v/>
      </c>
      <c r="E2" t="str">
        <f>IFERROR(__xludf.DUMMYFUNCTION("""COMPUTED_VALUE"""),"")</f>
        <v/>
      </c>
      <c r="F2">
        <f>IFERROR(__xludf.DUMMYFUNCTION("""COMPUTED_VALUE"""),2016.0)</f>
        <v>2016</v>
      </c>
      <c r="G2" t="str">
        <f>IFERROR(__xludf.DUMMYFUNCTION("""COMPUTED_VALUE"""),"health status, mortality")</f>
        <v>health status, mortality</v>
      </c>
      <c r="H2" t="str">
        <f>IFERROR(__xludf.DUMMYFUNCTION("""COMPUTED_VALUE"""),"Total: 23,161; Gapminder breaks it down by cause (Diarrhoeal, HIV, injury etc)")</f>
        <v>Total: 23,161; Gapminder breaks it down by cause (Diarrhoeal, HIV, injury etc)</v>
      </c>
      <c r="I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 s="19" t="str">
        <f>IFERROR(__xludf.DUMMYFUNCTION("""COMPUTED_VALUE"""),"https://interactives.commonwealthfund.org/2018/state-scorecard/files/Radley_State_Scorecard_2018.pdf ")</f>
        <v>https://interactives.commonwealthfund.org/2018/state-scorecard/files/Radley_State_Scorecard_2018.pdf </v>
      </c>
      <c r="K2" s="19" t="str">
        <f>IFERROR(__xludf.DUMMYFUNCTION("""COMPUTED_VALUE"""),"https://stats.oecd.org/index.aspx?DataSetCode=HEALTH_STAT")</f>
        <v>https://stats.oecd.org/index.aspx?DataSetCode=HEALTH_STAT</v>
      </c>
      <c r="L2" s="19" t="str">
        <f>IFERROR(__xludf.DUMMYFUNCTION("""COMPUTED_VALUE"""),"https://usafacts.org/missions/promote-welfare/12")</f>
        <v>https://usafacts.org/missions/promote-welfare/12</v>
      </c>
      <c r="M2" s="19" t="str">
        <f>IFERROR(__xludf.DUMMYFUNCTION("""COMPUTED_VALUE"""),"https://www.gapminder.org/data/")</f>
        <v>https://www.gapminder.org/data/</v>
      </c>
      <c r="N2" s="19" t="str">
        <f>IFERROR(__xludf.DUMMYFUNCTION("""COMPUTED_VALUE"""),"https://www.americashealthrankings.org/explore/health-of-women-and-children/measure/IMR_MCH/state/ALL")</f>
        <v>https://www.americashealthrankings.org/explore/health-of-women-and-children/measure/IMR_MCH/state/ALL</v>
      </c>
      <c r="O2" s="19" t="str">
        <f>IFERROR(__xludf.DUMMYFUNCTION("""COMPUTED_VALUE"""),"https://data.worldbank.org/indicator/#health")</f>
        <v>https://data.worldbank.org/indicator/#health</v>
      </c>
      <c r="P2" t="str">
        <f>IFERROR(__xludf.DUMMYFUNCTION("""COMPUTED_VALUE"""),"")</f>
        <v/>
      </c>
      <c r="Q2" s="19" t="str">
        <f>IFERROR(__xludf.DUMMYFUNCTION("""COMPUTED_VALUE"""),"https://www.cdc.gov/nchs/healthy_people/hp2020/hp2020_indicators.htm")</f>
        <v>https://www.cdc.gov/nchs/healthy_people/hp2020/hp2020_indicators.htm</v>
      </c>
      <c r="R2" t="str">
        <f>IFERROR(__xludf.DUMMYFUNCTION("""COMPUTED_VALUE"""),"CHSI")</f>
        <v>CHSI</v>
      </c>
      <c r="S2" t="str">
        <f>IFERROR(__xludf.DUMMYFUNCTION("""COMPUTED_VALUE"""),"")</f>
        <v/>
      </c>
      <c r="T2">
        <f>IFERROR(__xludf.DUMMYFUNCTION("""COMPUTED_VALUE"""),9.0)</f>
        <v>9</v>
      </c>
    </row>
    <row r="3">
      <c r="A3" t="str">
        <f>IFERROR(__xludf.DUMMYFUNCTION("""COMPUTED_VALUE"""),"Suicide rate")</f>
        <v>Suicide rate</v>
      </c>
      <c r="B3" t="str">
        <f>IFERROR(__xludf.DUMMYFUNCTION("""COMPUTED_VALUE"""),"")</f>
        <v/>
      </c>
      <c r="C3" t="str">
        <f>IFERROR(__xludf.DUMMYFUNCTION("""COMPUTED_VALUE"""),"")</f>
        <v/>
      </c>
      <c r="D3" t="str">
        <f>IFERROR(__xludf.DUMMYFUNCTION("""COMPUTED_VALUE"""),"")</f>
        <v/>
      </c>
      <c r="E3" t="str">
        <f>IFERROR(__xludf.DUMMYFUNCTION("""COMPUTED_VALUE"""),"")</f>
        <v/>
      </c>
      <c r="F3" t="str">
        <f>IFERROR(__xludf.DUMMYFUNCTION("""COMPUTED_VALUE"""),"")</f>
        <v/>
      </c>
      <c r="G3" t="str">
        <f>IFERROR(__xludf.DUMMYFUNCTION("""COMPUTED_VALUE"""),"VA")</f>
        <v>VA</v>
      </c>
      <c r="H3" t="str">
        <f>IFERROR(__xludf.DUMMYFUNCTION("""COMPUTED_VALUE"""),"SDG 3.4.2; Commonwealth Fund groups suicide, alcohol, and drug deaths")</f>
        <v>SDG 3.4.2; Commonwealth Fund groups suicide, alcohol, and drug deaths</v>
      </c>
      <c r="I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 s="19" t="str">
        <f>IFERROR(__xludf.DUMMYFUNCTION("""COMPUTED_VALUE"""),"https://interactives.commonwealthfund.org/2018/state-scorecard/files/Radley_State_Scorecard_2018.pdf")</f>
        <v>https://interactives.commonwealthfund.org/2018/state-scorecard/files/Radley_State_Scorecard_2018.pdf</v>
      </c>
      <c r="K3" s="19" t="str">
        <f>IFERROR(__xludf.DUMMYFUNCTION("""COMPUTED_VALUE"""),"https://stats.oecd.org/index.aspx?DataSetCode=HEALTH_STAT")</f>
        <v>https://stats.oecd.org/index.aspx?DataSetCode=HEALTH_STAT</v>
      </c>
      <c r="L3" t="str">
        <f>IFERROR(__xludf.DUMMYFUNCTION("""COMPUTED_VALUE"""),"")</f>
        <v/>
      </c>
      <c r="M3" s="19" t="str">
        <f>IFERROR(__xludf.DUMMYFUNCTION("""COMPUTED_VALUE"""),"https://www.gapminder.org/data/")</f>
        <v>https://www.gapminder.org/data/</v>
      </c>
      <c r="N3" s="19" t="str">
        <f>IFERROR(__xludf.DUMMYFUNCTION("""COMPUTED_VALUE"""),"https://www.americashealthrankings.org/explore/annual")</f>
        <v>https://www.americashealthrankings.org/explore/annual</v>
      </c>
      <c r="O3" t="str">
        <f>IFERROR(__xludf.DUMMYFUNCTION("""COMPUTED_VALUE"""),"")</f>
        <v/>
      </c>
      <c r="P3" t="str">
        <f>IFERROR(__xludf.DUMMYFUNCTION("""COMPUTED_VALUE"""),"BWHP-10")</f>
        <v>BWHP-10</v>
      </c>
      <c r="Q3" s="19" t="str">
        <f>IFERROR(__xludf.DUMMYFUNCTION("""COMPUTED_VALUE"""),"https://www.cdc.gov/nchs/healthy_people/hp2020/hp2020_indicators.htm")</f>
        <v>https://www.cdc.gov/nchs/healthy_people/hp2020/hp2020_indicators.htm</v>
      </c>
      <c r="R3" t="str">
        <f>IFERROR(__xludf.DUMMYFUNCTION("""COMPUTED_VALUE"""),"CHSI")</f>
        <v>CHSI</v>
      </c>
      <c r="S3" t="str">
        <f>IFERROR(__xludf.DUMMYFUNCTION("""COMPUTED_VALUE"""),"BWHP-10, BWHP-39")</f>
        <v>BWHP-10, BWHP-39</v>
      </c>
      <c r="T3">
        <f>IFERROR(__xludf.DUMMYFUNCTION("""COMPUTED_VALUE"""),9.0)</f>
        <v>9</v>
      </c>
    </row>
    <row r="4">
      <c r="A4" t="str">
        <f>IFERROR(__xludf.DUMMYFUNCTION("""COMPUTED_VALUE"""),"Overweight and obesity in adults")</f>
        <v>Overweight and obesity in adults</v>
      </c>
      <c r="B4" t="str">
        <f>IFERROR(__xludf.DUMMYFUNCTION("""COMPUTED_VALUE"""),"")</f>
        <v/>
      </c>
      <c r="C4" t="str">
        <f>IFERROR(__xludf.DUMMYFUNCTION("""COMPUTED_VALUE"""),"")</f>
        <v/>
      </c>
      <c r="D4" t="str">
        <f>IFERROR(__xludf.DUMMYFUNCTION("""COMPUTED_VALUE"""),"")</f>
        <v/>
      </c>
      <c r="E4" t="str">
        <f>IFERROR(__xludf.DUMMYFUNCTION("""COMPUTED_VALUE"""),"")</f>
        <v/>
      </c>
      <c r="F4" t="str">
        <f>IFERROR(__xludf.DUMMYFUNCTION("""COMPUTED_VALUE"""),"")</f>
        <v/>
      </c>
      <c r="G4" t="str">
        <f>IFERROR(__xludf.DUMMYFUNCTION("""COMPUTED_VALUE"""),"")</f>
        <v/>
      </c>
      <c r="H4" t="str">
        <f>IFERROR(__xludf.DUMMYFUNCTION("""COMPUTED_VALUE"""),"")</f>
        <v/>
      </c>
      <c r="I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4"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4" s="19" t="str">
        <f>IFERROR(__xludf.DUMMYFUNCTION("""COMPUTED_VALUE"""),"https://stats.oecd.org/index.aspx?DataSetCode=HEALTH_STAT")</f>
        <v>https://stats.oecd.org/index.aspx?DataSetCode=HEALTH_STAT</v>
      </c>
      <c r="L4" s="19" t="str">
        <f>IFERROR(__xludf.DUMMYFUNCTION("""COMPUTED_VALUE"""),"https://usafacts.org/missions/promote-welfare/12")</f>
        <v>https://usafacts.org/missions/promote-welfare/12</v>
      </c>
      <c r="M4" t="str">
        <f>IFERROR(__xludf.DUMMYFUNCTION("""COMPUTED_VALUE"""),"")</f>
        <v/>
      </c>
      <c r="N4" s="19" t="str">
        <f>IFERROR(__xludf.DUMMYFUNCTION("""COMPUTED_VALUE"""),"https://www.americashealthrankings.org/explore/annual")</f>
        <v>https://www.americashealthrankings.org/explore/annual</v>
      </c>
      <c r="O4" s="19" t="str">
        <f>IFERROR(__xludf.DUMMYFUNCTION("""COMPUTED_VALUE"""),"https://data.worldbank.org/indicator/#health")</f>
        <v>https://data.worldbank.org/indicator/#health</v>
      </c>
      <c r="P4" t="str">
        <f>IFERROR(__xludf.DUMMYFUNCTION("""COMPUTED_VALUE"""),"")</f>
        <v/>
      </c>
      <c r="Q4"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4" t="str">
        <f>IFERROR(__xludf.DUMMYFUNCTION("""COMPUTED_VALUE"""),"CHSI")</f>
        <v>CHSI</v>
      </c>
      <c r="S4" t="str">
        <f>IFERROR(__xludf.DUMMYFUNCTION("""COMPUTED_VALUE"""),"BWHP-31")</f>
        <v>BWHP-31</v>
      </c>
      <c r="T4">
        <f>IFERROR(__xludf.DUMMYFUNCTION("""COMPUTED_VALUE"""),9.0)</f>
        <v>9</v>
      </c>
    </row>
    <row r="5">
      <c r="A5" t="str">
        <f>IFERROR(__xludf.DUMMYFUNCTION("""COMPUTED_VALUE"""),"Overweight and obesity in children/adolescents")</f>
        <v>Overweight and obesity in children/adolescents</v>
      </c>
      <c r="B5" t="str">
        <f>IFERROR(__xludf.DUMMYFUNCTION("""COMPUTED_VALUE"""),"")</f>
        <v/>
      </c>
      <c r="C5" t="str">
        <f>IFERROR(__xludf.DUMMYFUNCTION("""COMPUTED_VALUE"""),"")</f>
        <v/>
      </c>
      <c r="D5" t="str">
        <f>IFERROR(__xludf.DUMMYFUNCTION("""COMPUTED_VALUE"""),"")</f>
        <v/>
      </c>
      <c r="E5" t="str">
        <f>IFERROR(__xludf.DUMMYFUNCTION("""COMPUTED_VALUE"""),"")</f>
        <v/>
      </c>
      <c r="F5" t="str">
        <f>IFERROR(__xludf.DUMMYFUNCTION("""COMPUTED_VALUE"""),"")</f>
        <v/>
      </c>
      <c r="G5" t="str">
        <f>IFERROR(__xludf.DUMMYFUNCTION("""COMPUTED_VALUE"""),"")</f>
        <v/>
      </c>
      <c r="H5" t="str">
        <f>IFERROR(__xludf.DUMMYFUNCTION("""COMPUTED_VALUE"""),"")</f>
        <v/>
      </c>
      <c r="I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5" s="19" t="str">
        <f>IFERROR(__xludf.DUMMYFUNCTION("""COMPUTED_VALUE"""),"https://stats.oecd.org/index.aspx?DataSetCode=HEALTH_STAT")</f>
        <v>https://stats.oecd.org/index.aspx?DataSetCode=HEALTH_STAT</v>
      </c>
      <c r="L5" s="19" t="str">
        <f>IFERROR(__xludf.DUMMYFUNCTION("""COMPUTED_VALUE"""),"https://usafacts.org/missions/promote-welfare/12")</f>
        <v>https://usafacts.org/missions/promote-welfare/12</v>
      </c>
      <c r="M5" t="str">
        <f>IFERROR(__xludf.DUMMYFUNCTION("""COMPUTED_VALUE"""),"")</f>
        <v/>
      </c>
      <c r="N5" s="19" t="str">
        <f>IFERROR(__xludf.DUMMYFUNCTION("""COMPUTED_VALUE"""),"https://www.americashealthrankings.org/explore/annual")</f>
        <v>https://www.americashealthrankings.org/explore/annual</v>
      </c>
      <c r="O5" s="19" t="str">
        <f>IFERROR(__xludf.DUMMYFUNCTION("""COMPUTED_VALUE"""),"https://data.worldbank.org/indicator/#health")</f>
        <v>https://data.worldbank.org/indicator/#health</v>
      </c>
      <c r="P5" t="str">
        <f>IFERROR(__xludf.DUMMYFUNCTION("""COMPUTED_VALUE"""),"")</f>
        <v/>
      </c>
      <c r="Q5"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5" t="str">
        <f>IFERROR(__xludf.DUMMYFUNCTION("""COMPUTED_VALUE"""),"CHSI")</f>
        <v>CHSI</v>
      </c>
      <c r="S5" t="str">
        <f>IFERROR(__xludf.DUMMYFUNCTION("""COMPUTED_VALUE"""),"BWHP-31")</f>
        <v>BWHP-31</v>
      </c>
      <c r="T5">
        <f>IFERROR(__xludf.DUMMYFUNCTION("""COMPUTED_VALUE"""),9.0)</f>
        <v>9</v>
      </c>
    </row>
    <row r="6">
      <c r="A6" t="str">
        <f>IFERROR(__xludf.DUMMYFUNCTION("""COMPUTED_VALUE"""),"Maternal mortality (per 100,000 lb)")</f>
        <v>Maternal mortality (per 100,000 lb)</v>
      </c>
      <c r="B6">
        <f>IFERROR(__xludf.DUMMYFUNCTION("""COMPUTED_VALUE"""),20.7)</f>
        <v>20.7</v>
      </c>
      <c r="C6" s="19" t="str">
        <f>IFERROR(__xludf.DUMMYFUNCTION("""COMPUTED_VALUE"""),"https://www.americashealthrankings.org/explore/health-of-women-and-children/measure/maternal_mortality/state/ALL")</f>
        <v>https://www.americashealthrankings.org/explore/health-of-women-and-children/measure/maternal_mortality/state/ALL</v>
      </c>
      <c r="D6" t="str">
        <f>IFERROR(__xludf.DUMMYFUNCTION("""COMPUTED_VALUE"""),"")</f>
        <v/>
      </c>
      <c r="E6" t="str">
        <f>IFERROR(__xludf.DUMMYFUNCTION("""COMPUTED_VALUE"""),"")</f>
        <v/>
      </c>
      <c r="F6">
        <f>IFERROR(__xludf.DUMMYFUNCTION("""COMPUTED_VALUE"""),2015.0)</f>
        <v>2015</v>
      </c>
      <c r="G6" t="str">
        <f>IFERROR(__xludf.DUMMYFUNCTION("""COMPUTED_VALUE"""),"health status, mortality")</f>
        <v>health status, mortality</v>
      </c>
      <c r="H6" t="str">
        <f>IFERROR(__xludf.DUMMYFUNCTION("""COMPUTED_VALUE"""),"Total: Over 4,000 from 2011-2015, SDG 3.1.1")</f>
        <v>Total: Over 4,000 from 2011-2015, SDG 3.1.1</v>
      </c>
      <c r="I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6" t="str">
        <f>IFERROR(__xludf.DUMMYFUNCTION("""COMPUTED_VALUE"""),"")</f>
        <v/>
      </c>
      <c r="K6" s="19" t="str">
        <f>IFERROR(__xludf.DUMMYFUNCTION("""COMPUTED_VALUE"""),"https://stats.oecd.org/index.aspx?DataSetCode=HEALTH_STAT")</f>
        <v>https://stats.oecd.org/index.aspx?DataSetCode=HEALTH_STAT</v>
      </c>
      <c r="L6" t="str">
        <f>IFERROR(__xludf.DUMMYFUNCTION("""COMPUTED_VALUE"""),"")</f>
        <v/>
      </c>
      <c r="M6" s="19" t="str">
        <f>IFERROR(__xludf.DUMMYFUNCTION("""COMPUTED_VALUE"""),"https://www.gapminder.org/data/")</f>
        <v>https://www.gapminder.org/data/</v>
      </c>
      <c r="N6" s="19" t="str">
        <f>IFERROR(__xludf.DUMMYFUNCTION("""COMPUTED_VALUE"""),"https://www.americashealthrankings.org/explore/health-of-women-and-children/measure/maternal_mortality/state/ALL")</f>
        <v>https://www.americashealthrankings.org/explore/health-of-women-and-children/measure/maternal_mortality/state/ALL</v>
      </c>
      <c r="O6" s="19" t="str">
        <f>IFERROR(__xludf.DUMMYFUNCTION("""COMPUTED_VALUE"""),"https://data.worldbank.org/indicator/#health")</f>
        <v>https://data.worldbank.org/indicator/#health</v>
      </c>
      <c r="P6" t="str">
        <f>IFERROR(__xludf.DUMMYFUNCTION("""COMPUTED_VALUE"""),"Seema says this is an emerging issue: https://www.youtube.com/watch?v=PukAXwTok8A")</f>
        <v>Seema says this is an emerging issue: https://www.youtube.com/watch?v=PukAXwTok8A</v>
      </c>
      <c r="Q6" t="str">
        <f>IFERROR(__xludf.DUMMYFUNCTION("""COMPUTED_VALUE"""),"")</f>
        <v/>
      </c>
      <c r="R6" t="str">
        <f>IFERROR(__xludf.DUMMYFUNCTION("""COMPUTED_VALUE"""),"CHSI")</f>
        <v>CHSI</v>
      </c>
      <c r="S6" t="str">
        <f>IFERROR(__xludf.DUMMYFUNCTION("""COMPUTED_VALUE"""),"BWHP-16")</f>
        <v>BWHP-16</v>
      </c>
      <c r="T6">
        <f>IFERROR(__xludf.DUMMYFUNCTION("""COMPUTED_VALUE"""),8.0)</f>
        <v>8</v>
      </c>
    </row>
    <row r="7">
      <c r="A7" t="str">
        <f>IFERROR(__xludf.DUMMYFUNCTION("""COMPUTED_VALUE"""),"Mortality from drug use")</f>
        <v>Mortality from drug use</v>
      </c>
      <c r="B7" t="str">
        <f>IFERROR(__xludf.DUMMYFUNCTION("""COMPUTED_VALUE"""),"")</f>
        <v/>
      </c>
      <c r="C7" t="str">
        <f>IFERROR(__xludf.DUMMYFUNCTION("""COMPUTED_VALUE"""),"")</f>
        <v/>
      </c>
      <c r="D7" t="str">
        <f>IFERROR(__xludf.DUMMYFUNCTION("""COMPUTED_VALUE"""),"")</f>
        <v/>
      </c>
      <c r="E7" t="str">
        <f>IFERROR(__xludf.DUMMYFUNCTION("""COMPUTED_VALUE"""),"")</f>
        <v/>
      </c>
      <c r="F7" t="str">
        <f>IFERROR(__xludf.DUMMYFUNCTION("""COMPUTED_VALUE"""),"")</f>
        <v/>
      </c>
      <c r="G7" t="str">
        <f>IFERROR(__xludf.DUMMYFUNCTION("""COMPUTED_VALUE"""),"VA")</f>
        <v>VA</v>
      </c>
      <c r="H7" t="str">
        <f>IFERROR(__xludf.DUMMYFUNCTION("""COMPUTED_VALUE"""),"Commonwealth Fund groups suicide, alcohol, and drug deaths")</f>
        <v>Commonwealth Fund groups suicide, alcohol, and drug deaths</v>
      </c>
      <c r="I7" t="str">
        <f>IFERROR(__xludf.DUMMYFUNCTION("""COMPUTED_VALUE"""),"")</f>
        <v/>
      </c>
      <c r="J7" s="19" t="str">
        <f>IFERROR(__xludf.DUMMYFUNCTION("""COMPUTED_VALUE"""),"https://interactives.commonwealthfund.org/2018/state-scorecard/files/Radley_State_Scorecard_2018.pdf")</f>
        <v>https://interactives.commonwealthfund.org/2018/state-scorecard/files/Radley_State_Scorecard_2018.pdf</v>
      </c>
      <c r="K7" s="19" t="str">
        <f>IFERROR(__xludf.DUMMYFUNCTION("""COMPUTED_VALUE"""),"https://stats.oecd.org/index.aspx?DataSetCode=HEALTH_STAT")</f>
        <v>https://stats.oecd.org/index.aspx?DataSetCode=HEALTH_STAT</v>
      </c>
      <c r="L7" s="19" t="str">
        <f>IFERROR(__xludf.DUMMYFUNCTION("""COMPUTED_VALUE"""),"https://usafacts.org/missions/promote-welfare/12")</f>
        <v>https://usafacts.org/missions/promote-welfare/12</v>
      </c>
      <c r="M7" t="str">
        <f>IFERROR(__xludf.DUMMYFUNCTION("""COMPUTED_VALUE"""),"")</f>
        <v/>
      </c>
      <c r="N7" s="19" t="str">
        <f>IFERROR(__xludf.DUMMYFUNCTION("""COMPUTED_VALUE"""),"https://www.americashealthrankings.org/explore/annual")</f>
        <v>https://www.americashealthrankings.org/explore/annual</v>
      </c>
      <c r="O7" t="str">
        <f>IFERROR(__xludf.DUMMYFUNCTION("""COMPUTED_VALUE"""),"")</f>
        <v/>
      </c>
      <c r="P7" t="str">
        <f>IFERROR(__xludf.DUMMYFUNCTION("""COMPUTED_VALUE"""),"https://www.cms.gov/Medicare/Quality-Initiatives-Patient-Assessment-Instruments/QualityInitiativesGenInfo/MMF/General-info-Sub-Page.html, BWHP-11")</f>
        <v>https://www.cms.gov/Medicare/Quality-Initiatives-Patient-Assessment-Instruments/QualityInitiativesGenInfo/MMF/General-info-Sub-Page.html, BWHP-11</v>
      </c>
      <c r="Q7"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7" t="str">
        <f>IFERROR(__xludf.DUMMYFUNCTION("""COMPUTED_VALUE"""),"CHSI")</f>
        <v>CHSI</v>
      </c>
      <c r="S7" t="str">
        <f>IFERROR(__xludf.DUMMYFUNCTION("""COMPUTED_VALUE"""),"BWHP-11, BWHP-38")</f>
        <v>BWHP-11, BWHP-38</v>
      </c>
      <c r="T7">
        <f>IFERROR(__xludf.DUMMYFUNCTION("""COMPUTED_VALUE"""),8.0)</f>
        <v>8</v>
      </c>
    </row>
    <row r="8">
      <c r="A8" t="str">
        <f>IFERROR(__xludf.DUMMYFUNCTION("""COMPUTED_VALUE"""),"Total alcohol per capita (age 15+ years) consumption")</f>
        <v>Total alcohol per capita (age 15+ years) consumption</v>
      </c>
      <c r="B8" t="str">
        <f>IFERROR(__xludf.DUMMYFUNCTION("""COMPUTED_VALUE"""),"")</f>
        <v/>
      </c>
      <c r="C8" t="str">
        <f>IFERROR(__xludf.DUMMYFUNCTION("""COMPUTED_VALUE"""),"")</f>
        <v/>
      </c>
      <c r="D8" t="str">
        <f>IFERROR(__xludf.DUMMYFUNCTION("""COMPUTED_VALUE"""),"")</f>
        <v/>
      </c>
      <c r="E8" t="str">
        <f>IFERROR(__xludf.DUMMYFUNCTION("""COMPUTED_VALUE"""),"")</f>
        <v/>
      </c>
      <c r="F8" t="str">
        <f>IFERROR(__xludf.DUMMYFUNCTION("""COMPUTED_VALUE"""),"")</f>
        <v/>
      </c>
      <c r="G8" t="str">
        <f>IFERROR(__xludf.DUMMYFUNCTION("""COMPUTED_VALUE"""),"")</f>
        <v/>
      </c>
      <c r="H8" t="str">
        <f>IFERROR(__xludf.DUMMYFUNCTION("""COMPUTED_VALUE"""),"SDG 3.5.2; CDC also concerned with adolescent use and Binge drinking; Commonwealth Fund tracks alcohol deaths; USAFacts = binge drinking;")</f>
        <v>SDG 3.5.2; CDC also concerned with adolescent use and Binge drinking; Commonwealth Fund tracks alcohol deaths; USAFacts = binge drinking;</v>
      </c>
      <c r="I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8" s="19" t="str">
        <f>IFERROR(__xludf.DUMMYFUNCTION("""COMPUTED_VALUE"""),"https://interactives.commonwealthfund.org/2018/state-scorecard/files/Radley_State_Scorecard_2018.pdf")</f>
        <v>https://interactives.commonwealthfund.org/2018/state-scorecard/files/Radley_State_Scorecard_2018.pdf</v>
      </c>
      <c r="K8" s="19" t="str">
        <f>IFERROR(__xludf.DUMMYFUNCTION("""COMPUTED_VALUE"""),"https://stats.oecd.org/index.aspx?DataSetCode=HEALTH_STAT")</f>
        <v>https://stats.oecd.org/index.aspx?DataSetCode=HEALTH_STAT</v>
      </c>
      <c r="L8" s="19" t="str">
        <f>IFERROR(__xludf.DUMMYFUNCTION("""COMPUTED_VALUE"""),"https://usafacts.org/missions/promote-welfare/12")</f>
        <v>https://usafacts.org/missions/promote-welfare/12</v>
      </c>
      <c r="M8" t="str">
        <f>IFERROR(__xludf.DUMMYFUNCTION("""COMPUTED_VALUE"""),"")</f>
        <v/>
      </c>
      <c r="N8" s="19" t="str">
        <f>IFERROR(__xludf.DUMMYFUNCTION("""COMPUTED_VALUE"""),"https://www.americashealthrankings.org/explore/annual")</f>
        <v>https://www.americashealthrankings.org/explore/annual</v>
      </c>
      <c r="O8" t="str">
        <f>IFERROR(__xludf.DUMMYFUNCTION("""COMPUTED_VALUE"""),"")</f>
        <v/>
      </c>
      <c r="P8" t="str">
        <f>IFERROR(__xludf.DUMMYFUNCTION("""COMPUTED_VALUE"""),"https://www.cms.gov/Medicare/Quality-Initiatives-Patient-Assessment-Instruments/QualityInitiativesGenInfo/MMF/General-info-Sub-Page.html, BWHP-11")</f>
        <v>https://www.cms.gov/Medicare/Quality-Initiatives-Patient-Assessment-Instruments/QualityInitiativesGenInfo/MMF/General-info-Sub-Page.html, BWHP-11</v>
      </c>
      <c r="Q8"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8" t="str">
        <f>IFERROR(__xludf.DUMMYFUNCTION("""COMPUTED_VALUE"""),"")</f>
        <v/>
      </c>
      <c r="S8" t="str">
        <f>IFERROR(__xludf.DUMMYFUNCTION("""COMPUTED_VALUE"""),"BWHP-11")</f>
        <v>BWHP-11</v>
      </c>
      <c r="T8">
        <f>IFERROR(__xludf.DUMMYFUNCTION("""COMPUTED_VALUE"""),8.0)</f>
        <v>8</v>
      </c>
    </row>
    <row r="9">
      <c r="A9" t="str">
        <f>IFERROR(__xludf.DUMMYFUNCTION("""COMPUTED_VALUE"""),"Tobacco use among persons aged 15+ years")</f>
        <v>Tobacco use among persons aged 15+ years</v>
      </c>
      <c r="B9" t="str">
        <f>IFERROR(__xludf.DUMMYFUNCTION("""COMPUTED_VALUE"""),"")</f>
        <v/>
      </c>
      <c r="C9" t="str">
        <f>IFERROR(__xludf.DUMMYFUNCTION("""COMPUTED_VALUE"""),"")</f>
        <v/>
      </c>
      <c r="D9" t="str">
        <f>IFERROR(__xludf.DUMMYFUNCTION("""COMPUTED_VALUE"""),"")</f>
        <v/>
      </c>
      <c r="E9" t="str">
        <f>IFERROR(__xludf.DUMMYFUNCTION("""COMPUTED_VALUE"""),"")</f>
        <v/>
      </c>
      <c r="F9" t="str">
        <f>IFERROR(__xludf.DUMMYFUNCTION("""COMPUTED_VALUE"""),"")</f>
        <v/>
      </c>
      <c r="G9" t="str">
        <f>IFERROR(__xludf.DUMMYFUNCTION("""COMPUTED_VALUE"""),"")</f>
        <v/>
      </c>
      <c r="H9" t="str">
        <f>IFERROR(__xludf.DUMMYFUNCTION("""COMPUTED_VALUE"""),"SDG 3.a.1, Also: adolescents, CDC also concerned with adolescents")</f>
        <v>SDG 3.a.1, Also: adolescents, CDC also concerned with adolescents</v>
      </c>
      <c r="I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9" s="19" t="str">
        <f>IFERROR(__xludf.DUMMYFUNCTION("""COMPUTED_VALUE"""),"https://stats.oecd.org/index.aspx?DataSetCode=HEALTH_STAT")</f>
        <v>https://stats.oecd.org/index.aspx?DataSetCode=HEALTH_STAT</v>
      </c>
      <c r="L9" s="19" t="str">
        <f>IFERROR(__xludf.DUMMYFUNCTION("""COMPUTED_VALUE"""),"https://usafacts.org/missions/promote-welfare/12")</f>
        <v>https://usafacts.org/missions/promote-welfare/12</v>
      </c>
      <c r="M9" t="str">
        <f>IFERROR(__xludf.DUMMYFUNCTION("""COMPUTED_VALUE"""),"")</f>
        <v/>
      </c>
      <c r="N9" s="19" t="str">
        <f>IFERROR(__xludf.DUMMYFUNCTION("""COMPUTED_VALUE"""),"https://www.americashealthrankings.org/explore/annual")</f>
        <v>https://www.americashealthrankings.org/explore/annual</v>
      </c>
      <c r="O9" t="str">
        <f>IFERROR(__xludf.DUMMYFUNCTION("""COMPUTED_VALUE"""),"")</f>
        <v/>
      </c>
      <c r="P9" t="str">
        <f>IFERROR(__xludf.DUMMYFUNCTION("""COMPUTED_VALUE"""),"")</f>
        <v/>
      </c>
      <c r="Q9" s="19" t="str">
        <f>IFERROR(__xludf.DUMMYFUNCTION("""COMPUTED_VALUE"""),"https://wwwn.cdc.gov/psr/NationalSummary/NationalSummary.aspx")</f>
        <v>https://wwwn.cdc.gov/psr/NationalSummary/NationalSummary.aspx</v>
      </c>
      <c r="R9" t="str">
        <f>IFERROR(__xludf.DUMMYFUNCTION("""COMPUTED_VALUE"""),"CHSI")</f>
        <v>CHSI</v>
      </c>
      <c r="S9" t="str">
        <f>IFERROR(__xludf.DUMMYFUNCTION("""COMPUTED_VALUE"""),"BWHP-30")</f>
        <v>BWHP-30</v>
      </c>
      <c r="T9">
        <f>IFERROR(__xludf.DUMMYFUNCTION("""COMPUTED_VALUE"""),8.0)</f>
        <v>8</v>
      </c>
    </row>
    <row r="10">
      <c r="A10" t="str">
        <f>IFERROR(__xludf.DUMMYFUNCTION("""COMPUTED_VALUE"""),"Raised blood glucose/diabetes among adults")</f>
        <v>Raised blood glucose/diabetes among adults</v>
      </c>
      <c r="B10" t="str">
        <f>IFERROR(__xludf.DUMMYFUNCTION("""COMPUTED_VALUE"""),"")</f>
        <v/>
      </c>
      <c r="C10" t="str">
        <f>IFERROR(__xludf.DUMMYFUNCTION("""COMPUTED_VALUE"""),"")</f>
        <v/>
      </c>
      <c r="D10" t="str">
        <f>IFERROR(__xludf.DUMMYFUNCTION("""COMPUTED_VALUE"""),"")</f>
        <v/>
      </c>
      <c r="E10" t="str">
        <f>IFERROR(__xludf.DUMMYFUNCTION("""COMPUTED_VALUE"""),"")</f>
        <v/>
      </c>
      <c r="F10" t="str">
        <f>IFERROR(__xludf.DUMMYFUNCTION("""COMPUTED_VALUE"""),"")</f>
        <v/>
      </c>
      <c r="G10" t="str">
        <f>IFERROR(__xludf.DUMMYFUNCTION("""COMPUTED_VALUE"""),"")</f>
        <v/>
      </c>
      <c r="H10" t="str">
        <f>IFERROR(__xludf.DUMMYFUNCTION("""COMPUTED_VALUE"""),"")</f>
        <v/>
      </c>
      <c r="I1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 t="str">
        <f>IFERROR(__xludf.DUMMYFUNCTION("""COMPUTED_VALUE"""),"")</f>
        <v/>
      </c>
      <c r="K10" s="19" t="str">
        <f>IFERROR(__xludf.DUMMYFUNCTION("""COMPUTED_VALUE"""),"https://stats.oecd.org/index.aspx?DataSetCode=HEALTH_STAT#")</f>
        <v>https://stats.oecd.org/index.aspx?DataSetCode=HEALTH_STAT#</v>
      </c>
      <c r="L10" s="19" t="str">
        <f>IFERROR(__xludf.DUMMYFUNCTION("""COMPUTED_VALUE"""),"https://usafacts.org/missions/promote-welfare/12")</f>
        <v>https://usafacts.org/missions/promote-welfare/12</v>
      </c>
      <c r="M10" t="str">
        <f>IFERROR(__xludf.DUMMYFUNCTION("""COMPUTED_VALUE"""),"")</f>
        <v/>
      </c>
      <c r="N10" s="19" t="str">
        <f>IFERROR(__xludf.DUMMYFUNCTION("""COMPUTED_VALUE"""),"https://www.americashealthrankings.org/explore/annual")</f>
        <v>https://www.americashealthrankings.org/explore/annual</v>
      </c>
      <c r="O10" s="19" t="str">
        <f>IFERROR(__xludf.DUMMYFUNCTION("""COMPUTED_VALUE"""),"https://data.worldbank.org/indicator/#health")</f>
        <v>https://data.worldbank.org/indicator/#health</v>
      </c>
      <c r="P10" t="str">
        <f>IFERROR(__xludf.DUMMYFUNCTION("""COMPUTED_VALUE"""),"")</f>
        <v/>
      </c>
      <c r="Q10"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10" t="str">
        <f>IFERROR(__xludf.DUMMYFUNCTION("""COMPUTED_VALUE"""),"CHSI")</f>
        <v>CHSI</v>
      </c>
      <c r="S10" t="str">
        <f>IFERROR(__xludf.DUMMYFUNCTION("""COMPUTED_VALUE"""),"BWHP-31")</f>
        <v>BWHP-31</v>
      </c>
      <c r="T10">
        <f>IFERROR(__xludf.DUMMYFUNCTION("""COMPUTED_VALUE"""),8.0)</f>
        <v>8</v>
      </c>
    </row>
    <row r="11">
      <c r="A11" t="str">
        <f>IFERROR(__xludf.DUMMYFUNCTION("""COMPUTED_VALUE"""),"Raised blood glucose/diabetes among children/adolescents")</f>
        <v>Raised blood glucose/diabetes among children/adolescents</v>
      </c>
      <c r="B11" t="str">
        <f>IFERROR(__xludf.DUMMYFUNCTION("""COMPUTED_VALUE"""),"")</f>
        <v/>
      </c>
      <c r="C11" t="str">
        <f>IFERROR(__xludf.DUMMYFUNCTION("""COMPUTED_VALUE"""),"")</f>
        <v/>
      </c>
      <c r="D11" t="str">
        <f>IFERROR(__xludf.DUMMYFUNCTION("""COMPUTED_VALUE"""),"")</f>
        <v/>
      </c>
      <c r="E11" t="str">
        <f>IFERROR(__xludf.DUMMYFUNCTION("""COMPUTED_VALUE"""),"")</f>
        <v/>
      </c>
      <c r="F11" t="str">
        <f>IFERROR(__xludf.DUMMYFUNCTION("""COMPUTED_VALUE"""),"")</f>
        <v/>
      </c>
      <c r="G11" t="str">
        <f>IFERROR(__xludf.DUMMYFUNCTION("""COMPUTED_VALUE"""),"")</f>
        <v/>
      </c>
      <c r="H11" t="str">
        <f>IFERROR(__xludf.DUMMYFUNCTION("""COMPUTED_VALUE"""),"")</f>
        <v/>
      </c>
      <c r="I1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1" t="str">
        <f>IFERROR(__xludf.DUMMYFUNCTION("""COMPUTED_VALUE"""),"")</f>
        <v/>
      </c>
      <c r="K11" s="19" t="str">
        <f>IFERROR(__xludf.DUMMYFUNCTION("""COMPUTED_VALUE"""),"https://stats.oecd.org/index.aspx?DataSetCode=HEALTH_STAT#")</f>
        <v>https://stats.oecd.org/index.aspx?DataSetCode=HEALTH_STAT#</v>
      </c>
      <c r="L11" s="19" t="str">
        <f>IFERROR(__xludf.DUMMYFUNCTION("""COMPUTED_VALUE"""),"https://usafacts.org/missions/promote-welfare/12")</f>
        <v>https://usafacts.org/missions/promote-welfare/12</v>
      </c>
      <c r="M11" t="str">
        <f>IFERROR(__xludf.DUMMYFUNCTION("""COMPUTED_VALUE"""),"")</f>
        <v/>
      </c>
      <c r="N11" s="19" t="str">
        <f>IFERROR(__xludf.DUMMYFUNCTION("""COMPUTED_VALUE"""),"https://www.americashealthrankings.org/explore/annual")</f>
        <v>https://www.americashealthrankings.org/explore/annual</v>
      </c>
      <c r="O11" s="19" t="str">
        <f>IFERROR(__xludf.DUMMYFUNCTION("""COMPUTED_VALUE"""),"https://data.worldbank.org/indicator/#health")</f>
        <v>https://data.worldbank.org/indicator/#health</v>
      </c>
      <c r="P11" t="str">
        <f>IFERROR(__xludf.DUMMYFUNCTION("""COMPUTED_VALUE"""),"")</f>
        <v/>
      </c>
      <c r="Q11"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11" t="str">
        <f>IFERROR(__xludf.DUMMYFUNCTION("""COMPUTED_VALUE"""),"CHSI")</f>
        <v>CHSI</v>
      </c>
      <c r="S11" t="str">
        <f>IFERROR(__xludf.DUMMYFUNCTION("""COMPUTED_VALUE"""),"BWHP-31")</f>
        <v>BWHP-31</v>
      </c>
      <c r="T11">
        <f>IFERROR(__xludf.DUMMYFUNCTION("""COMPUTED_VALUE"""),8.0)</f>
        <v>8</v>
      </c>
    </row>
    <row r="12">
      <c r="A12" t="str">
        <f>IFERROR(__xludf.DUMMYFUNCTION("""COMPUTED_VALUE"""),"Mental health disorders per capita")</f>
        <v>Mental health disorders per capita</v>
      </c>
      <c r="B12" t="str">
        <f>IFERROR(__xludf.DUMMYFUNCTION("""COMPUTED_VALUE"""),"")</f>
        <v/>
      </c>
      <c r="C12" t="str">
        <f>IFERROR(__xludf.DUMMYFUNCTION("""COMPUTED_VALUE"""),"")</f>
        <v/>
      </c>
      <c r="D12" t="str">
        <f>IFERROR(__xludf.DUMMYFUNCTION("""COMPUTED_VALUE"""),"")</f>
        <v/>
      </c>
      <c r="E12" t="str">
        <f>IFERROR(__xludf.DUMMYFUNCTION("""COMPUTED_VALUE"""),"")</f>
        <v/>
      </c>
      <c r="F12" t="str">
        <f>IFERROR(__xludf.DUMMYFUNCTION("""COMPUTED_VALUE"""),"")</f>
        <v/>
      </c>
      <c r="G12" t="str">
        <f>IFERROR(__xludf.DUMMYFUNCTION("""COMPUTED_VALUE"""),"")</f>
        <v/>
      </c>
      <c r="H12" t="str">
        <f>IFERROR(__xludf.DUMMYFUNCTION("""COMPUTED_VALUE"""),"")</f>
        <v/>
      </c>
      <c r="I12" t="str">
        <f>IFERROR(__xludf.DUMMYFUNCTION("""COMPUTED_VALUE"""),"")</f>
        <v/>
      </c>
      <c r="J12" s="19" t="str">
        <f>IFERROR(__xludf.DUMMYFUNCTION("""COMPUTED_VALUE"""),"https://interactives.commonwealthfund.org/2018/state-scorecard/files/Radley_State_Scorecard_2018.pdf")</f>
        <v>https://interactives.commonwealthfund.org/2018/state-scorecard/files/Radley_State_Scorecard_2018.pdf</v>
      </c>
      <c r="K12"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12" s="19" t="str">
        <f>IFERROR(__xludf.DUMMYFUNCTION("""COMPUTED_VALUE"""),"https://usafacts.org/missions/promote-welfare/12")</f>
        <v>https://usafacts.org/missions/promote-welfare/12</v>
      </c>
      <c r="M12" t="str">
        <f>IFERROR(__xludf.DUMMYFUNCTION("""COMPUTED_VALUE"""),"")</f>
        <v/>
      </c>
      <c r="N12" s="19" t="str">
        <f>IFERROR(__xludf.DUMMYFUNCTION("""COMPUTED_VALUE"""),"https://www.americashealthrankings.org/explore/annual")</f>
        <v>https://www.americashealthrankings.org/explore/annual</v>
      </c>
      <c r="O12" t="str">
        <f>IFERROR(__xludf.DUMMYFUNCTION("""COMPUTED_VALUE"""),"")</f>
        <v/>
      </c>
      <c r="P12" t="str">
        <f>IFERROR(__xludf.DUMMYFUNCTION("""COMPUTED_VALUE"""),"https://www.cms.gov/Medicare/Quality-Initiatives-Patient-Assessment-Instruments/QualityInitiativesGenInfo/MMF/General-info-Sub-Page.html, BWHP-10")</f>
        <v>https://www.cms.gov/Medicare/Quality-Initiatives-Patient-Assessment-Instruments/QualityInitiativesGenInfo/MMF/General-info-Sub-Page.html, BWHP-10</v>
      </c>
      <c r="Q12" s="19" t="str">
        <f>IFERROR(__xludf.DUMMYFUNCTION("""COMPUTED_VALUE"""),"https://www.cdc.gov/nchs/healthy_people/hp2020/hp2020_indicators.htm")</f>
        <v>https://www.cdc.gov/nchs/healthy_people/hp2020/hp2020_indicators.htm</v>
      </c>
      <c r="R12" t="str">
        <f>IFERROR(__xludf.DUMMYFUNCTION("""COMPUTED_VALUE"""),"CHSI")</f>
        <v>CHSI</v>
      </c>
      <c r="S12" t="str">
        <f>IFERROR(__xludf.DUMMYFUNCTION("""COMPUTED_VALUE"""),"BWHP-10")</f>
        <v>BWHP-10</v>
      </c>
      <c r="T12">
        <f>IFERROR(__xludf.DUMMYFUNCTION("""COMPUTED_VALUE"""),8.0)</f>
        <v>8</v>
      </c>
    </row>
    <row r="13">
      <c r="A13" t="str">
        <f>IFERROR(__xludf.DUMMYFUNCTION("""COMPUTED_VALUE"""),"Children receiving recommended doses of DTaP, polio, MMR, Hib, HepB, varivella and PCV vaccines by age 19-35 months (IID-8)")</f>
        <v>Children receiving recommended doses of DTaP, polio, MMR, Hib, HepB, varivella and PCV vaccines by age 19-35 months (IID-8)</v>
      </c>
      <c r="B13" t="str">
        <f>IFERROR(__xludf.DUMMYFUNCTION("""COMPUTED_VALUE"""),"")</f>
        <v/>
      </c>
      <c r="C13" t="str">
        <f>IFERROR(__xludf.DUMMYFUNCTION("""COMPUTED_VALUE"""),"")</f>
        <v/>
      </c>
      <c r="D13" t="str">
        <f>IFERROR(__xludf.DUMMYFUNCTION("""COMPUTED_VALUE"""),"")</f>
        <v/>
      </c>
      <c r="E13" t="str">
        <f>IFERROR(__xludf.DUMMYFUNCTION("""COMPUTED_VALUE"""),"")</f>
        <v/>
      </c>
      <c r="F13" t="str">
        <f>IFERROR(__xludf.DUMMYFUNCTION("""COMPUTED_VALUE"""),"")</f>
        <v/>
      </c>
      <c r="G13" t="str">
        <f>IFERROR(__xludf.DUMMYFUNCTION("""COMPUTED_VALUE"""),"")</f>
        <v/>
      </c>
      <c r="H13" t="str">
        <f>IFERROR(__xludf.DUMMYFUNCTION("""COMPUTED_VALUE"""),"Many sources also consider all age appropriate vaccines")</f>
        <v>Many sources also consider all age appropriate vaccines</v>
      </c>
      <c r="I13" t="str">
        <f>IFERROR(__xludf.DUMMYFUNCTION("""COMPUTED_VALUE"""),"")</f>
        <v/>
      </c>
      <c r="J13" s="19" t="str">
        <f>IFERROR(__xludf.DUMMYFUNCTION("""COMPUTED_VALUE"""),"https://interactives.commonwealthfund.org/2018/state-scorecard/files/Radley_State_Scorecard_2018.pdf")</f>
        <v>https://interactives.commonwealthfund.org/2018/state-scorecard/files/Radley_State_Scorecard_2018.pdf</v>
      </c>
      <c r="K13" s="19" t="str">
        <f>IFERROR(__xludf.DUMMYFUNCTION("""COMPUTED_VALUE"""),"https://stats.oecd.org/index.aspx?DataSetCode=HEALTH_STAT")</f>
        <v>https://stats.oecd.org/index.aspx?DataSetCode=HEALTH_STAT</v>
      </c>
      <c r="L13" s="19" t="str">
        <f>IFERROR(__xludf.DUMMYFUNCTION("""COMPUTED_VALUE"""),"https://usafacts.org/missions/promote-welfare/12")</f>
        <v>https://usafacts.org/missions/promote-welfare/12</v>
      </c>
      <c r="M13" t="str">
        <f>IFERROR(__xludf.DUMMYFUNCTION("""COMPUTED_VALUE"""),"")</f>
        <v/>
      </c>
      <c r="N13" s="19" t="str">
        <f>IFERROR(__xludf.DUMMYFUNCTION("""COMPUTED_VALUE"""),"https://www.americashealthrankings.org/explore/annual")</f>
        <v>https://www.americashealthrankings.org/explore/annual</v>
      </c>
      <c r="O13" s="19" t="str">
        <f>IFERROR(__xludf.DUMMYFUNCTION("""COMPUTED_VALUE"""),"https://data.worldbank.org/indicator/")</f>
        <v>https://data.worldbank.org/indicator/</v>
      </c>
      <c r="P13"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3" s="19" t="str">
        <f>IFERROR(__xludf.DUMMYFUNCTION("""COMPUTED_VALUE"""),"https://www.cdc.gov/nchs/healthy_people/hp2020/hp2020_indicators.htm")</f>
        <v>https://www.cdc.gov/nchs/healthy_people/hp2020/hp2020_indicators.htm</v>
      </c>
      <c r="R13" t="str">
        <f>IFERROR(__xludf.DUMMYFUNCTION("""COMPUTED_VALUE"""),"CHSI")</f>
        <v>CHSI</v>
      </c>
      <c r="S13" t="str">
        <f>IFERROR(__xludf.DUMMYFUNCTION("""COMPUTED_VALUE"""),"")</f>
        <v/>
      </c>
      <c r="T13">
        <f>IFERROR(__xludf.DUMMYFUNCTION("""COMPUTED_VALUE"""),8.0)</f>
        <v>8</v>
      </c>
    </row>
    <row r="14">
      <c r="A14" t="str">
        <f>IFERROR(__xludf.DUMMYFUNCTION("""COMPUTED_VALUE"""),"Many patients with mental health problems experience poor health, poor well-being, and die prematurely")</f>
        <v>Many patients with mental health problems experience poor health, poor well-being, and die prematurely</v>
      </c>
      <c r="B14" t="str">
        <f>IFERROR(__xludf.DUMMYFUNCTION("""COMPUTED_VALUE"""),"")</f>
        <v/>
      </c>
      <c r="C14" t="str">
        <f>IFERROR(__xludf.DUMMYFUNCTION("""COMPUTED_VALUE"""),"")</f>
        <v/>
      </c>
      <c r="D14" t="str">
        <f>IFERROR(__xludf.DUMMYFUNCTION("""COMPUTED_VALUE"""),"")</f>
        <v/>
      </c>
      <c r="E14" t="str">
        <f>IFERROR(__xludf.DUMMYFUNCTION("""COMPUTED_VALUE"""),"")</f>
        <v/>
      </c>
      <c r="F14" t="str">
        <f>IFERROR(__xludf.DUMMYFUNCTION("""COMPUTED_VALUE"""),"")</f>
        <v/>
      </c>
      <c r="G14" t="str">
        <f>IFERROR(__xludf.DUMMYFUNCTION("""COMPUTED_VALUE"""),"Mental health, SUD-related")</f>
        <v>Mental health, SUD-related</v>
      </c>
      <c r="H14" t="str">
        <f>IFERROR(__xludf.DUMMYFUNCTION("""COMPUTED_VALUE"""),"Commonwealth Fund focuses on those with unmet needs/treatments, broken down by child/adult. ""Poor mental health days""")</f>
        <v>Commonwealth Fund focuses on those with unmet needs/treatments, broken down by child/adult. "Poor mental health days"</v>
      </c>
      <c r="I14" t="str">
        <f>IFERROR(__xludf.DUMMYFUNCTION("""COMPUTED_VALUE"""),"")</f>
        <v/>
      </c>
      <c r="J14" s="19" t="str">
        <f>IFERROR(__xludf.DUMMYFUNCTION("""COMPUTED_VALUE"""),"https://interactives.commonwealthfund.org/2018/state-scorecard/files/Radley_State_Scorecard_2018.pdf")</f>
        <v>https://interactives.commonwealthfund.org/2018/state-scorecard/files/Radley_State_Scorecard_2018.pdf</v>
      </c>
      <c r="K14"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14" s="19" t="str">
        <f>IFERROR(__xludf.DUMMYFUNCTION("""COMPUTED_VALUE"""),"https://usafacts.org/missions/promote-welfare/12")</f>
        <v>https://usafacts.org/missions/promote-welfare/12</v>
      </c>
      <c r="M14" t="str">
        <f>IFERROR(__xludf.DUMMYFUNCTION("""COMPUTED_VALUE"""),"")</f>
        <v/>
      </c>
      <c r="N14" s="19" t="str">
        <f>IFERROR(__xludf.DUMMYFUNCTION("""COMPUTED_VALUE"""),"https://www.americashealthrankings.org/explore/annual")</f>
        <v>https://www.americashealthrankings.org/explore/annual</v>
      </c>
      <c r="O14" t="str">
        <f>IFERROR(__xludf.DUMMYFUNCTION("""COMPUTED_VALUE"""),"")</f>
        <v/>
      </c>
      <c r="P14" t="str">
        <f>IFERROR(__xludf.DUMMYFUNCTION("""COMPUTED_VALUE"""),"https://www.cms.gov/Medicare/Quality-Initiatives-Patient-Assessment-Instruments/QualityInitiativesGenInfo/MMF/General-info-Sub-Page.html, BWHP-10")</f>
        <v>https://www.cms.gov/Medicare/Quality-Initiatives-Patient-Assessment-Instruments/QualityInitiativesGenInfo/MMF/General-info-Sub-Page.html, BWHP-10</v>
      </c>
      <c r="Q14" s="19" t="str">
        <f>IFERROR(__xludf.DUMMYFUNCTION("""COMPUTED_VALUE"""),"https://www.cdc.gov/nchs/healthy_people/hp2020/hp2020_indicators.htm")</f>
        <v>https://www.cdc.gov/nchs/healthy_people/hp2020/hp2020_indicators.htm</v>
      </c>
      <c r="R14" t="str">
        <f>IFERROR(__xludf.DUMMYFUNCTION("""COMPUTED_VALUE"""),"CHSI")</f>
        <v>CHSI</v>
      </c>
      <c r="S14" t="str">
        <f>IFERROR(__xludf.DUMMYFUNCTION("""COMPUTED_VALUE"""),"BWHP-10")</f>
        <v>BWHP-10</v>
      </c>
      <c r="T14">
        <f>IFERROR(__xludf.DUMMYFUNCTION("""COMPUTED_VALUE"""),8.0)</f>
        <v>8</v>
      </c>
    </row>
    <row r="15">
      <c r="A15" t="str">
        <f>IFERROR(__xludf.DUMMYFUNCTION("""COMPUTED_VALUE"""),"Treatment coverage for alcohol and drug dependence")</f>
        <v>Treatment coverage for alcohol and drug dependence</v>
      </c>
      <c r="B15" t="str">
        <f>IFERROR(__xludf.DUMMYFUNCTION("""COMPUTED_VALUE"""),"")</f>
        <v/>
      </c>
      <c r="C15" t="str">
        <f>IFERROR(__xludf.DUMMYFUNCTION("""COMPUTED_VALUE"""),"")</f>
        <v/>
      </c>
      <c r="D15" t="str">
        <f>IFERROR(__xludf.DUMMYFUNCTION("""COMPUTED_VALUE"""),"")</f>
        <v/>
      </c>
      <c r="E15" t="str">
        <f>IFERROR(__xludf.DUMMYFUNCTION("""COMPUTED_VALUE"""),"")</f>
        <v/>
      </c>
      <c r="F15" t="str">
        <f>IFERROR(__xludf.DUMMYFUNCTION("""COMPUTED_VALUE"""),"")</f>
        <v/>
      </c>
      <c r="G15" t="str">
        <f>IFERROR(__xludf.DUMMYFUNCTION("""COMPUTED_VALUE"""),"VA")</f>
        <v>VA</v>
      </c>
      <c r="H15" t="str">
        <f>IFERROR(__xludf.DUMMYFUNCTION("""COMPUTED_VALUE"""),"Commonwealth Fund tracks alcohol deaths; Also admission rates")</f>
        <v>Commonwealth Fund tracks alcohol deaths; Also admission rates</v>
      </c>
      <c r="I1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5" s="19" t="str">
        <f>IFERROR(__xludf.DUMMYFUNCTION("""COMPUTED_VALUE"""),"https://interactives.commonwealthfund.org/2018/state-scorecard/files/Radley_State_Scorecard_2018.pdf")</f>
        <v>https://interactives.commonwealthfund.org/2018/state-scorecard/files/Radley_State_Scorecard_2018.pdf</v>
      </c>
      <c r="K15" t="str">
        <f>IFERROR(__xludf.DUMMYFUNCTION("""COMPUTED_VALUE"""),"")</f>
        <v/>
      </c>
      <c r="L15" s="19" t="str">
        <f>IFERROR(__xludf.DUMMYFUNCTION("""COMPUTED_VALUE"""),"https://usafacts.org/missions/promote-welfare/12")</f>
        <v>https://usafacts.org/missions/promote-welfare/12</v>
      </c>
      <c r="M15" t="str">
        <f>IFERROR(__xludf.DUMMYFUNCTION("""COMPUTED_VALUE"""),"")</f>
        <v/>
      </c>
      <c r="N15" s="19" t="str">
        <f>IFERROR(__xludf.DUMMYFUNCTION("""COMPUTED_VALUE"""),"https://www.americashealthrankings.org/explore/annual")</f>
        <v>https://www.americashealthrankings.org/explore/annual</v>
      </c>
      <c r="O15" t="str">
        <f>IFERROR(__xludf.DUMMYFUNCTION("""COMPUTED_VALUE"""),"")</f>
        <v/>
      </c>
      <c r="P15" t="str">
        <f>IFERROR(__xludf.DUMMYFUNCTION("""COMPUTED_VALUE"""),"https://www.cms.gov/Medicare/Quality-Initiatives-Patient-Assessment-Instruments/QualityInitiativesGenInfo/MMF/General-info-Sub-Page.html, BWHP-11")</f>
        <v>https://www.cms.gov/Medicare/Quality-Initiatives-Patient-Assessment-Instruments/QualityInitiativesGenInfo/MMF/General-info-Sub-Page.html, BWHP-11</v>
      </c>
      <c r="Q15"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15" t="str">
        <f>IFERROR(__xludf.DUMMYFUNCTION("""COMPUTED_VALUE"""),"CHSI")</f>
        <v>CHSI</v>
      </c>
      <c r="S15" t="str">
        <f>IFERROR(__xludf.DUMMYFUNCTION("""COMPUTED_VALUE"""),"BWHP-11, BWHP-38")</f>
        <v>BWHP-11, BWHP-38</v>
      </c>
      <c r="T15">
        <f>IFERROR(__xludf.DUMMYFUNCTION("""COMPUTED_VALUE"""),8.0)</f>
        <v>8</v>
      </c>
    </row>
    <row r="16">
      <c r="A16" t="str">
        <f>IFERROR(__xludf.DUMMYFUNCTION("""COMPUTED_VALUE"""),"Lack of health insurance and access to care harms and kills many patients")</f>
        <v>Lack of health insurance and access to care harms and kills many patients</v>
      </c>
      <c r="B16" t="str">
        <f>IFERROR(__xludf.DUMMYFUNCTION("""COMPUTED_VALUE"""),"")</f>
        <v/>
      </c>
      <c r="C16" t="str">
        <f>IFERROR(__xludf.DUMMYFUNCTION("""COMPUTED_VALUE"""),"")</f>
        <v/>
      </c>
      <c r="D16" t="str">
        <f>IFERROR(__xludf.DUMMYFUNCTION("""COMPUTED_VALUE"""),"")</f>
        <v/>
      </c>
      <c r="E16" t="str">
        <f>IFERROR(__xludf.DUMMYFUNCTION("""COMPUTED_VALUE"""),"")</f>
        <v/>
      </c>
      <c r="F16" t="str">
        <f>IFERROR(__xludf.DUMMYFUNCTION("""COMPUTED_VALUE"""),"")</f>
        <v/>
      </c>
      <c r="G16" t="str">
        <f>IFERROR(__xludf.DUMMYFUNCTION("""COMPUTED_VALUE"""),"")</f>
        <v/>
      </c>
      <c r="H16" t="str">
        <f>IFERROR(__xludf.DUMMYFUNCTION("""COMPUTED_VALUE"""),"CHSI + UnitedHealth: number of uninsured")</f>
        <v>CHSI + UnitedHealth: number of uninsured</v>
      </c>
      <c r="I16" t="str">
        <f>IFERROR(__xludf.DUMMYFUNCTION("""COMPUTED_VALUE"""),"")</f>
        <v/>
      </c>
      <c r="J16" s="19" t="str">
        <f>IFERROR(__xludf.DUMMYFUNCTION("""COMPUTED_VALUE"""),"https://interactives.commonwealthfund.org/2018/state-scorecard/files/Radley_State_Scorecard_2018.pdf")</f>
        <v>https://interactives.commonwealthfund.org/2018/state-scorecard/files/Radley_State_Scorecard_2018.pdf</v>
      </c>
      <c r="K16" s="19" t="str">
        <f>IFERROR(__xludf.DUMMYFUNCTION("""COMPUTED_VALUE"""),"https://stats.oecd.org/index.aspx?DataSetCode=HEALTH_STAT")</f>
        <v>https://stats.oecd.org/index.aspx?DataSetCode=HEALTH_STAT</v>
      </c>
      <c r="L16" s="19" t="str">
        <f>IFERROR(__xludf.DUMMYFUNCTION("""COMPUTED_VALUE"""),"https://usafacts.org/missions/promote-welfare/12")</f>
        <v>https://usafacts.org/missions/promote-welfare/12</v>
      </c>
      <c r="M16" t="str">
        <f>IFERROR(__xludf.DUMMYFUNCTION("""COMPUTED_VALUE"""),"")</f>
        <v/>
      </c>
      <c r="N16" s="19" t="str">
        <f>IFERROR(__xludf.DUMMYFUNCTION("""COMPUTED_VALUE"""),"https://www.americashealthrankings.org/explore/annual")</f>
        <v>https://www.americashealthrankings.org/explore/annual</v>
      </c>
      <c r="O16" t="str">
        <f>IFERROR(__xludf.DUMMYFUNCTION("""COMPUTED_VALUE"""),"")</f>
        <v/>
      </c>
      <c r="P16" s="19" t="str">
        <f>IFERROR(__xludf.DUMMYFUNCTION("""COMPUTED_VALUE"""),"https://www.cms.gov/about-cms/story-page/our-16-strategic-initiatives.html")</f>
        <v>https://www.cms.gov/about-cms/story-page/our-16-strategic-initiatives.html</v>
      </c>
      <c r="Q16" s="19" t="str">
        <f>IFERROR(__xludf.DUMMYFUNCTION("""COMPUTED_VALUE"""),"https://www.cdc.gov/nchs/healthy_people/hp2020/hp2020_indicators.htm")</f>
        <v>https://www.cdc.gov/nchs/healthy_people/hp2020/hp2020_indicators.htm</v>
      </c>
      <c r="R16" t="str">
        <f>IFERROR(__xludf.DUMMYFUNCTION("""COMPUTED_VALUE"""),"CHSI")</f>
        <v>CHSI</v>
      </c>
      <c r="S16" t="str">
        <f>IFERROR(__xludf.DUMMYFUNCTION("""COMPUTED_VALUE"""),"BWHP-25")</f>
        <v>BWHP-25</v>
      </c>
      <c r="T16">
        <f>IFERROR(__xludf.DUMMYFUNCTION("""COMPUTED_VALUE"""),8.0)</f>
        <v>8</v>
      </c>
    </row>
    <row r="17">
      <c r="A17" t="str">
        <f>IFERROR(__xludf.DUMMYFUNCTION("""COMPUTED_VALUE"""),"Neonatal mortality (per 1,000 lb)")</f>
        <v>Neonatal mortality (per 1,000 lb)</v>
      </c>
      <c r="B17">
        <f>IFERROR(__xludf.DUMMYFUNCTION("""COMPUTED_VALUE"""),3.9)</f>
        <v>3.9</v>
      </c>
      <c r="C17" s="19" t="str">
        <f>IFERROR(__xludf.DUMMYFUNCTION("""COMPUTED_VALUE"""),"http://www.paho.org/data/index.php/en/indicators/visualization.html")</f>
        <v>http://www.paho.org/data/index.php/en/indicators/visualization.html</v>
      </c>
      <c r="D17" t="str">
        <f>IFERROR(__xludf.DUMMYFUNCTION("""COMPUTED_VALUE"""),"")</f>
        <v/>
      </c>
      <c r="E17" t="str">
        <f>IFERROR(__xludf.DUMMYFUNCTION("""COMPUTED_VALUE"""),"")</f>
        <v/>
      </c>
      <c r="F17">
        <f>IFERROR(__xludf.DUMMYFUNCTION("""COMPUTED_VALUE"""),2015.0)</f>
        <v>2015</v>
      </c>
      <c r="G17" t="str">
        <f>IFERROR(__xludf.DUMMYFUNCTION("""COMPUTED_VALUE"""),"health status, mortality")</f>
        <v>health status, mortality</v>
      </c>
      <c r="H17" t="str">
        <f>IFERROR(__xludf.DUMMYFUNCTION("""COMPUTED_VALUE"""),"Total: 15,652, SDG 3.2.2; Gapminder breaks it down by cause (asphyxia, congenital, pneumonia etc)")</f>
        <v>Total: 15,652, SDG 3.2.2; Gapminder breaks it down by cause (asphyxia, congenital, pneumonia etc)</v>
      </c>
      <c r="I1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7" t="str">
        <f>IFERROR(__xludf.DUMMYFUNCTION("""COMPUTED_VALUE"""),"")</f>
        <v/>
      </c>
      <c r="K17" s="19" t="str">
        <f>IFERROR(__xludf.DUMMYFUNCTION("""COMPUTED_VALUE"""),"https://stats.oecd.org/index.aspx?DataSetCode=HEALTH_STAT")</f>
        <v>https://stats.oecd.org/index.aspx?DataSetCode=HEALTH_STAT</v>
      </c>
      <c r="L17" s="19" t="str">
        <f>IFERROR(__xludf.DUMMYFUNCTION("""COMPUTED_VALUE"""),"https://usafacts.org/missions/promote-welfare/12")</f>
        <v>https://usafacts.org/missions/promote-welfare/12</v>
      </c>
      <c r="M17" s="19" t="str">
        <f>IFERROR(__xludf.DUMMYFUNCTION("""COMPUTED_VALUE"""),"https://www.gapminder.org/data/")</f>
        <v>https://www.gapminder.org/data/</v>
      </c>
      <c r="N17" s="19" t="str">
        <f>IFERROR(__xludf.DUMMYFUNCTION("""COMPUTED_VALUE"""),"https://www.americashealthrankings.org/explore/health-of-women-and-children/measure/neonatal_mortality/state/ALL")</f>
        <v>https://www.americashealthrankings.org/explore/health-of-women-and-children/measure/neonatal_mortality/state/ALL</v>
      </c>
      <c r="O17" s="19" t="str">
        <f>IFERROR(__xludf.DUMMYFUNCTION("""COMPUTED_VALUE"""),"https://data.worldbank.org/indicator/#health")</f>
        <v>https://data.worldbank.org/indicator/#health</v>
      </c>
      <c r="P17" t="str">
        <f>IFERROR(__xludf.DUMMYFUNCTION("""COMPUTED_VALUE"""),"")</f>
        <v/>
      </c>
      <c r="Q17" s="19" t="str">
        <f>IFERROR(__xludf.DUMMYFUNCTION("""COMPUTED_VALUE"""),"https://www.cdc.gov/nchs/healthy_people/hp2020/hp2020_indicators.htm")</f>
        <v>https://www.cdc.gov/nchs/healthy_people/hp2020/hp2020_indicators.htm</v>
      </c>
      <c r="R17" t="str">
        <f>IFERROR(__xludf.DUMMYFUNCTION("""COMPUTED_VALUE"""),"")</f>
        <v/>
      </c>
      <c r="S17" t="str">
        <f>IFERROR(__xludf.DUMMYFUNCTION("""COMPUTED_VALUE"""),"")</f>
        <v/>
      </c>
      <c r="T17">
        <f>IFERROR(__xludf.DUMMYFUNCTION("""COMPUTED_VALUE"""),7.0)</f>
        <v>7</v>
      </c>
    </row>
    <row r="18">
      <c r="A18" t="str">
        <f>IFERROR(__xludf.DUMMYFUNCTION("""COMPUTED_VALUE"""),"Coverage of services for severe mental health disorders")</f>
        <v>Coverage of services for severe mental health disorders</v>
      </c>
      <c r="B18" t="str">
        <f>IFERROR(__xludf.DUMMYFUNCTION("""COMPUTED_VALUE"""),"")</f>
        <v/>
      </c>
      <c r="C18" t="str">
        <f>IFERROR(__xludf.DUMMYFUNCTION("""COMPUTED_VALUE"""),"")</f>
        <v/>
      </c>
      <c r="D18" t="str">
        <f>IFERROR(__xludf.DUMMYFUNCTION("""COMPUTED_VALUE"""),"")</f>
        <v/>
      </c>
      <c r="E18" t="str">
        <f>IFERROR(__xludf.DUMMYFUNCTION("""COMPUTED_VALUE"""),"")</f>
        <v/>
      </c>
      <c r="F18" t="str">
        <f>IFERROR(__xludf.DUMMYFUNCTION("""COMPUTED_VALUE"""),"")</f>
        <v/>
      </c>
      <c r="G18" t="str">
        <f>IFERROR(__xludf.DUMMYFUNCTION("""COMPUTED_VALUE"""),"Also admission rates")</f>
        <v>Also admission rates</v>
      </c>
      <c r="H18" t="str">
        <f>IFERROR(__xludf.DUMMYFUNCTION("""COMPUTED_VALUE"""),"")</f>
        <v/>
      </c>
      <c r="I1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8" t="str">
        <f>IFERROR(__xludf.DUMMYFUNCTION("""COMPUTED_VALUE"""),"")</f>
        <v/>
      </c>
      <c r="K18"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18" s="19" t="str">
        <f>IFERROR(__xludf.DUMMYFUNCTION("""COMPUTED_VALUE"""),"https://usafacts.org/missions/promote-welfare/12")</f>
        <v>https://usafacts.org/missions/promote-welfare/12</v>
      </c>
      <c r="M18" t="str">
        <f>IFERROR(__xludf.DUMMYFUNCTION("""COMPUTED_VALUE"""),"")</f>
        <v/>
      </c>
      <c r="N18" s="19" t="str">
        <f>IFERROR(__xludf.DUMMYFUNCTION("""COMPUTED_VALUE"""),"https://www.americashealthrankings.org/explore/annual")</f>
        <v>https://www.americashealthrankings.org/explore/annual</v>
      </c>
      <c r="O18" t="str">
        <f>IFERROR(__xludf.DUMMYFUNCTION("""COMPUTED_VALUE"""),"")</f>
        <v/>
      </c>
      <c r="P18" t="str">
        <f>IFERROR(__xludf.DUMMYFUNCTION("""COMPUTED_VALUE"""),"https://www.cms.gov/Medicare/Quality-Initiatives-Patient-Assessment-Instruments/QualityInitiativesGenInfo/MMF/General-info-Sub-Page.html, BWHP-10")</f>
        <v>https://www.cms.gov/Medicare/Quality-Initiatives-Patient-Assessment-Instruments/QualityInitiativesGenInfo/MMF/General-info-Sub-Page.html, BWHP-10</v>
      </c>
      <c r="Q18" t="str">
        <f>IFERROR(__xludf.DUMMYFUNCTION("""COMPUTED_VALUE"""),"")</f>
        <v/>
      </c>
      <c r="R18" t="str">
        <f>IFERROR(__xludf.DUMMYFUNCTION("""COMPUTED_VALUE"""),"CHSI")</f>
        <v>CHSI</v>
      </c>
      <c r="S18" t="str">
        <f>IFERROR(__xludf.DUMMYFUNCTION("""COMPUTED_VALUE"""),"BWHP-10")</f>
        <v>BWHP-10</v>
      </c>
      <c r="T18">
        <f>IFERROR(__xludf.DUMMYFUNCTION("""COMPUTED_VALUE"""),7.0)</f>
        <v>7</v>
      </c>
    </row>
    <row r="19">
      <c r="A19" t="str">
        <f>IFERROR(__xludf.DUMMYFUNCTION("""COMPUTED_VALUE"""),"Stillbirth rate")</f>
        <v>Stillbirth rate</v>
      </c>
      <c r="B19">
        <f>IFERROR(__xludf.DUMMYFUNCTION("""COMPUTED_VALUE"""),5.9)</f>
        <v>5.9</v>
      </c>
      <c r="C19" s="19" t="str">
        <f>IFERROR(__xludf.DUMMYFUNCTION("""COMPUTED_VALUE"""),"https://www.cdc.gov/ncbddd/stillbirth/data.html")</f>
        <v>https://www.cdc.gov/ncbddd/stillbirth/data.html</v>
      </c>
      <c r="D19" t="str">
        <f>IFERROR(__xludf.DUMMYFUNCTION("""COMPUTED_VALUE"""),"")</f>
        <v/>
      </c>
      <c r="E19" t="str">
        <f>IFERROR(__xludf.DUMMYFUNCTION("""COMPUTED_VALUE"""),"")</f>
        <v/>
      </c>
      <c r="F19">
        <f>IFERROR(__xludf.DUMMYFUNCTION("""COMPUTED_VALUE"""),2014.0)</f>
        <v>2014</v>
      </c>
      <c r="G19" t="str">
        <f>IFERROR(__xludf.DUMMYFUNCTION("""COMPUTED_VALUE"""),"health status, mortality")</f>
        <v>health status, mortality</v>
      </c>
      <c r="H19" t="str">
        <f>IFERROR(__xludf.DUMMYFUNCTION("""COMPUTED_VALUE"""),"Total: 24,000")</f>
        <v>Total: 24,000</v>
      </c>
      <c r="I1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9" t="str">
        <f>IFERROR(__xludf.DUMMYFUNCTION("""COMPUTED_VALUE"""),"")</f>
        <v/>
      </c>
      <c r="K19" s="19" t="str">
        <f>IFERROR(__xludf.DUMMYFUNCTION("""COMPUTED_VALUE"""),"https://stats.oecd.org/index.aspx?DataSetCode=HEALTH_STAT")</f>
        <v>https://stats.oecd.org/index.aspx?DataSetCode=HEALTH_STAT</v>
      </c>
      <c r="L19" t="str">
        <f>IFERROR(__xludf.DUMMYFUNCTION("""COMPUTED_VALUE"""),"")</f>
        <v/>
      </c>
      <c r="M19" s="19" t="str">
        <f>IFERROR(__xludf.DUMMYFUNCTION("""COMPUTED_VALUE"""),"https://www.gapminder.org/data/")</f>
        <v>https://www.gapminder.org/data/</v>
      </c>
      <c r="N19" s="19" t="str">
        <f>IFERROR(__xludf.DUMMYFUNCTION("""COMPUTED_VALUE"""),"https://www.americashealthrankings.org/explore/annual")</f>
        <v>https://www.americashealthrankings.org/explore/annual</v>
      </c>
      <c r="O19" s="19" t="str">
        <f>IFERROR(__xludf.DUMMYFUNCTION("""COMPUTED_VALUE"""),"https://data.worldbank.org/indicator/#health")</f>
        <v>https://data.worldbank.org/indicator/#health</v>
      </c>
      <c r="P19" t="str">
        <f>IFERROR(__xludf.DUMMYFUNCTION("""COMPUTED_VALUE"""),"")</f>
        <v/>
      </c>
      <c r="Q19" s="19" t="str">
        <f>IFERROR(__xludf.DUMMYFUNCTION("""COMPUTED_VALUE"""),"https://www.cdc.gov/nchs/healthy_people/hp2020/hp2020_indicators.htm")</f>
        <v>https://www.cdc.gov/nchs/healthy_people/hp2020/hp2020_indicators.htm</v>
      </c>
      <c r="R19" t="str">
        <f>IFERROR(__xludf.DUMMYFUNCTION("""COMPUTED_VALUE"""),"")</f>
        <v/>
      </c>
      <c r="S19" t="str">
        <f>IFERROR(__xludf.DUMMYFUNCTION("""COMPUTED_VALUE"""),"")</f>
        <v/>
      </c>
      <c r="T19">
        <f>IFERROR(__xludf.DUMMYFUNCTION("""COMPUTED_VALUE"""),6.0)</f>
        <v>6</v>
      </c>
    </row>
    <row r="20">
      <c r="A20" t="str">
        <f>IFERROR(__xludf.DUMMYFUNCTION("""COMPUTED_VALUE"""),"Adult mortality (age 15-65, per 100,000)")</f>
        <v>Adult mortality (age 15-65, per 100,000)</v>
      </c>
      <c r="B20">
        <f>IFERROR(__xludf.DUMMYFUNCTION("""COMPUTED_VALUE"""),863.8)</f>
        <v>863.8</v>
      </c>
      <c r="C20" s="19" t="str">
        <f>IFERROR(__xludf.DUMMYFUNCTION("""COMPUTED_VALUE"""),"https://www.cdc.gov/nchs/fastats/deaths.htm")</f>
        <v>https://www.cdc.gov/nchs/fastats/deaths.htm</v>
      </c>
      <c r="D20" t="str">
        <f>IFERROR(__xludf.DUMMYFUNCTION("""COMPUTED_VALUE"""),"")</f>
        <v/>
      </c>
      <c r="E20" t="str">
        <f>IFERROR(__xludf.DUMMYFUNCTION("""COMPUTED_VALUE"""),"")</f>
        <v/>
      </c>
      <c r="F20">
        <f>IFERROR(__xludf.DUMMYFUNCTION("""COMPUTED_VALUE"""),2017.0)</f>
        <v>2017</v>
      </c>
      <c r="G20" t="str">
        <f>IFERROR(__xludf.DUMMYFUNCTION("""COMPUTED_VALUE"""),"health status, mortality")</f>
        <v>health status, mortality</v>
      </c>
      <c r="H20" t="str">
        <f>IFERROR(__xludf.DUMMYFUNCTION("""COMPUTED_VALUE"""),"Total: 2,813,503; UnitedHealth considers ""Premature deaths""")</f>
        <v>Total: 2,813,503; UnitedHealth considers "Premature deaths"</v>
      </c>
      <c r="I2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0" t="str">
        <f>IFERROR(__xludf.DUMMYFUNCTION("""COMPUTED_VALUE"""),"")</f>
        <v/>
      </c>
      <c r="K20" s="19" t="str">
        <f>IFERROR(__xludf.DUMMYFUNCTION("""COMPUTED_VALUE"""),"https://stats.oecd.org/index.aspx?DataSetCode=HEALTH_STAT")</f>
        <v>https://stats.oecd.org/index.aspx?DataSetCode=HEALTH_STAT</v>
      </c>
      <c r="L20" s="19" t="str">
        <f>IFERROR(__xludf.DUMMYFUNCTION("""COMPUTED_VALUE"""),"https://usafacts.org/missions/promote-welfare/12")</f>
        <v>https://usafacts.org/missions/promote-welfare/12</v>
      </c>
      <c r="M20" t="str">
        <f>IFERROR(__xludf.DUMMYFUNCTION("""COMPUTED_VALUE"""),"")</f>
        <v/>
      </c>
      <c r="N20" s="19" t="str">
        <f>IFERROR(__xludf.DUMMYFUNCTION("""COMPUTED_VALUE"""),"https://www.americashealthrankings.org/explore/annual")</f>
        <v>https://www.americashealthrankings.org/explore/annual</v>
      </c>
      <c r="O20" s="19" t="str">
        <f>IFERROR(__xludf.DUMMYFUNCTION("""COMPUTED_VALUE"""),"https://data.worldbank.org/indicator/#health")</f>
        <v>https://data.worldbank.org/indicator/#health</v>
      </c>
      <c r="P20" t="str">
        <f>IFERROR(__xludf.DUMMYFUNCTION("""COMPUTED_VALUE"""),"")</f>
        <v/>
      </c>
      <c r="Q20" t="str">
        <f>IFERROR(__xludf.DUMMYFUNCTION("""COMPUTED_VALUE"""),"")</f>
        <v/>
      </c>
      <c r="R20" t="str">
        <f>IFERROR(__xludf.DUMMYFUNCTION("""COMPUTED_VALUE"""),"CHSI")</f>
        <v>CHSI</v>
      </c>
      <c r="S20" t="str">
        <f>IFERROR(__xludf.DUMMYFUNCTION("""COMPUTED_VALUE"""),"")</f>
        <v/>
      </c>
      <c r="T20">
        <f>IFERROR(__xludf.DUMMYFUNCTION("""COMPUTED_VALUE"""),6.0)</f>
        <v>6</v>
      </c>
    </row>
    <row r="21">
      <c r="A21" t="str">
        <f>IFERROR(__xludf.DUMMYFUNCTION("""COMPUTED_VALUE"""),"Death rate due to road traffic injuries")</f>
        <v>Death rate due to road traffic injuries</v>
      </c>
      <c r="B21" t="str">
        <f>IFERROR(__xludf.DUMMYFUNCTION("""COMPUTED_VALUE"""),"")</f>
        <v/>
      </c>
      <c r="C21" t="str">
        <f>IFERROR(__xludf.DUMMYFUNCTION("""COMPUTED_VALUE"""),"")</f>
        <v/>
      </c>
      <c r="D21" t="str">
        <f>IFERROR(__xludf.DUMMYFUNCTION("""COMPUTED_VALUE"""),"")</f>
        <v/>
      </c>
      <c r="E21" t="str">
        <f>IFERROR(__xludf.DUMMYFUNCTION("""COMPUTED_VALUE"""),"")</f>
        <v/>
      </c>
      <c r="F21" t="str">
        <f>IFERROR(__xludf.DUMMYFUNCTION("""COMPUTED_VALUE"""),"")</f>
        <v/>
      </c>
      <c r="G21" t="str">
        <f>IFERROR(__xludf.DUMMYFUNCTION("""COMPUTED_VALUE"""),"")</f>
        <v/>
      </c>
      <c r="H21" t="str">
        <f>IFERROR(__xludf.DUMMYFUNCTION("""COMPUTED_VALUE"""),"SDG 3.6.1")</f>
        <v>SDG 3.6.1</v>
      </c>
      <c r="I2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1" t="str">
        <f>IFERROR(__xludf.DUMMYFUNCTION("""COMPUTED_VALUE"""),"")</f>
        <v/>
      </c>
      <c r="K21" s="19" t="str">
        <f>IFERROR(__xludf.DUMMYFUNCTION("""COMPUTED_VALUE"""),"https://stats.oecd.org/index.aspx?DataSetCode=HEALTH_STAT")</f>
        <v>https://stats.oecd.org/index.aspx?DataSetCode=HEALTH_STAT</v>
      </c>
      <c r="L21" t="str">
        <f>IFERROR(__xludf.DUMMYFUNCTION("""COMPUTED_VALUE"""),"")</f>
        <v/>
      </c>
      <c r="M21" t="str">
        <f>IFERROR(__xludf.DUMMYFUNCTION("""COMPUTED_VALUE"""),"")</f>
        <v/>
      </c>
      <c r="N21" t="str">
        <f>IFERROR(__xludf.DUMMYFUNCTION("""COMPUTED_VALUE"""),"")</f>
        <v/>
      </c>
      <c r="O21" s="19" t="str">
        <f>IFERROR(__xludf.DUMMYFUNCTION("""COMPUTED_VALUE"""),"https://data.worldbank.org/indicator/#health")</f>
        <v>https://data.worldbank.org/indicator/#health</v>
      </c>
      <c r="P21" t="str">
        <f>IFERROR(__xludf.DUMMYFUNCTION("""COMPUTED_VALUE"""),"")</f>
        <v/>
      </c>
      <c r="Q21"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21" t="str">
        <f>IFERROR(__xludf.DUMMYFUNCTION("""COMPUTED_VALUE"""),"CHSI")</f>
        <v>CHSI</v>
      </c>
      <c r="S21" t="str">
        <f>IFERROR(__xludf.DUMMYFUNCTION("""COMPUTED_VALUE"""),"BWHP-29")</f>
        <v>BWHP-29</v>
      </c>
      <c r="T21">
        <f>IFERROR(__xludf.DUMMYFUNCTION("""COMPUTED_VALUE"""),6.0)</f>
        <v>6</v>
      </c>
    </row>
    <row r="22">
      <c r="A22" t="str">
        <f>IFERROR(__xludf.DUMMYFUNCTION("""COMPUTED_VALUE"""),"HIV prevalence rate")</f>
        <v>HIV prevalence rate</v>
      </c>
      <c r="B22" t="str">
        <f>IFERROR(__xludf.DUMMYFUNCTION("""COMPUTED_VALUE"""),"")</f>
        <v/>
      </c>
      <c r="C22" t="str">
        <f>IFERROR(__xludf.DUMMYFUNCTION("""COMPUTED_VALUE"""),"")</f>
        <v/>
      </c>
      <c r="D22" t="str">
        <f>IFERROR(__xludf.DUMMYFUNCTION("""COMPUTED_VALUE"""),"")</f>
        <v/>
      </c>
      <c r="E22" t="str">
        <f>IFERROR(__xludf.DUMMYFUNCTION("""COMPUTED_VALUE"""),"")</f>
        <v/>
      </c>
      <c r="F22" t="str">
        <f>IFERROR(__xludf.DUMMYFUNCTION("""COMPUTED_VALUE"""),"")</f>
        <v/>
      </c>
      <c r="G22" t="str">
        <f>IFERROR(__xludf.DUMMYFUNCTION("""COMPUTED_VALUE"""),"")</f>
        <v/>
      </c>
      <c r="H22" t="str">
        <f>IFERROR(__xludf.DUMMYFUNCTION("""COMPUTED_VALUE"""),"")</f>
        <v/>
      </c>
      <c r="I2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2" t="str">
        <f>IFERROR(__xludf.DUMMYFUNCTION("""COMPUTED_VALUE"""),"")</f>
        <v/>
      </c>
      <c r="K22" s="19" t="str">
        <f>IFERROR(__xludf.DUMMYFUNCTION("""COMPUTED_VALUE"""),"https://stats.oecd.org/index.aspx?DataSetCode=HEALTH_STAT")</f>
        <v>https://stats.oecd.org/index.aspx?DataSetCode=HEALTH_STAT</v>
      </c>
      <c r="L22" s="19" t="str">
        <f>IFERROR(__xludf.DUMMYFUNCTION("""COMPUTED_VALUE"""),"https://usafacts.org/missions/promote-welfare/12")</f>
        <v>https://usafacts.org/missions/promote-welfare/12</v>
      </c>
      <c r="M22" s="19" t="str">
        <f>IFERROR(__xludf.DUMMYFUNCTION("""COMPUTED_VALUE"""),"https://www.gapminder.org/data/")</f>
        <v>https://www.gapminder.org/data/</v>
      </c>
      <c r="N22" t="str">
        <f>IFERROR(__xludf.DUMMYFUNCTION("""COMPUTED_VALUE"""),"")</f>
        <v/>
      </c>
      <c r="O22" s="19" t="str">
        <f>IFERROR(__xludf.DUMMYFUNCTION("""COMPUTED_VALUE"""),"https://data.worldbank.org/indicator/#health")</f>
        <v>https://data.worldbank.org/indicator/#health</v>
      </c>
      <c r="P22" t="str">
        <f>IFERROR(__xludf.DUMMYFUNCTION("""COMPUTED_VALUE"""),"")</f>
        <v/>
      </c>
      <c r="Q22" s="19" t="str">
        <f>IFERROR(__xludf.DUMMYFUNCTION("""COMPUTED_VALUE"""),"https://wwwn.cdc.gov/psr/NationalSummary/NationalSummary.aspx")</f>
        <v>https://wwwn.cdc.gov/psr/NationalSummary/NationalSummary.aspx</v>
      </c>
      <c r="R22" t="str">
        <f>IFERROR(__xludf.DUMMYFUNCTION("""COMPUTED_VALUE"""),"")</f>
        <v/>
      </c>
      <c r="S22" t="str">
        <f>IFERROR(__xludf.DUMMYFUNCTION("""COMPUTED_VALUE"""),"")</f>
        <v/>
      </c>
      <c r="T22">
        <f>IFERROR(__xludf.DUMMYFUNCTION("""COMPUTED_VALUE"""),6.0)</f>
        <v>6</v>
      </c>
    </row>
    <row r="23" ht="15.0" customHeight="1">
      <c r="A23" t="str">
        <f>IFERROR(__xludf.DUMMYFUNCTION("""COMPUTED_VALUE"""),"HIV incidence rate")</f>
        <v>HIV incidence rate</v>
      </c>
      <c r="B23" t="str">
        <f>IFERROR(__xludf.DUMMYFUNCTION("""COMPUTED_VALUE"""),"")</f>
        <v/>
      </c>
      <c r="C23" t="str">
        <f>IFERROR(__xludf.DUMMYFUNCTION("""COMPUTED_VALUE"""),"")</f>
        <v/>
      </c>
      <c r="D23" t="str">
        <f>IFERROR(__xludf.DUMMYFUNCTION("""COMPUTED_VALUE"""),"")</f>
        <v/>
      </c>
      <c r="E23" t="str">
        <f>IFERROR(__xludf.DUMMYFUNCTION("""COMPUTED_VALUE"""),"")</f>
        <v/>
      </c>
      <c r="F23" t="str">
        <f>IFERROR(__xludf.DUMMYFUNCTION("""COMPUTED_VALUE"""),"")</f>
        <v/>
      </c>
      <c r="G23" t="str">
        <f>IFERROR(__xludf.DUMMYFUNCTION("""COMPUTED_VALUE"""),"")</f>
        <v/>
      </c>
      <c r="H23" t="str">
        <f>IFERROR(__xludf.DUMMYFUNCTION("""COMPUTED_VALUE"""),"SDG 3.3.1")</f>
        <v>SDG 3.3.1</v>
      </c>
      <c r="I2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3" t="str">
        <f>IFERROR(__xludf.DUMMYFUNCTION("""COMPUTED_VALUE"""),"")</f>
        <v/>
      </c>
      <c r="K23" s="19" t="str">
        <f>IFERROR(__xludf.DUMMYFUNCTION("""COMPUTED_VALUE"""),"https://stats.oecd.org/index.aspx?DataSetCode=HEALTH_STAT")</f>
        <v>https://stats.oecd.org/index.aspx?DataSetCode=HEALTH_STAT</v>
      </c>
      <c r="L23" s="19" t="str">
        <f>IFERROR(__xludf.DUMMYFUNCTION("""COMPUTED_VALUE"""),"https://usafacts.org/missions/promote-welfare/12")</f>
        <v>https://usafacts.org/missions/promote-welfare/12</v>
      </c>
      <c r="M23" s="19" t="str">
        <f>IFERROR(__xludf.DUMMYFUNCTION("""COMPUTED_VALUE"""),"https://www.gapminder.org/data/")</f>
        <v>https://www.gapminder.org/data/</v>
      </c>
      <c r="N23" t="str">
        <f>IFERROR(__xludf.DUMMYFUNCTION("""COMPUTED_VALUE"""),"")</f>
        <v/>
      </c>
      <c r="O23" s="19" t="str">
        <f>IFERROR(__xludf.DUMMYFUNCTION("""COMPUTED_VALUE"""),"https://data.worldbank.org/indicator/#health")</f>
        <v>https://data.worldbank.org/indicator/#health</v>
      </c>
      <c r="P23" t="str">
        <f>IFERROR(__xludf.DUMMYFUNCTION("""COMPUTED_VALUE"""),"")</f>
        <v/>
      </c>
      <c r="Q23" s="19" t="str">
        <f>IFERROR(__xludf.DUMMYFUNCTION("""COMPUTED_VALUE"""),"https://wwwn.cdc.gov/psr/NationalSummary/NationalSummary.aspx")</f>
        <v>https://wwwn.cdc.gov/psr/NationalSummary/NationalSummary.aspx</v>
      </c>
      <c r="R23" t="str">
        <f>IFERROR(__xludf.DUMMYFUNCTION("""COMPUTED_VALUE"""),"")</f>
        <v/>
      </c>
      <c r="S23" t="str">
        <f>IFERROR(__xludf.DUMMYFUNCTION("""COMPUTED_VALUE"""),"")</f>
        <v/>
      </c>
      <c r="T23">
        <f>IFERROR(__xludf.DUMMYFUNCTION("""COMPUTED_VALUE"""),6.0)</f>
        <v>6</v>
      </c>
    </row>
    <row r="24">
      <c r="A24" t="str">
        <f>IFERROR(__xludf.DUMMYFUNCTION("""COMPUTED_VALUE"""),"Air pollution level in cities")</f>
        <v>Air pollution level in cities</v>
      </c>
      <c r="B24" t="str">
        <f>IFERROR(__xludf.DUMMYFUNCTION("""COMPUTED_VALUE"""),"")</f>
        <v/>
      </c>
      <c r="C24" t="str">
        <f>IFERROR(__xludf.DUMMYFUNCTION("""COMPUTED_VALUE"""),"")</f>
        <v/>
      </c>
      <c r="D24" t="str">
        <f>IFERROR(__xludf.DUMMYFUNCTION("""COMPUTED_VALUE"""),"")</f>
        <v/>
      </c>
      <c r="E24" t="str">
        <f>IFERROR(__xludf.DUMMYFUNCTION("""COMPUTED_VALUE"""),"")</f>
        <v/>
      </c>
      <c r="F24" t="str">
        <f>IFERROR(__xludf.DUMMYFUNCTION("""COMPUTED_VALUE"""),"")</f>
        <v/>
      </c>
      <c r="G24" t="str">
        <f>IFERROR(__xludf.DUMMYFUNCTION("""COMPUTED_VALUE"""),"")</f>
        <v/>
      </c>
      <c r="H24" t="str">
        <f>IFERROR(__xludf.DUMMYFUNCTION("""COMPUTED_VALUE"""),"SDG 11.6.2")</f>
        <v>SDG 11.6.2</v>
      </c>
      <c r="I2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 t="str">
        <f>IFERROR(__xludf.DUMMYFUNCTION("""COMPUTED_VALUE"""),"")</f>
        <v/>
      </c>
      <c r="K24" s="19" t="str">
        <f>IFERROR(__xludf.DUMMYFUNCTION("""COMPUTED_VALUE"""),"https://www.oecd-ilibrary.org/social-issues-migration-health/health-at-a-glance-2017_health_glance-2017-en")</f>
        <v>https://www.oecd-ilibrary.org/social-issues-migration-health/health-at-a-glance-2017_health_glance-2017-en</v>
      </c>
      <c r="L24" t="str">
        <f>IFERROR(__xludf.DUMMYFUNCTION("""COMPUTED_VALUE"""),"")</f>
        <v/>
      </c>
      <c r="M24" t="str">
        <f>IFERROR(__xludf.DUMMYFUNCTION("""COMPUTED_VALUE"""),"")</f>
        <v/>
      </c>
      <c r="N24" s="19" t="str">
        <f>IFERROR(__xludf.DUMMYFUNCTION("""COMPUTED_VALUE"""),"https://www.americashealthrankings.org/explore/annual")</f>
        <v>https://www.americashealthrankings.org/explore/annual</v>
      </c>
      <c r="O24" t="str">
        <f>IFERROR(__xludf.DUMMYFUNCTION("""COMPUTED_VALUE"""),"")</f>
        <v/>
      </c>
      <c r="P24" t="str">
        <f>IFERROR(__xludf.DUMMYFUNCTION("""COMPUTED_VALUE"""),"")</f>
        <v/>
      </c>
      <c r="Q24" s="19" t="str">
        <f>IFERROR(__xludf.DUMMYFUNCTION("""COMPUTED_VALUE"""),"https://www.cdc.gov/nchs/healthy_people/hp2020/hp2020_indicators.htm")</f>
        <v>https://www.cdc.gov/nchs/healthy_people/hp2020/hp2020_indicators.htm</v>
      </c>
      <c r="R24" t="str">
        <f>IFERROR(__xludf.DUMMYFUNCTION("""COMPUTED_VALUE"""),"CHSI")</f>
        <v>CHSI</v>
      </c>
      <c r="S24" t="str">
        <f>IFERROR(__xludf.DUMMYFUNCTION("""COMPUTED_VALUE"""),"BWHP-33")</f>
        <v>BWHP-33</v>
      </c>
      <c r="T24">
        <f>IFERROR(__xludf.DUMMYFUNCTION("""COMPUTED_VALUE"""),6.0)</f>
        <v>6</v>
      </c>
    </row>
    <row r="25">
      <c r="A25" t="str">
        <f>IFERROR(__xludf.DUMMYFUNCTION("""COMPUTED_VALUE"""),"Insufficient physical activity in adults")</f>
        <v>Insufficient physical activity in adults</v>
      </c>
      <c r="B25" t="str">
        <f>IFERROR(__xludf.DUMMYFUNCTION("""COMPUTED_VALUE"""),"")</f>
        <v/>
      </c>
      <c r="C25" t="str">
        <f>IFERROR(__xludf.DUMMYFUNCTION("""COMPUTED_VALUE"""),"")</f>
        <v/>
      </c>
      <c r="D25" t="str">
        <f>IFERROR(__xludf.DUMMYFUNCTION("""COMPUTED_VALUE"""),"")</f>
        <v/>
      </c>
      <c r="E25" t="str">
        <f>IFERROR(__xludf.DUMMYFUNCTION("""COMPUTED_VALUE"""),"")</f>
        <v/>
      </c>
      <c r="F25" t="str">
        <f>IFERROR(__xludf.DUMMYFUNCTION("""COMPUTED_VALUE"""),"")</f>
        <v/>
      </c>
      <c r="G25" t="str">
        <f>IFERROR(__xludf.DUMMYFUNCTION("""COMPUTED_VALUE"""),"")</f>
        <v/>
      </c>
      <c r="H25" t="str">
        <f>IFERROR(__xludf.DUMMYFUNCTION("""COMPUTED_VALUE"""),"")</f>
        <v/>
      </c>
      <c r="I2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 t="str">
        <f>IFERROR(__xludf.DUMMYFUNCTION("""COMPUTED_VALUE"""),"")</f>
        <v/>
      </c>
      <c r="K25" t="str">
        <f>IFERROR(__xludf.DUMMYFUNCTION("""COMPUTED_VALUE"""),"")</f>
        <v/>
      </c>
      <c r="L25" s="19" t="str">
        <f>IFERROR(__xludf.DUMMYFUNCTION("""COMPUTED_VALUE"""),"https://usafacts.org/missions/promote-welfare/12")</f>
        <v>https://usafacts.org/missions/promote-welfare/12</v>
      </c>
      <c r="M25" t="str">
        <f>IFERROR(__xludf.DUMMYFUNCTION("""COMPUTED_VALUE"""),"")</f>
        <v/>
      </c>
      <c r="N25" s="19" t="str">
        <f>IFERROR(__xludf.DUMMYFUNCTION("""COMPUTED_VALUE"""),"https://www.americashealthrankings.org/explore/annual")</f>
        <v>https://www.americashealthrankings.org/explore/annual</v>
      </c>
      <c r="O25" t="str">
        <f>IFERROR(__xludf.DUMMYFUNCTION("""COMPUTED_VALUE"""),"")</f>
        <v/>
      </c>
      <c r="P25" t="str">
        <f>IFERROR(__xludf.DUMMYFUNCTION("""COMPUTED_VALUE"""),"")</f>
        <v/>
      </c>
      <c r="Q25"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25" t="str">
        <f>IFERROR(__xludf.DUMMYFUNCTION("""COMPUTED_VALUE"""),"CHSI")</f>
        <v>CHSI</v>
      </c>
      <c r="S25" t="str">
        <f>IFERROR(__xludf.DUMMYFUNCTION("""COMPUTED_VALUE"""),"BWHP-32")</f>
        <v>BWHP-32</v>
      </c>
      <c r="T25">
        <f>IFERROR(__xludf.DUMMYFUNCTION("""COMPUTED_VALUE"""),6.0)</f>
        <v>6</v>
      </c>
    </row>
    <row r="26">
      <c r="A26" t="str">
        <f>IFERROR(__xludf.DUMMYFUNCTION("""COMPUTED_VALUE"""),"Insufficient physical activity in children/adolescents")</f>
        <v>Insufficient physical activity in children/adolescents</v>
      </c>
      <c r="B26" t="str">
        <f>IFERROR(__xludf.DUMMYFUNCTION("""COMPUTED_VALUE"""),"")</f>
        <v/>
      </c>
      <c r="C26" t="str">
        <f>IFERROR(__xludf.DUMMYFUNCTION("""COMPUTED_VALUE"""),"")</f>
        <v/>
      </c>
      <c r="D26" t="str">
        <f>IFERROR(__xludf.DUMMYFUNCTION("""COMPUTED_VALUE"""),"")</f>
        <v/>
      </c>
      <c r="E26" t="str">
        <f>IFERROR(__xludf.DUMMYFUNCTION("""COMPUTED_VALUE"""),"")</f>
        <v/>
      </c>
      <c r="F26" t="str">
        <f>IFERROR(__xludf.DUMMYFUNCTION("""COMPUTED_VALUE"""),"")</f>
        <v/>
      </c>
      <c r="G26" t="str">
        <f>IFERROR(__xludf.DUMMYFUNCTION("""COMPUTED_VALUE"""),"")</f>
        <v/>
      </c>
      <c r="H26" t="str">
        <f>IFERROR(__xludf.DUMMYFUNCTION("""COMPUTED_VALUE"""),"")</f>
        <v/>
      </c>
      <c r="I2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6" t="str">
        <f>IFERROR(__xludf.DUMMYFUNCTION("""COMPUTED_VALUE"""),"")</f>
        <v/>
      </c>
      <c r="K26" t="str">
        <f>IFERROR(__xludf.DUMMYFUNCTION("""COMPUTED_VALUE"""),"")</f>
        <v/>
      </c>
      <c r="L26" s="19" t="str">
        <f>IFERROR(__xludf.DUMMYFUNCTION("""COMPUTED_VALUE"""),"https://usafacts.org/missions/promote-welfare/12")</f>
        <v>https://usafacts.org/missions/promote-welfare/12</v>
      </c>
      <c r="M26" t="str">
        <f>IFERROR(__xludf.DUMMYFUNCTION("""COMPUTED_VALUE"""),"")</f>
        <v/>
      </c>
      <c r="N26" s="19" t="str">
        <f>IFERROR(__xludf.DUMMYFUNCTION("""COMPUTED_VALUE"""),"https://www.americashealthrankings.org/explore/annual")</f>
        <v>https://www.americashealthrankings.org/explore/annual</v>
      </c>
      <c r="O26" t="str">
        <f>IFERROR(__xludf.DUMMYFUNCTION("""COMPUTED_VALUE"""),"")</f>
        <v/>
      </c>
      <c r="P26" t="str">
        <f>IFERROR(__xludf.DUMMYFUNCTION("""COMPUTED_VALUE"""),"")</f>
        <v/>
      </c>
      <c r="Q26"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26" t="str">
        <f>IFERROR(__xludf.DUMMYFUNCTION("""COMPUTED_VALUE"""),"CHSI")</f>
        <v>CHSI</v>
      </c>
      <c r="S26" t="str">
        <f>IFERROR(__xludf.DUMMYFUNCTION("""COMPUTED_VALUE"""),"BWHP-32")</f>
        <v>BWHP-32</v>
      </c>
      <c r="T26">
        <f>IFERROR(__xludf.DUMMYFUNCTION("""COMPUTED_VALUE"""),6.0)</f>
        <v>6</v>
      </c>
    </row>
    <row r="27">
      <c r="A27" t="str">
        <f>IFERROR(__xludf.DUMMYFUNCTION("""COMPUTED_VALUE"""),"Opioid abuse/addiction per capita")</f>
        <v>Opioid abuse/addiction per capita</v>
      </c>
      <c r="B27" t="str">
        <f>IFERROR(__xludf.DUMMYFUNCTION("""COMPUTED_VALUE"""),"")</f>
        <v/>
      </c>
      <c r="C27" t="str">
        <f>IFERROR(__xludf.DUMMYFUNCTION("""COMPUTED_VALUE"""),"")</f>
        <v/>
      </c>
      <c r="D27" t="str">
        <f>IFERROR(__xludf.DUMMYFUNCTION("""COMPUTED_VALUE"""),"")</f>
        <v/>
      </c>
      <c r="E27" t="str">
        <f>IFERROR(__xludf.DUMMYFUNCTION("""COMPUTED_VALUE"""),"")</f>
        <v/>
      </c>
      <c r="F27" t="str">
        <f>IFERROR(__xludf.DUMMYFUNCTION("""COMPUTED_VALUE"""),"")</f>
        <v/>
      </c>
      <c r="G27" t="str">
        <f>IFERROR(__xludf.DUMMYFUNCTION("""COMPUTED_VALUE"""),"VA")</f>
        <v>VA</v>
      </c>
      <c r="H27" t="str">
        <f>IFERROR(__xludf.DUMMYFUNCTION("""COMPUTED_VALUE"""),"CDC concerned with adolescents")</f>
        <v>CDC concerned with adolescents</v>
      </c>
      <c r="I27" t="str">
        <f>IFERROR(__xludf.DUMMYFUNCTION("""COMPUTED_VALUE"""),"")</f>
        <v/>
      </c>
      <c r="J27" t="str">
        <f>IFERROR(__xludf.DUMMYFUNCTION("""COMPUTED_VALUE"""),"")</f>
        <v/>
      </c>
      <c r="K27" t="str">
        <f>IFERROR(__xludf.DUMMYFUNCTION("""COMPUTED_VALUE"""),"")</f>
        <v/>
      </c>
      <c r="L27" s="19" t="str">
        <f>IFERROR(__xludf.DUMMYFUNCTION("""COMPUTED_VALUE"""),"https://usafacts.org/missions/promote-welfare/12")</f>
        <v>https://usafacts.org/missions/promote-welfare/12</v>
      </c>
      <c r="M27" t="str">
        <f>IFERROR(__xludf.DUMMYFUNCTION("""COMPUTED_VALUE"""),"")</f>
        <v/>
      </c>
      <c r="N27" s="19" t="str">
        <f>IFERROR(__xludf.DUMMYFUNCTION("""COMPUTED_VALUE"""),"https://www.americashealthrankings.org/explore/annual")</f>
        <v>https://www.americashealthrankings.org/explore/annual</v>
      </c>
      <c r="O27" t="str">
        <f>IFERROR(__xludf.DUMMYFUNCTION("""COMPUTED_VALUE"""),"")</f>
        <v/>
      </c>
      <c r="P27" t="str">
        <f>IFERROR(__xludf.DUMMYFUNCTION("""COMPUTED_VALUE"""),"https://www.cms.gov/about-cms/story-page/our-16-strategic-initiatives.html, https://www.cms.gov/Medicare/Quality-Initiatives-Patient-Assessment-Instruments/QualityInitiativesGenInfo/MMF/General-info-Sub-Page.html, BWHP-11")</f>
        <v>https://www.cms.gov/about-cms/story-page/our-16-strategic-initiatives.html, https://www.cms.gov/Medicare/Quality-Initiatives-Patient-Assessment-Instruments/QualityInitiativesGenInfo/MMF/General-info-Sub-Page.html, BWHP-11</v>
      </c>
      <c r="Q27"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27" t="str">
        <f>IFERROR(__xludf.DUMMYFUNCTION("""COMPUTED_VALUE"""),"CHSI")</f>
        <v>CHSI</v>
      </c>
      <c r="S27" t="str">
        <f>IFERROR(__xludf.DUMMYFUNCTION("""COMPUTED_VALUE"""),"BWHP-11, BWHP-38")</f>
        <v>BWHP-11, BWHP-38</v>
      </c>
      <c r="T27">
        <f>IFERROR(__xludf.DUMMYFUNCTION("""COMPUTED_VALUE"""),6.0)</f>
        <v>6</v>
      </c>
    </row>
    <row r="28">
      <c r="A28" t="str">
        <f>IFERROR(__xludf.DUMMYFUNCTION("""COMPUTED_VALUE"""),"Other drug abuse/addiction per capita")</f>
        <v>Other drug abuse/addiction per capita</v>
      </c>
      <c r="B28" t="str">
        <f>IFERROR(__xludf.DUMMYFUNCTION("""COMPUTED_VALUE"""),"")</f>
        <v/>
      </c>
      <c r="C28" t="str">
        <f>IFERROR(__xludf.DUMMYFUNCTION("""COMPUTED_VALUE"""),"")</f>
        <v/>
      </c>
      <c r="D28" t="str">
        <f>IFERROR(__xludf.DUMMYFUNCTION("""COMPUTED_VALUE"""),"")</f>
        <v/>
      </c>
      <c r="E28" t="str">
        <f>IFERROR(__xludf.DUMMYFUNCTION("""COMPUTED_VALUE"""),"")</f>
        <v/>
      </c>
      <c r="F28" t="str">
        <f>IFERROR(__xludf.DUMMYFUNCTION("""COMPUTED_VALUE"""),"")</f>
        <v/>
      </c>
      <c r="G28" t="str">
        <f>IFERROR(__xludf.DUMMYFUNCTION("""COMPUTED_VALUE"""),"VA")</f>
        <v>VA</v>
      </c>
      <c r="H28" t="str">
        <f>IFERROR(__xludf.DUMMYFUNCTION("""COMPUTED_VALUE"""),"CDC + USAFacts concerned with adolescents")</f>
        <v>CDC + USAFacts concerned with adolescents</v>
      </c>
      <c r="I28" t="str">
        <f>IFERROR(__xludf.DUMMYFUNCTION("""COMPUTED_VALUE"""),"")</f>
        <v/>
      </c>
      <c r="J28" t="str">
        <f>IFERROR(__xludf.DUMMYFUNCTION("""COMPUTED_VALUE"""),"")</f>
        <v/>
      </c>
      <c r="K28" t="str">
        <f>IFERROR(__xludf.DUMMYFUNCTION("""COMPUTED_VALUE"""),"")</f>
        <v/>
      </c>
      <c r="L28" s="19" t="str">
        <f>IFERROR(__xludf.DUMMYFUNCTION("""COMPUTED_VALUE"""),"https://usafacts.org/missions/promote-welfare/12")</f>
        <v>https://usafacts.org/missions/promote-welfare/12</v>
      </c>
      <c r="M28" t="str">
        <f>IFERROR(__xludf.DUMMYFUNCTION("""COMPUTED_VALUE"""),"")</f>
        <v/>
      </c>
      <c r="N28" s="19" t="str">
        <f>IFERROR(__xludf.DUMMYFUNCTION("""COMPUTED_VALUE"""),"https://www.americashealthrankings.org/explore/annual")</f>
        <v>https://www.americashealthrankings.org/explore/annual</v>
      </c>
      <c r="O28" t="str">
        <f>IFERROR(__xludf.DUMMYFUNCTION("""COMPUTED_VALUE"""),"")</f>
        <v/>
      </c>
      <c r="P28" t="str">
        <f>IFERROR(__xludf.DUMMYFUNCTION("""COMPUTED_VALUE"""),"https://www.cms.gov/Medicare/Quality-Initiatives-Patient-Assessment-Instruments/QualityInitiativesGenInfo/MMF/General-info-Sub-Page.html, BWHP-11")</f>
        <v>https://www.cms.gov/Medicare/Quality-Initiatives-Patient-Assessment-Instruments/QualityInitiativesGenInfo/MMF/General-info-Sub-Page.html, BWHP-11</v>
      </c>
      <c r="Q28"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28" t="str">
        <f>IFERROR(__xludf.DUMMYFUNCTION("""COMPUTED_VALUE"""),"CHSI")</f>
        <v>CHSI</v>
      </c>
      <c r="S28" t="str">
        <f>IFERROR(__xludf.DUMMYFUNCTION("""COMPUTED_VALUE"""),"BWHP-11, BWHP-38")</f>
        <v>BWHP-11, BWHP-38</v>
      </c>
      <c r="T28">
        <f>IFERROR(__xludf.DUMMYFUNCTION("""COMPUTED_VALUE"""),6.0)</f>
        <v>6</v>
      </c>
    </row>
    <row r="29">
      <c r="A29" t="str">
        <f>IFERROR(__xludf.DUMMYFUNCTION("""COMPUTED_VALUE"""),"Immunization coverage rate by vaccine for each vaccine in the national schedule")</f>
        <v>Immunization coverage rate by vaccine for each vaccine in the national schedule</v>
      </c>
      <c r="B29" t="str">
        <f>IFERROR(__xludf.DUMMYFUNCTION("""COMPUTED_VALUE"""),"")</f>
        <v/>
      </c>
      <c r="C29" t="str">
        <f>IFERROR(__xludf.DUMMYFUNCTION("""COMPUTED_VALUE"""),"")</f>
        <v/>
      </c>
      <c r="D29" t="str">
        <f>IFERROR(__xludf.DUMMYFUNCTION("""COMPUTED_VALUE"""),"")</f>
        <v/>
      </c>
      <c r="E29" t="str">
        <f>IFERROR(__xludf.DUMMYFUNCTION("""COMPUTED_VALUE"""),"")</f>
        <v/>
      </c>
      <c r="F29" t="str">
        <f>IFERROR(__xludf.DUMMYFUNCTION("""COMPUTED_VALUE"""),"")</f>
        <v/>
      </c>
      <c r="G29" t="str">
        <f>IFERROR(__xludf.DUMMYFUNCTION("""COMPUTED_VALUE"""),"")</f>
        <v/>
      </c>
      <c r="H29" t="str">
        <f>IFERROR(__xludf.DUMMYFUNCTION("""COMPUTED_VALUE"""),"SDG 3.b.1")</f>
        <v>SDG 3.b.1</v>
      </c>
      <c r="I2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9" t="str">
        <f>IFERROR(__xludf.DUMMYFUNCTION("""COMPUTED_VALUE"""),"")</f>
        <v/>
      </c>
      <c r="K29" s="19" t="str">
        <f>IFERROR(__xludf.DUMMYFUNCTION("""COMPUTED_VALUE"""),"https://stats.oecd.org/index.aspx?DataSetCode=HEALTH_STAT")</f>
        <v>https://stats.oecd.org/index.aspx?DataSetCode=HEALTH_STAT</v>
      </c>
      <c r="L29" s="19" t="str">
        <f>IFERROR(__xludf.DUMMYFUNCTION("""COMPUTED_VALUE"""),"https://usafacts.org/missions/promote-welfare/12")</f>
        <v>https://usafacts.org/missions/promote-welfare/12</v>
      </c>
      <c r="M29" t="str">
        <f>IFERROR(__xludf.DUMMYFUNCTION("""COMPUTED_VALUE"""),"")</f>
        <v/>
      </c>
      <c r="N29" s="19" t="str">
        <f>IFERROR(__xludf.DUMMYFUNCTION("""COMPUTED_VALUE"""),"https://www.americashealthrankings.org/explore/annual")</f>
        <v>https://www.americashealthrankings.org/explore/annual</v>
      </c>
      <c r="O29" s="19" t="str">
        <f>IFERROR(__xludf.DUMMYFUNCTION("""COMPUTED_VALUE"""),"https://data.worldbank.org/indicator/#health")</f>
        <v>https://data.worldbank.org/indicator/#health</v>
      </c>
      <c r="P29" t="str">
        <f>IFERROR(__xludf.DUMMYFUNCTION("""COMPUTED_VALUE"""),"")</f>
        <v/>
      </c>
      <c r="Q29" s="19" t="str">
        <f>IFERROR(__xludf.DUMMYFUNCTION("""COMPUTED_VALUE"""),"https://www.cdc.gov/nchs/healthy_people/hp2020/hp2020_indicators.htm")</f>
        <v>https://www.cdc.gov/nchs/healthy_people/hp2020/hp2020_indicators.htm</v>
      </c>
      <c r="R29" t="str">
        <f>IFERROR(__xludf.DUMMYFUNCTION("""COMPUTED_VALUE"""),"")</f>
        <v/>
      </c>
      <c r="S29" t="str">
        <f>IFERROR(__xludf.DUMMYFUNCTION("""COMPUTED_VALUE"""),"")</f>
        <v/>
      </c>
      <c r="T29">
        <f>IFERROR(__xludf.DUMMYFUNCTION("""COMPUTED_VALUE"""),6.0)</f>
        <v>6</v>
      </c>
    </row>
    <row r="30">
      <c r="A30" t="str">
        <f>IFERROR(__xludf.DUMMYFUNCTION("""COMPUTED_VALUE"""),"Adults receiving colorectal cancer screening based on the most recent guidelines (C-16)")</f>
        <v>Adults receiving colorectal cancer screening based on the most recent guidelines (C-16)</v>
      </c>
      <c r="B30" t="str">
        <f>IFERROR(__xludf.DUMMYFUNCTION("""COMPUTED_VALUE"""),"")</f>
        <v/>
      </c>
      <c r="C30" t="str">
        <f>IFERROR(__xludf.DUMMYFUNCTION("""COMPUTED_VALUE"""),"")</f>
        <v/>
      </c>
      <c r="D30" t="str">
        <f>IFERROR(__xludf.DUMMYFUNCTION("""COMPUTED_VALUE"""),"")</f>
        <v/>
      </c>
      <c r="E30" t="str">
        <f>IFERROR(__xludf.DUMMYFUNCTION("""COMPUTED_VALUE"""),"")</f>
        <v/>
      </c>
      <c r="F30" t="str">
        <f>IFERROR(__xludf.DUMMYFUNCTION("""COMPUTED_VALUE"""),"")</f>
        <v/>
      </c>
      <c r="G30" t="str">
        <f>IFERROR(__xludf.DUMMYFUNCTION("""COMPUTED_VALUE"""),"")</f>
        <v/>
      </c>
      <c r="H30" t="str">
        <f>IFERROR(__xludf.DUMMYFUNCTION("""COMPUTED_VALUE"""),"Commonwealth Fund considers all age appropriate cancer screenings, also tracks deaths from colorectal cancer")</f>
        <v>Commonwealth Fund considers all age appropriate cancer screenings, also tracks deaths from colorectal cancer</v>
      </c>
      <c r="I30" t="str">
        <f>IFERROR(__xludf.DUMMYFUNCTION("""COMPUTED_VALUE"""),"")</f>
        <v/>
      </c>
      <c r="J30" s="19" t="str">
        <f>IFERROR(__xludf.DUMMYFUNCTION("""COMPUTED_VALUE"""),"https://interactives.commonwealthfund.org/2018/state-scorecard/files/Radley_State_Scorecard_2018.pdf")</f>
        <v>https://interactives.commonwealthfund.org/2018/state-scorecard/files/Radley_State_Scorecard_2018.pdf</v>
      </c>
      <c r="K30" s="19" t="str">
        <f>IFERROR(__xludf.DUMMYFUNCTION("""COMPUTED_VALUE"""),"https://stats.oecd.org/index.aspx?DataSetCode=HEALTH_STAT")</f>
        <v>https://stats.oecd.org/index.aspx?DataSetCode=HEALTH_STAT</v>
      </c>
      <c r="L30" t="str">
        <f>IFERROR(__xludf.DUMMYFUNCTION("""COMPUTED_VALUE"""),"")</f>
        <v/>
      </c>
      <c r="M30" t="str">
        <f>IFERROR(__xludf.DUMMYFUNCTION("""COMPUTED_VALUE"""),"")</f>
        <v/>
      </c>
      <c r="N30" s="19" t="str">
        <f>IFERROR(__xludf.DUMMYFUNCTION("""COMPUTED_VALUE"""),"https://www.americashealthrankings.org/explore/annual")</f>
        <v>https://www.americashealthrankings.org/explore/annual</v>
      </c>
      <c r="O30" t="str">
        <f>IFERROR(__xludf.DUMMYFUNCTION("""COMPUTED_VALUE"""),"")</f>
        <v/>
      </c>
      <c r="P30"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30" s="19" t="str">
        <f>IFERROR(__xludf.DUMMYFUNCTION("""COMPUTED_VALUE"""),"https://www.cdc.gov/nchs/healthy_people/hp2020/hp2020_indicators.htm")</f>
        <v>https://www.cdc.gov/nchs/healthy_people/hp2020/hp2020_indicators.htm</v>
      </c>
      <c r="R30" t="str">
        <f>IFERROR(__xludf.DUMMYFUNCTION("""COMPUTED_VALUE"""),"CHSI")</f>
        <v>CHSI</v>
      </c>
      <c r="S30" t="str">
        <f>IFERROR(__xludf.DUMMYFUNCTION("""COMPUTED_VALUE"""),"")</f>
        <v/>
      </c>
      <c r="T30">
        <f>IFERROR(__xludf.DUMMYFUNCTION("""COMPUTED_VALUE"""),6.0)</f>
        <v>6</v>
      </c>
    </row>
    <row r="31">
      <c r="A31" t="str">
        <f>IFERROR(__xludf.DUMMYFUNCTION("""COMPUTED_VALUE"""),"Health worker density and distribution")</f>
        <v>Health worker density and distribution</v>
      </c>
      <c r="B31" t="str">
        <f>IFERROR(__xludf.DUMMYFUNCTION("""COMPUTED_VALUE"""),"")</f>
        <v/>
      </c>
      <c r="C31" t="str">
        <f>IFERROR(__xludf.DUMMYFUNCTION("""COMPUTED_VALUE"""),"")</f>
        <v/>
      </c>
      <c r="D31" t="str">
        <f>IFERROR(__xludf.DUMMYFUNCTION("""COMPUTED_VALUE"""),"")</f>
        <v/>
      </c>
      <c r="E31" t="str">
        <f>IFERROR(__xludf.DUMMYFUNCTION("""COMPUTED_VALUE"""),"")</f>
        <v/>
      </c>
      <c r="F31" t="str">
        <f>IFERROR(__xludf.DUMMYFUNCTION("""COMPUTED_VALUE"""),"")</f>
        <v/>
      </c>
      <c r="G31" t="str">
        <f>IFERROR(__xludf.DUMMYFUNCTION("""COMPUTED_VALUE"""),"")</f>
        <v/>
      </c>
      <c r="H31" t="str">
        <f>IFERROR(__xludf.DUMMYFUNCTION("""COMPUTED_VALUE"""),"SDG 3.c.1; CHSI: # PCP and health professional shortage areas; Commonwalth Fund: number of Practicing Physicians per 1,000 Population; OECD breaks it down into many HC worker roles;")</f>
        <v>SDG 3.c.1; CHSI: # PCP and health professional shortage areas; Commonwalth Fund: number of Practicing Physicians per 1,000 Population; OECD breaks it down into many HC worker roles;</v>
      </c>
      <c r="I3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1" s="19" t="str">
        <f>IFERROR(__xludf.DUMMYFUNCTION("""COMPUTED_VALUE"""),"https://international.commonwealthfund.org/stats/")</f>
        <v>https://international.commonwealthfund.org/stats/</v>
      </c>
      <c r="K31" s="19" t="str">
        <f>IFERROR(__xludf.DUMMYFUNCTION("""COMPUTED_VALUE"""),"https://stats.oecd.org/index.aspx?DataSetCode=HEALTH_STAT")</f>
        <v>https://stats.oecd.org/index.aspx?DataSetCode=HEALTH_STAT</v>
      </c>
      <c r="L31" t="str">
        <f>IFERROR(__xludf.DUMMYFUNCTION("""COMPUTED_VALUE"""),"")</f>
        <v/>
      </c>
      <c r="M31" s="19" t="str">
        <f>IFERROR(__xludf.DUMMYFUNCTION("""COMPUTED_VALUE"""),"https://www.gapminder.org/data/")</f>
        <v>https://www.gapminder.org/data/</v>
      </c>
      <c r="N31" t="str">
        <f>IFERROR(__xludf.DUMMYFUNCTION("""COMPUTED_VALUE"""),"")</f>
        <v/>
      </c>
      <c r="O31" t="str">
        <f>IFERROR(__xludf.DUMMYFUNCTION("""COMPUTED_VALUE"""),"")</f>
        <v/>
      </c>
      <c r="P31" t="str">
        <f>IFERROR(__xludf.DUMMYFUNCTION("""COMPUTED_VALUE"""),"")</f>
        <v/>
      </c>
      <c r="Q31" t="str">
        <f>IFERROR(__xludf.DUMMYFUNCTION("""COMPUTED_VALUE"""),"")</f>
        <v/>
      </c>
      <c r="R31" t="str">
        <f>IFERROR(__xludf.DUMMYFUNCTION("""COMPUTED_VALUE"""),"CHSI")</f>
        <v>CHSI</v>
      </c>
      <c r="S31" t="str">
        <f>IFERROR(__xludf.DUMMYFUNCTION("""COMPUTED_VALUE"""),"BWHP-4, BWHP-34")</f>
        <v>BWHP-4, BWHP-34</v>
      </c>
      <c r="T31">
        <f>IFERROR(__xludf.DUMMYFUNCTION("""COMPUTED_VALUE"""),6.0)</f>
        <v>6</v>
      </c>
    </row>
    <row r="32">
      <c r="A32" t="str">
        <f>IFERROR(__xludf.DUMMYFUNCTION("""COMPUTED_VALUE"""),"Public domestic sources of current spending on health as % of current health expenditure")</f>
        <v>Public domestic sources of current spending on health as % of current health expenditure</v>
      </c>
      <c r="B32" t="str">
        <f>IFERROR(__xludf.DUMMYFUNCTION("""COMPUTED_VALUE"""),"")</f>
        <v/>
      </c>
      <c r="C32" t="str">
        <f>IFERROR(__xludf.DUMMYFUNCTION("""COMPUTED_VALUE"""),"")</f>
        <v/>
      </c>
      <c r="D32" t="str">
        <f>IFERROR(__xludf.DUMMYFUNCTION("""COMPUTED_VALUE"""),"")</f>
        <v/>
      </c>
      <c r="E32" t="str">
        <f>IFERROR(__xludf.DUMMYFUNCTION("""COMPUTED_VALUE"""),"")</f>
        <v/>
      </c>
      <c r="F32" t="str">
        <f>IFERROR(__xludf.DUMMYFUNCTION("""COMPUTED_VALUE"""),"")</f>
        <v/>
      </c>
      <c r="G32" t="str">
        <f>IFERROR(__xludf.DUMMYFUNCTION("""COMPUTED_VALUE"""),"")</f>
        <v/>
      </c>
      <c r="H32" t="str">
        <f>IFERROR(__xludf.DUMMYFUNCTION("""COMPUTED_VALUE"""),"")</f>
        <v/>
      </c>
      <c r="I3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2" t="str">
        <f>IFERROR(__xludf.DUMMYFUNCTION("""COMPUTED_VALUE"""),"")</f>
        <v/>
      </c>
      <c r="K32"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32" s="19" t="str">
        <f>IFERROR(__xludf.DUMMYFUNCTION("""COMPUTED_VALUE"""),"https://usafacts.org/missions/promote-welfare/12")</f>
        <v>https://usafacts.org/missions/promote-welfare/12</v>
      </c>
      <c r="M32" s="19" t="str">
        <f>IFERROR(__xludf.DUMMYFUNCTION("""COMPUTED_VALUE"""),"https://www.gapminder.org/data/")</f>
        <v>https://www.gapminder.org/data/</v>
      </c>
      <c r="N32" s="19" t="str">
        <f>IFERROR(__xludf.DUMMYFUNCTION("""COMPUTED_VALUE"""),"https://www.americashealthrankings.org/explore/annual")</f>
        <v>https://www.americashealthrankings.org/explore/annual</v>
      </c>
      <c r="O32" t="str">
        <f>IFERROR(__xludf.DUMMYFUNCTION("""COMPUTED_VALUE"""),"")</f>
        <v/>
      </c>
      <c r="P32" t="str">
        <f>IFERROR(__xludf.DUMMYFUNCTION("""COMPUTED_VALUE"""),"")</f>
        <v/>
      </c>
      <c r="Q32" t="str">
        <f>IFERROR(__xludf.DUMMYFUNCTION("""COMPUTED_VALUE"""),"")</f>
        <v/>
      </c>
      <c r="R32" t="str">
        <f>IFERROR(__xludf.DUMMYFUNCTION("""COMPUTED_VALUE"""),"")</f>
        <v/>
      </c>
      <c r="S32" t="str">
        <f>IFERROR(__xludf.DUMMYFUNCTION("""COMPUTED_VALUE"""),"BWHP-1, BWHP-")</f>
        <v>BWHP-1, BWHP-</v>
      </c>
      <c r="T32">
        <f>IFERROR(__xludf.DUMMYFUNCTION("""COMPUTED_VALUE"""),6.0)</f>
        <v>6</v>
      </c>
    </row>
    <row r="33">
      <c r="A33" t="str">
        <f>IFERROR(__xludf.DUMMYFUNCTION("""COMPUTED_VALUE"""),"Population")</f>
        <v>Population</v>
      </c>
      <c r="B33">
        <f>IFERROR(__xludf.DUMMYFUNCTION("""COMPUTED_VALUE"""),3.267668E8)</f>
        <v>326766800</v>
      </c>
      <c r="C33" s="19" t="str">
        <f>IFERROR(__xludf.DUMMYFUNCTION("""COMPUTED_VALUE"""),"http://www.paho.org/data/index.php/en/indicators/visualization.html")</f>
        <v>http://www.paho.org/data/index.php/en/indicators/visualization.html</v>
      </c>
      <c r="D33" t="str">
        <f>IFERROR(__xludf.DUMMYFUNCTION("""COMPUTED_VALUE"""),"")</f>
        <v/>
      </c>
      <c r="E33" t="str">
        <f>IFERROR(__xludf.DUMMYFUNCTION("""COMPUTED_VALUE"""),"")</f>
        <v/>
      </c>
      <c r="F33">
        <f>IFERROR(__xludf.DUMMYFUNCTION("""COMPUTED_VALUE"""),2018.0)</f>
        <v>2018</v>
      </c>
      <c r="G33" t="str">
        <f>IFERROR(__xludf.DUMMYFUNCTION("""COMPUTED_VALUE"""),"demographics")</f>
        <v>demographics</v>
      </c>
      <c r="H33" t="str">
        <f>IFERROR(__xludf.DUMMYFUNCTION("""COMPUTED_VALUE"""),"")</f>
        <v/>
      </c>
      <c r="I33" s="19" t="str">
        <f>IFERROR(__xludf.DUMMYFUNCTION("""COMPUTED_VALUE"""),"http://www.paho.org/data/index.php/en/indicators/visualization.html")</f>
        <v>http://www.paho.org/data/index.php/en/indicators/visualization.html</v>
      </c>
      <c r="J33" s="19" t="str">
        <f>IFERROR(__xludf.DUMMYFUNCTION("""COMPUTED_VALUE"""),"https://international.commonwealthfund.org/stats/")</f>
        <v>https://international.commonwealthfund.org/stats/</v>
      </c>
      <c r="K33" s="19" t="str">
        <f>IFERROR(__xludf.DUMMYFUNCTION("""COMPUTED_VALUE"""),"https://stats.oecd.org/index.aspx?DataSetCode=HEALTH_STAT#")</f>
        <v>https://stats.oecd.org/index.aspx?DataSetCode=HEALTH_STAT#</v>
      </c>
      <c r="L33" t="str">
        <f>IFERROR(__xludf.DUMMYFUNCTION("""COMPUTED_VALUE"""),"")</f>
        <v/>
      </c>
      <c r="M33" t="str">
        <f>IFERROR(__xludf.DUMMYFUNCTION("""COMPUTED_VALUE"""),"")</f>
        <v/>
      </c>
      <c r="N33" t="str">
        <f>IFERROR(__xludf.DUMMYFUNCTION("""COMPUTED_VALUE"""),"")</f>
        <v/>
      </c>
      <c r="O33" s="19" t="str">
        <f>IFERROR(__xludf.DUMMYFUNCTION("""COMPUTED_VALUE"""),"https://data.worldbank.org/indicator/#health")</f>
        <v>https://data.worldbank.org/indicator/#health</v>
      </c>
      <c r="P33" t="str">
        <f>IFERROR(__xludf.DUMMYFUNCTION("""COMPUTED_VALUE"""),"")</f>
        <v/>
      </c>
      <c r="Q33" t="str">
        <f>IFERROR(__xludf.DUMMYFUNCTION("""COMPUTED_VALUE"""),"")</f>
        <v/>
      </c>
      <c r="R33" t="str">
        <f>IFERROR(__xludf.DUMMYFUNCTION("""COMPUTED_VALUE"""),"CHSI")</f>
        <v>CHSI</v>
      </c>
      <c r="S33" t="str">
        <f>IFERROR(__xludf.DUMMYFUNCTION("""COMPUTED_VALUE"""),"")</f>
        <v/>
      </c>
      <c r="T33">
        <f>IFERROR(__xludf.DUMMYFUNCTION("""COMPUTED_VALUE"""),5.0)</f>
        <v>5</v>
      </c>
    </row>
    <row r="34">
      <c r="A34" t="str">
        <f>IFERROR(__xludf.DUMMYFUNCTION("""COMPUTED_VALUE"""),"Population aged ≥65 (%)")</f>
        <v>Population aged ≥65 (%)</v>
      </c>
      <c r="B34">
        <f>IFERROR(__xludf.DUMMYFUNCTION("""COMPUTED_VALUE"""),16.0)</f>
        <v>16</v>
      </c>
      <c r="C34" s="19" t="str">
        <f>IFERROR(__xludf.DUMMYFUNCTION("""COMPUTED_VALUE"""),"http://www.paho.org/data/index.php/en/indicators/visualization.html")</f>
        <v>http://www.paho.org/data/index.php/en/indicators/visualization.html</v>
      </c>
      <c r="D34" t="str">
        <f>IFERROR(__xludf.DUMMYFUNCTION("""COMPUTED_VALUE"""),"")</f>
        <v/>
      </c>
      <c r="E34" t="str">
        <f>IFERROR(__xludf.DUMMYFUNCTION("""COMPUTED_VALUE"""),"")</f>
        <v/>
      </c>
      <c r="F34">
        <f>IFERROR(__xludf.DUMMYFUNCTION("""COMPUTED_VALUE"""),2018.0)</f>
        <v>2018</v>
      </c>
      <c r="G34" t="str">
        <f>IFERROR(__xludf.DUMMYFUNCTION("""COMPUTED_VALUE"""),"demographics")</f>
        <v>demographics</v>
      </c>
      <c r="H34" t="str">
        <f>IFERROR(__xludf.DUMMYFUNCTION("""COMPUTED_VALUE"""),"")</f>
        <v/>
      </c>
      <c r="I34" s="19" t="str">
        <f>IFERROR(__xludf.DUMMYFUNCTION("""COMPUTED_VALUE"""),"http://www.paho.org/data/index.php/en/indicators/visualization.html")</f>
        <v>http://www.paho.org/data/index.php/en/indicators/visualization.html</v>
      </c>
      <c r="J34" s="19" t="str">
        <f>IFERROR(__xludf.DUMMYFUNCTION("""COMPUTED_VALUE"""),"https://international.commonwealthfund.org/stats/")</f>
        <v>https://international.commonwealthfund.org/stats/</v>
      </c>
      <c r="K34" s="19" t="str">
        <f>IFERROR(__xludf.DUMMYFUNCTION("""COMPUTED_VALUE"""),"https://stats.oecd.org/index.aspx?DataSetCode=HEALTH_STAT")</f>
        <v>https://stats.oecd.org/index.aspx?DataSetCode=HEALTH_STAT</v>
      </c>
      <c r="L34" t="str">
        <f>IFERROR(__xludf.DUMMYFUNCTION("""COMPUTED_VALUE"""),"")</f>
        <v/>
      </c>
      <c r="M34" t="str">
        <f>IFERROR(__xludf.DUMMYFUNCTION("""COMPUTED_VALUE"""),"")</f>
        <v/>
      </c>
      <c r="N34" t="str">
        <f>IFERROR(__xludf.DUMMYFUNCTION("""COMPUTED_VALUE"""),"")</f>
        <v/>
      </c>
      <c r="O34" s="19" t="str">
        <f>IFERROR(__xludf.DUMMYFUNCTION("""COMPUTED_VALUE"""),"https://data.worldbank.org/indicator/#health")</f>
        <v>https://data.worldbank.org/indicator/#health</v>
      </c>
      <c r="P34" t="str">
        <f>IFERROR(__xludf.DUMMYFUNCTION("""COMPUTED_VALUE"""),"")</f>
        <v/>
      </c>
      <c r="Q34" t="str">
        <f>IFERROR(__xludf.DUMMYFUNCTION("""COMPUTED_VALUE"""),"")</f>
        <v/>
      </c>
      <c r="R34" t="str">
        <f>IFERROR(__xludf.DUMMYFUNCTION("""COMPUTED_VALUE"""),"CHSI")</f>
        <v>CHSI</v>
      </c>
      <c r="S34" t="str">
        <f>IFERROR(__xludf.DUMMYFUNCTION("""COMPUTED_VALUE"""),"")</f>
        <v/>
      </c>
      <c r="T34">
        <f>IFERROR(__xludf.DUMMYFUNCTION("""COMPUTED_VALUE"""),5.0)</f>
        <v>5</v>
      </c>
    </row>
    <row r="35">
      <c r="A35" t="str">
        <f>IFERROR(__xludf.DUMMYFUNCTION("""COMPUTED_VALUE"""),"Life expectancy at birth")</f>
        <v>Life expectancy at birth</v>
      </c>
      <c r="B35">
        <f>IFERROR(__xludf.DUMMYFUNCTION("""COMPUTED_VALUE"""),79.7)</f>
        <v>79.7</v>
      </c>
      <c r="C35" s="19" t="str">
        <f>IFERROR(__xludf.DUMMYFUNCTION("""COMPUTED_VALUE"""),"http://www.paho.org/data/index.php/en/indicators/visualization.html")</f>
        <v>http://www.paho.org/data/index.php/en/indicators/visualization.html</v>
      </c>
      <c r="D35" t="str">
        <f>IFERROR(__xludf.DUMMYFUNCTION("""COMPUTED_VALUE"""),"")</f>
        <v/>
      </c>
      <c r="E35" t="str">
        <f>IFERROR(__xludf.DUMMYFUNCTION("""COMPUTED_VALUE"""),"")</f>
        <v/>
      </c>
      <c r="F35">
        <f>IFERROR(__xludf.DUMMYFUNCTION("""COMPUTED_VALUE"""),2018.0)</f>
        <v>2018</v>
      </c>
      <c r="G35" t="str">
        <f>IFERROR(__xludf.DUMMYFUNCTION("""COMPUTED_VALUE"""),"health status, life expectancy")</f>
        <v>health status, life expectancy</v>
      </c>
      <c r="H35" t="str">
        <f>IFERROR(__xludf.DUMMYFUNCTION("""COMPUTED_VALUE"""),"")</f>
        <v/>
      </c>
      <c r="I3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5" t="str">
        <f>IFERROR(__xludf.DUMMYFUNCTION("""COMPUTED_VALUE"""),"")</f>
        <v/>
      </c>
      <c r="K35" s="19" t="str">
        <f>IFERROR(__xludf.DUMMYFUNCTION("""COMPUTED_VALUE"""),"https://stats.oecd.org/index.aspx?DataSetCode=HEALTH_STAT")</f>
        <v>https://stats.oecd.org/index.aspx?DataSetCode=HEALTH_STAT</v>
      </c>
      <c r="L35" s="19" t="str">
        <f>IFERROR(__xludf.DUMMYFUNCTION("""COMPUTED_VALUE"""),"https://usafacts.org/missions/promote-welfare/12")</f>
        <v>https://usafacts.org/missions/promote-welfare/12</v>
      </c>
      <c r="M35" t="str">
        <f>IFERROR(__xludf.DUMMYFUNCTION("""COMPUTED_VALUE"""),"")</f>
        <v/>
      </c>
      <c r="N35" t="str">
        <f>IFERROR(__xludf.DUMMYFUNCTION("""COMPUTED_VALUE"""),"")</f>
        <v/>
      </c>
      <c r="O35" s="19" t="str">
        <f>IFERROR(__xludf.DUMMYFUNCTION("""COMPUTED_VALUE"""),"https://data.worldbank.org/indicator/#health")</f>
        <v>https://data.worldbank.org/indicator/#health</v>
      </c>
      <c r="P35" t="str">
        <f>IFERROR(__xludf.DUMMYFUNCTION("""COMPUTED_VALUE"""),"")</f>
        <v/>
      </c>
      <c r="Q35" t="str">
        <f>IFERROR(__xludf.DUMMYFUNCTION("""COMPUTED_VALUE"""),"")</f>
        <v/>
      </c>
      <c r="R35" t="str">
        <f>IFERROR(__xludf.DUMMYFUNCTION("""COMPUTED_VALUE"""),"CHSI")</f>
        <v>CHSI</v>
      </c>
      <c r="S35" t="str">
        <f>IFERROR(__xludf.DUMMYFUNCTION("""COMPUTED_VALUE"""),"")</f>
        <v/>
      </c>
      <c r="T35">
        <f>IFERROR(__xludf.DUMMYFUNCTION("""COMPUTED_VALUE"""),5.0)</f>
        <v>5</v>
      </c>
    </row>
    <row r="36">
      <c r="A36" t="str">
        <f>IFERROR(__xludf.DUMMYFUNCTION("""COMPUTED_VALUE"""),"Child mortality (age 1-18, per 100,000 lb)")</f>
        <v>Child mortality (age 1-18, per 100,000 lb)</v>
      </c>
      <c r="B36">
        <f>IFERROR(__xludf.DUMMYFUNCTION("""COMPUTED_VALUE"""),22.3)</f>
        <v>22.3</v>
      </c>
      <c r="C36" s="19" t="str">
        <f>IFERROR(__xludf.DUMMYFUNCTION("""COMPUTED_VALUE"""),"https://www.americashealthrankings.org/explore/health-of-women-and-children/measure/child_mortality/state/ALL")</f>
        <v>https://www.americashealthrankings.org/explore/health-of-women-and-children/measure/child_mortality/state/ALL</v>
      </c>
      <c r="D36" t="str">
        <f>IFERROR(__xludf.DUMMYFUNCTION("""COMPUTED_VALUE"""),"")</f>
        <v/>
      </c>
      <c r="E36" t="str">
        <f>IFERROR(__xludf.DUMMYFUNCTION("""COMPUTED_VALUE"""),"")</f>
        <v/>
      </c>
      <c r="F36">
        <f>IFERROR(__xludf.DUMMYFUNCTION("""COMPUTED_VALUE"""),2015.0)</f>
        <v>2015</v>
      </c>
      <c r="G36" t="str">
        <f>IFERROR(__xludf.DUMMYFUNCTION("""COMPUTED_VALUE"""),"health status, mortality")</f>
        <v>health status, mortality</v>
      </c>
      <c r="H36" t="str">
        <f>IFERROR(__xludf.DUMMYFUNCTION("""COMPUTED_VALUE"""),"Total: 19,562")</f>
        <v>Total: 19,562</v>
      </c>
      <c r="I3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6" t="str">
        <f>IFERROR(__xludf.DUMMYFUNCTION("""COMPUTED_VALUE"""),"")</f>
        <v/>
      </c>
      <c r="K36" s="19" t="str">
        <f>IFERROR(__xludf.DUMMYFUNCTION("""COMPUTED_VALUE"""),"https://stats.oecd.org/index.aspx?DataSetCode=HEALTH_STAT")</f>
        <v>https://stats.oecd.org/index.aspx?DataSetCode=HEALTH_STAT</v>
      </c>
      <c r="L36" s="19" t="str">
        <f>IFERROR(__xludf.DUMMYFUNCTION("""COMPUTED_VALUE"""),"https://usafacts.org/missions/promote-welfare/12")</f>
        <v>https://usafacts.org/missions/promote-welfare/12</v>
      </c>
      <c r="M36" t="str">
        <f>IFERROR(__xludf.DUMMYFUNCTION("""COMPUTED_VALUE"""),"")</f>
        <v/>
      </c>
      <c r="N36" s="19" t="str">
        <f>IFERROR(__xludf.DUMMYFUNCTION("""COMPUTED_VALUE"""),"https://www.americashealthrankings.org/explore/health-of-women-and-children/measure/child_mortality/state/ALL")</f>
        <v>https://www.americashealthrankings.org/explore/health-of-women-and-children/measure/child_mortality/state/ALL</v>
      </c>
      <c r="O36" s="19" t="str">
        <f>IFERROR(__xludf.DUMMYFUNCTION("""COMPUTED_VALUE"""),"https://data.worldbank.org/indicator/#health")</f>
        <v>https://data.worldbank.org/indicator/#health</v>
      </c>
      <c r="P36" t="str">
        <f>IFERROR(__xludf.DUMMYFUNCTION("""COMPUTED_VALUE"""),"")</f>
        <v/>
      </c>
      <c r="Q36" t="str">
        <f>IFERROR(__xludf.DUMMYFUNCTION("""COMPUTED_VALUE"""),"")</f>
        <v/>
      </c>
      <c r="R36" t="str">
        <f>IFERROR(__xludf.DUMMYFUNCTION("""COMPUTED_VALUE"""),"")</f>
        <v/>
      </c>
      <c r="S36" t="str">
        <f>IFERROR(__xludf.DUMMYFUNCTION("""COMPUTED_VALUE"""),"")</f>
        <v/>
      </c>
      <c r="T36">
        <f>IFERROR(__xludf.DUMMYFUNCTION("""COMPUTED_VALUE"""),5.0)</f>
        <v>5</v>
      </c>
    </row>
    <row r="37">
      <c r="A37" t="str">
        <f>IFERROR(__xludf.DUMMYFUNCTION("""COMPUTED_VALUE"""),"AIDS-related mortality rate")</f>
        <v>AIDS-related mortality rate</v>
      </c>
      <c r="B37" t="str">
        <f>IFERROR(__xludf.DUMMYFUNCTION("""COMPUTED_VALUE"""),"")</f>
        <v/>
      </c>
      <c r="C37" t="str">
        <f>IFERROR(__xludf.DUMMYFUNCTION("""COMPUTED_VALUE"""),"")</f>
        <v/>
      </c>
      <c r="D37" t="str">
        <f>IFERROR(__xludf.DUMMYFUNCTION("""COMPUTED_VALUE"""),"")</f>
        <v/>
      </c>
      <c r="E37" t="str">
        <f>IFERROR(__xludf.DUMMYFUNCTION("""COMPUTED_VALUE"""),"")</f>
        <v/>
      </c>
      <c r="F37" t="str">
        <f>IFERROR(__xludf.DUMMYFUNCTION("""COMPUTED_VALUE"""),"")</f>
        <v/>
      </c>
      <c r="G37" t="str">
        <f>IFERROR(__xludf.DUMMYFUNCTION("""COMPUTED_VALUE"""),"")</f>
        <v/>
      </c>
      <c r="H37" t="str">
        <f>IFERROR(__xludf.DUMMYFUNCTION("""COMPUTED_VALUE"""),"")</f>
        <v/>
      </c>
      <c r="I3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7" t="str">
        <f>IFERROR(__xludf.DUMMYFUNCTION("""COMPUTED_VALUE"""),"")</f>
        <v/>
      </c>
      <c r="K37" s="19" t="str">
        <f>IFERROR(__xludf.DUMMYFUNCTION("""COMPUTED_VALUE"""),"https://stats.oecd.org/index.aspx?DataSetCode=HEALTH_STAT")</f>
        <v>https://stats.oecd.org/index.aspx?DataSetCode=HEALTH_STAT</v>
      </c>
      <c r="L37" t="str">
        <f>IFERROR(__xludf.DUMMYFUNCTION("""COMPUTED_VALUE"""),"")</f>
        <v/>
      </c>
      <c r="M37" s="19" t="str">
        <f>IFERROR(__xludf.DUMMYFUNCTION("""COMPUTED_VALUE"""),"https://www.gapminder.org/data/")</f>
        <v>https://www.gapminder.org/data/</v>
      </c>
      <c r="N37" t="str">
        <f>IFERROR(__xludf.DUMMYFUNCTION("""COMPUTED_VALUE"""),"")</f>
        <v/>
      </c>
      <c r="O37" t="str">
        <f>IFERROR(__xludf.DUMMYFUNCTION("""COMPUTED_VALUE"""),"")</f>
        <v/>
      </c>
      <c r="P37" t="str">
        <f>IFERROR(__xludf.DUMMYFUNCTION("""COMPUTED_VALUE"""),"")</f>
        <v/>
      </c>
      <c r="Q37" s="19" t="str">
        <f>IFERROR(__xludf.DUMMYFUNCTION("""COMPUTED_VALUE"""),"https://wwwn.cdc.gov/psr/NationalSummary/NationalSummary.aspx")</f>
        <v>https://wwwn.cdc.gov/psr/NationalSummary/NationalSummary.aspx</v>
      </c>
      <c r="R37" t="str">
        <f>IFERROR(__xludf.DUMMYFUNCTION("""COMPUTED_VALUE"""),"CHSI")</f>
        <v>CHSI</v>
      </c>
      <c r="S37" t="str">
        <f>IFERROR(__xludf.DUMMYFUNCTION("""COMPUTED_VALUE"""),"")</f>
        <v/>
      </c>
      <c r="T37">
        <f>IFERROR(__xludf.DUMMYFUNCTION("""COMPUTED_VALUE"""),5.0)</f>
        <v>5</v>
      </c>
    </row>
    <row r="38">
      <c r="A38" t="str">
        <f>IFERROR(__xludf.DUMMYFUNCTION("""COMPUTED_VALUE"""),"Mortality rate due to homicide")</f>
        <v>Mortality rate due to homicide</v>
      </c>
      <c r="B38" t="str">
        <f>IFERROR(__xludf.DUMMYFUNCTION("""COMPUTED_VALUE"""),"")</f>
        <v/>
      </c>
      <c r="C38" t="str">
        <f>IFERROR(__xludf.DUMMYFUNCTION("""COMPUTED_VALUE"""),"")</f>
        <v/>
      </c>
      <c r="D38" t="str">
        <f>IFERROR(__xludf.DUMMYFUNCTION("""COMPUTED_VALUE"""),"")</f>
        <v/>
      </c>
      <c r="E38" t="str">
        <f>IFERROR(__xludf.DUMMYFUNCTION("""COMPUTED_VALUE"""),"")</f>
        <v/>
      </c>
      <c r="F38" t="str">
        <f>IFERROR(__xludf.DUMMYFUNCTION("""COMPUTED_VALUE"""),"")</f>
        <v/>
      </c>
      <c r="G38" t="str">
        <f>IFERROR(__xludf.DUMMYFUNCTION("""COMPUTED_VALUE"""),"")</f>
        <v/>
      </c>
      <c r="H38" t="str">
        <f>IFERROR(__xludf.DUMMYFUNCTION("""COMPUTED_VALUE"""),"SDG 16.1.1; UnitedHealth measures violent crime (listed here separately)")</f>
        <v>SDG 16.1.1; UnitedHealth measures violent crime (listed here separately)</v>
      </c>
      <c r="I3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8" t="str">
        <f>IFERROR(__xludf.DUMMYFUNCTION("""COMPUTED_VALUE"""),"")</f>
        <v/>
      </c>
      <c r="K38" s="19" t="str">
        <f>IFERROR(__xludf.DUMMYFUNCTION("""COMPUTED_VALUE"""),"https://stats.oecd.org/index.aspx?DataSetCode=HEALTH_STAT")</f>
        <v>https://stats.oecd.org/index.aspx?DataSetCode=HEALTH_STAT</v>
      </c>
      <c r="L38" t="str">
        <f>IFERROR(__xludf.DUMMYFUNCTION("""COMPUTED_VALUE"""),"")</f>
        <v/>
      </c>
      <c r="M38" t="str">
        <f>IFERROR(__xludf.DUMMYFUNCTION("""COMPUTED_VALUE"""),"")</f>
        <v/>
      </c>
      <c r="N38" s="19" t="str">
        <f>IFERROR(__xludf.DUMMYFUNCTION("""COMPUTED_VALUE"""),"https://www.americashealthrankings.org/explore/annual")</f>
        <v>https://www.americashealthrankings.org/explore/annual</v>
      </c>
      <c r="O38" t="str">
        <f>IFERROR(__xludf.DUMMYFUNCTION("""COMPUTED_VALUE"""),"")</f>
        <v/>
      </c>
      <c r="P38" t="str">
        <f>IFERROR(__xludf.DUMMYFUNCTION("""COMPUTED_VALUE"""),"")</f>
        <v/>
      </c>
      <c r="Q38" s="19" t="str">
        <f>IFERROR(__xludf.DUMMYFUNCTION("""COMPUTED_VALUE"""),"https://www.cdc.gov/nchs/healthy_people/hp2020/hp2020_indicators.htm")</f>
        <v>https://www.cdc.gov/nchs/healthy_people/hp2020/hp2020_indicators.htm</v>
      </c>
      <c r="R38" t="str">
        <f>IFERROR(__xludf.DUMMYFUNCTION("""COMPUTED_VALUE"""),"CHSI")</f>
        <v>CHSI</v>
      </c>
      <c r="S38" t="str">
        <f>IFERROR(__xludf.DUMMYFUNCTION("""COMPUTED_VALUE"""),"")</f>
        <v/>
      </c>
      <c r="T38">
        <f>IFERROR(__xludf.DUMMYFUNCTION("""COMPUTED_VALUE"""),5.0)</f>
        <v>5</v>
      </c>
    </row>
    <row r="39">
      <c r="A39" t="str">
        <f>IFERROR(__xludf.DUMMYFUNCTION("""COMPUTED_VALUE"""),"Mortality from heart diseases")</f>
        <v>Mortality from heart diseases</v>
      </c>
      <c r="B39" t="str">
        <f>IFERROR(__xludf.DUMMYFUNCTION("""COMPUTED_VALUE"""),"")</f>
        <v/>
      </c>
      <c r="C39" t="str">
        <f>IFERROR(__xludf.DUMMYFUNCTION("""COMPUTED_VALUE"""),"")</f>
        <v/>
      </c>
      <c r="D39" t="str">
        <f>IFERROR(__xludf.DUMMYFUNCTION("""COMPUTED_VALUE"""),"")</f>
        <v/>
      </c>
      <c r="E39" t="str">
        <f>IFERROR(__xludf.DUMMYFUNCTION("""COMPUTED_VALUE"""),"")</f>
        <v/>
      </c>
      <c r="F39" t="str">
        <f>IFERROR(__xludf.DUMMYFUNCTION("""COMPUTED_VALUE"""),"")</f>
        <v/>
      </c>
      <c r="G39" t="str">
        <f>IFERROR(__xludf.DUMMYFUNCTION("""COMPUTED_VALUE"""),"")</f>
        <v/>
      </c>
      <c r="H39" t="str">
        <f>IFERROR(__xludf.DUMMYFUNCTION("""COMPUTED_VALUE"""),"")</f>
        <v/>
      </c>
      <c r="I39" t="str">
        <f>IFERROR(__xludf.DUMMYFUNCTION("""COMPUTED_VALUE"""),"")</f>
        <v/>
      </c>
      <c r="J39" t="str">
        <f>IFERROR(__xludf.DUMMYFUNCTION("""COMPUTED_VALUE"""),"")</f>
        <v/>
      </c>
      <c r="K39" s="19" t="str">
        <f>IFERROR(__xludf.DUMMYFUNCTION("""COMPUTED_VALUE"""),"https://stats.oecd.org/index.aspx?DataSetCode=HEALTH_STAT")</f>
        <v>https://stats.oecd.org/index.aspx?DataSetCode=HEALTH_STAT</v>
      </c>
      <c r="L39" t="str">
        <f>IFERROR(__xludf.DUMMYFUNCTION("""COMPUTED_VALUE"""),"")</f>
        <v/>
      </c>
      <c r="M39" t="str">
        <f>IFERROR(__xludf.DUMMYFUNCTION("""COMPUTED_VALUE"""),"")</f>
        <v/>
      </c>
      <c r="N39" s="19" t="str">
        <f>IFERROR(__xludf.DUMMYFUNCTION("""COMPUTED_VALUE"""),"https://www.americashealthrankings.org/explore/annual")</f>
        <v>https://www.americashealthrankings.org/explore/annual</v>
      </c>
      <c r="O39" t="str">
        <f>IFERROR(__xludf.DUMMYFUNCTION("""COMPUTED_VALUE"""),"")</f>
        <v/>
      </c>
      <c r="P39"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39" s="19" t="str">
        <f>IFERROR(__xludf.DUMMYFUNCTION("""COMPUTED_VALUE"""),"https://wwwn.cdc.gov/psr/NationalSummary/NationalSummary.aspx")</f>
        <v>https://wwwn.cdc.gov/psr/NationalSummary/NationalSummary.aspx</v>
      </c>
      <c r="R39" t="str">
        <f>IFERROR(__xludf.DUMMYFUNCTION("""COMPUTED_VALUE"""),"CHSI")</f>
        <v>CHSI</v>
      </c>
      <c r="S39" t="str">
        <f>IFERROR(__xludf.DUMMYFUNCTION("""COMPUTED_VALUE"""),"")</f>
        <v/>
      </c>
      <c r="T39">
        <f>IFERROR(__xludf.DUMMYFUNCTION("""COMPUTED_VALUE"""),5.0)</f>
        <v>5</v>
      </c>
    </row>
    <row r="40">
      <c r="A40" t="str">
        <f>IFERROR(__xludf.DUMMYFUNCTION("""COMPUTED_VALUE"""),"Mortality from cancer")</f>
        <v>Mortality from cancer</v>
      </c>
      <c r="B40" t="str">
        <f>IFERROR(__xludf.DUMMYFUNCTION("""COMPUTED_VALUE"""),"")</f>
        <v/>
      </c>
      <c r="C40" t="str">
        <f>IFERROR(__xludf.DUMMYFUNCTION("""COMPUTED_VALUE"""),"")</f>
        <v/>
      </c>
      <c r="D40" t="str">
        <f>IFERROR(__xludf.DUMMYFUNCTION("""COMPUTED_VALUE"""),"")</f>
        <v/>
      </c>
      <c r="E40" t="str">
        <f>IFERROR(__xludf.DUMMYFUNCTION("""COMPUTED_VALUE"""),"")</f>
        <v/>
      </c>
      <c r="F40" t="str">
        <f>IFERROR(__xludf.DUMMYFUNCTION("""COMPUTED_VALUE"""),"")</f>
        <v/>
      </c>
      <c r="G40" t="str">
        <f>IFERROR(__xludf.DUMMYFUNCTION("""COMPUTED_VALUE"""),"")</f>
        <v/>
      </c>
      <c r="H40" t="str">
        <f>IFERROR(__xludf.DUMMYFUNCTION("""COMPUTED_VALUE"""),"Also broken out by type of cancer")</f>
        <v>Also broken out by type of cancer</v>
      </c>
      <c r="I40" t="str">
        <f>IFERROR(__xludf.DUMMYFUNCTION("""COMPUTED_VALUE"""),"")</f>
        <v/>
      </c>
      <c r="J40" t="str">
        <f>IFERROR(__xludf.DUMMYFUNCTION("""COMPUTED_VALUE"""),"")</f>
        <v/>
      </c>
      <c r="K40" s="19" t="str">
        <f>IFERROR(__xludf.DUMMYFUNCTION("""COMPUTED_VALUE"""),"https://stats.oecd.org/index.aspx?DataSetCode=HEALTH_STAT")</f>
        <v>https://stats.oecd.org/index.aspx?DataSetCode=HEALTH_STAT</v>
      </c>
      <c r="L40" t="str">
        <f>IFERROR(__xludf.DUMMYFUNCTION("""COMPUTED_VALUE"""),"")</f>
        <v/>
      </c>
      <c r="M40" s="19" t="str">
        <f>IFERROR(__xludf.DUMMYFUNCTION("""COMPUTED_VALUE"""),"https://www.gapminder.org/data/")</f>
        <v>https://www.gapminder.org/data/</v>
      </c>
      <c r="N40" s="19" t="str">
        <f>IFERROR(__xludf.DUMMYFUNCTION("""COMPUTED_VALUE"""),"https://www.americashealthrankings.org/explore/annual")</f>
        <v>https://www.americashealthrankings.org/explore/annual</v>
      </c>
      <c r="O40" t="str">
        <f>IFERROR(__xludf.DUMMYFUNCTION("""COMPUTED_VALUE"""),"")</f>
        <v/>
      </c>
      <c r="P40"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40" t="str">
        <f>IFERROR(__xludf.DUMMYFUNCTION("""COMPUTED_VALUE"""),"")</f>
        <v/>
      </c>
      <c r="R40" t="str">
        <f>IFERROR(__xludf.DUMMYFUNCTION("""COMPUTED_VALUE"""),"CHSI")</f>
        <v>CHSI</v>
      </c>
      <c r="S40" t="str">
        <f>IFERROR(__xludf.DUMMYFUNCTION("""COMPUTED_VALUE"""),"")</f>
        <v/>
      </c>
      <c r="T40">
        <f>IFERROR(__xludf.DUMMYFUNCTION("""COMPUTED_VALUE"""),5.0)</f>
        <v>5</v>
      </c>
    </row>
    <row r="41">
      <c r="A41" t="str">
        <f>IFERROR(__xludf.DUMMYFUNCTION("""COMPUTED_VALUE"""),"Mortality from health care/medical error")</f>
        <v>Mortality from health care/medical error</v>
      </c>
      <c r="B41" t="str">
        <f>IFERROR(__xludf.DUMMYFUNCTION("""COMPUTED_VALUE"""),"")</f>
        <v/>
      </c>
      <c r="C41" t="str">
        <f>IFERROR(__xludf.DUMMYFUNCTION("""COMPUTED_VALUE"""),"")</f>
        <v/>
      </c>
      <c r="D41" t="str">
        <f>IFERROR(__xludf.DUMMYFUNCTION("""COMPUTED_VALUE"""),"")</f>
        <v/>
      </c>
      <c r="E41" t="str">
        <f>IFERROR(__xludf.DUMMYFUNCTION("""COMPUTED_VALUE"""),"")</f>
        <v/>
      </c>
      <c r="F41" t="str">
        <f>IFERROR(__xludf.DUMMYFUNCTION("""COMPUTED_VALUE"""),"")</f>
        <v/>
      </c>
      <c r="G41" t="str">
        <f>IFERROR(__xludf.DUMMYFUNCTION("""COMPUTED_VALUE"""),"")</f>
        <v/>
      </c>
      <c r="H41" t="str">
        <f>IFERROR(__xludf.DUMMYFUNCTION("""COMPUTED_VALUE"""),"CMS + CDC + NIH seem to focus on overall infections, not just deaths. CMS also specifies ""preventable healthcare harm""")</f>
        <v>CMS + CDC + NIH seem to focus on overall infections, not just deaths. CMS also specifies "preventable healthcare harm"</v>
      </c>
      <c r="I41" t="str">
        <f>IFERROR(__xludf.DUMMYFUNCTION("""COMPUTED_VALUE"""),"")</f>
        <v/>
      </c>
      <c r="J41"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41" s="19" t="str">
        <f>IFERROR(__xludf.DUMMYFUNCTION("""COMPUTED_VALUE"""),"https://stats.oecd.org/index.aspx?DataSetCode=HEALTH_STAT")</f>
        <v>https://stats.oecd.org/index.aspx?DataSetCode=HEALTH_STAT</v>
      </c>
      <c r="L41" t="str">
        <f>IFERROR(__xludf.DUMMYFUNCTION("""COMPUTED_VALUE"""),"")</f>
        <v/>
      </c>
      <c r="M41" t="str">
        <f>IFERROR(__xludf.DUMMYFUNCTION("""COMPUTED_VALUE"""),"")</f>
        <v/>
      </c>
      <c r="N41" t="str">
        <f>IFERROR(__xludf.DUMMYFUNCTION("""COMPUTED_VALUE"""),"")</f>
        <v/>
      </c>
      <c r="O41" t="str">
        <f>IFERROR(__xludf.DUMMYFUNCTION("""COMPUTED_VALUE"""),"")</f>
        <v/>
      </c>
      <c r="P41"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41" s="19" t="str">
        <f>IFERROR(__xludf.DUMMYFUNCTION("""COMPUTED_VALUE"""),"https://wwwn.cdc.gov/psr/NationalSummary/NationalSummary.aspx")</f>
        <v>https://wwwn.cdc.gov/psr/NationalSummary/NationalSummary.aspx</v>
      </c>
      <c r="R41" t="str">
        <f>IFERROR(__xludf.DUMMYFUNCTION("""COMPUTED_VALUE"""),"CHSI")</f>
        <v>CHSI</v>
      </c>
      <c r="S41" t="str">
        <f>IFERROR(__xludf.DUMMYFUNCTION("""COMPUTED_VALUE"""),"")</f>
        <v/>
      </c>
      <c r="T41">
        <f>IFERROR(__xludf.DUMMYFUNCTION("""COMPUTED_VALUE"""),5.0)</f>
        <v>5</v>
      </c>
    </row>
    <row r="42">
      <c r="A42" t="str">
        <f>IFERROR(__xludf.DUMMYFUNCTION("""COMPUTED_VALUE"""),"Mortality by nutrition conditions")</f>
        <v>Mortality by nutrition conditions</v>
      </c>
      <c r="B42" t="str">
        <f>IFERROR(__xludf.DUMMYFUNCTION("""COMPUTED_VALUE"""),"")</f>
        <v/>
      </c>
      <c r="C42" t="str">
        <f>IFERROR(__xludf.DUMMYFUNCTION("""COMPUTED_VALUE"""),"")</f>
        <v/>
      </c>
      <c r="D42" t="str">
        <f>IFERROR(__xludf.DUMMYFUNCTION("""COMPUTED_VALUE"""),"")</f>
        <v/>
      </c>
      <c r="E42" t="str">
        <f>IFERROR(__xludf.DUMMYFUNCTION("""COMPUTED_VALUE"""),"")</f>
        <v/>
      </c>
      <c r="F42" t="str">
        <f>IFERROR(__xludf.DUMMYFUNCTION("""COMPUTED_VALUE"""),"")</f>
        <v/>
      </c>
      <c r="G42" t="str">
        <f>IFERROR(__xludf.DUMMYFUNCTION("""COMPUTED_VALUE"""),"")</f>
        <v/>
      </c>
      <c r="H42" t="str">
        <f>IFERROR(__xludf.DUMMYFUNCTION("""COMPUTED_VALUE"""),"")</f>
        <v/>
      </c>
      <c r="I42" t="str">
        <f>IFERROR(__xludf.DUMMYFUNCTION("""COMPUTED_VALUE"""),"")</f>
        <v/>
      </c>
      <c r="J42" t="str">
        <f>IFERROR(__xludf.DUMMYFUNCTION("""COMPUTED_VALUE"""),"")</f>
        <v/>
      </c>
      <c r="K42" s="19" t="str">
        <f>IFERROR(__xludf.DUMMYFUNCTION("""COMPUTED_VALUE"""),"https://stats.oecd.org/index.aspx?DataSetCode=HEALTH_STAT")</f>
        <v>https://stats.oecd.org/index.aspx?DataSetCode=HEALTH_STAT</v>
      </c>
      <c r="L42" t="str">
        <f>IFERROR(__xludf.DUMMYFUNCTION("""COMPUTED_VALUE"""),"")</f>
        <v/>
      </c>
      <c r="M42" t="str">
        <f>IFERROR(__xludf.DUMMYFUNCTION("""COMPUTED_VALUE"""),"")</f>
        <v/>
      </c>
      <c r="N42" t="str">
        <f>IFERROR(__xludf.DUMMYFUNCTION("""COMPUTED_VALUE"""),"")</f>
        <v/>
      </c>
      <c r="O42" s="19" t="str">
        <f>IFERROR(__xludf.DUMMYFUNCTION("""COMPUTED_VALUE"""),"https://data.worldbank.org/indicator/#health")</f>
        <v>https://data.worldbank.org/indicator/#health</v>
      </c>
      <c r="P42" t="str">
        <f>IFERROR(__xludf.DUMMYFUNCTION("""COMPUTED_VALUE"""),"")</f>
        <v/>
      </c>
      <c r="Q42" s="19" t="str">
        <f>IFERROR(__xludf.DUMMYFUNCTION("""COMPUTED_VALUE"""),"https://wwwn.cdc.gov/psr/NationalSummary/NationalSummary.aspx")</f>
        <v>https://wwwn.cdc.gov/psr/NationalSummary/NationalSummary.aspx</v>
      </c>
      <c r="R42" t="str">
        <f>IFERROR(__xludf.DUMMYFUNCTION("""COMPUTED_VALUE"""),"CHSI")</f>
        <v>CHSI</v>
      </c>
      <c r="S42" t="str">
        <f>IFERROR(__xludf.DUMMYFUNCTION("""COMPUTED_VALUE"""),"BWHP-31")</f>
        <v>BWHP-31</v>
      </c>
      <c r="T42">
        <f>IFERROR(__xludf.DUMMYFUNCTION("""COMPUTED_VALUE"""),5.0)</f>
        <v>5</v>
      </c>
    </row>
    <row r="43">
      <c r="A43" t="str">
        <f>IFERROR(__xludf.DUMMYFUNCTION("""COMPUTED_VALUE"""),"Mortality by injury")</f>
        <v>Mortality by injury</v>
      </c>
      <c r="B43" t="str">
        <f>IFERROR(__xludf.DUMMYFUNCTION("""COMPUTED_VALUE"""),"")</f>
        <v/>
      </c>
      <c r="C43" t="str">
        <f>IFERROR(__xludf.DUMMYFUNCTION("""COMPUTED_VALUE"""),"")</f>
        <v/>
      </c>
      <c r="D43" t="str">
        <f>IFERROR(__xludf.DUMMYFUNCTION("""COMPUTED_VALUE"""),"")</f>
        <v/>
      </c>
      <c r="E43" t="str">
        <f>IFERROR(__xludf.DUMMYFUNCTION("""COMPUTED_VALUE"""),"")</f>
        <v/>
      </c>
      <c r="F43" t="str">
        <f>IFERROR(__xludf.DUMMYFUNCTION("""COMPUTED_VALUE"""),"")</f>
        <v/>
      </c>
      <c r="G43" t="str">
        <f>IFERROR(__xludf.DUMMYFUNCTION("""COMPUTED_VALUE"""),"")</f>
        <v/>
      </c>
      <c r="H43" t="str">
        <f>IFERROR(__xludf.DUMMYFUNCTION("""COMPUTED_VALUE"""),"UnitedHealth measures occupational fatalities")</f>
        <v>UnitedHealth measures occupational fatalities</v>
      </c>
      <c r="I43" t="str">
        <f>IFERROR(__xludf.DUMMYFUNCTION("""COMPUTED_VALUE"""),"")</f>
        <v/>
      </c>
      <c r="J43" t="str">
        <f>IFERROR(__xludf.DUMMYFUNCTION("""COMPUTED_VALUE"""),"")</f>
        <v/>
      </c>
      <c r="K43" s="19" t="str">
        <f>IFERROR(__xludf.DUMMYFUNCTION("""COMPUTED_VALUE"""),"https://stats.oecd.org/index.aspx?DataSetCode=HEALTH_STAT")</f>
        <v>https://stats.oecd.org/index.aspx?DataSetCode=HEALTH_STAT</v>
      </c>
      <c r="L43" t="str">
        <f>IFERROR(__xludf.DUMMYFUNCTION("""COMPUTED_VALUE"""),"")</f>
        <v/>
      </c>
      <c r="M43" t="str">
        <f>IFERROR(__xludf.DUMMYFUNCTION("""COMPUTED_VALUE"""),"")</f>
        <v/>
      </c>
      <c r="N43" s="19" t="str">
        <f>IFERROR(__xludf.DUMMYFUNCTION("""COMPUTED_VALUE"""),"https://www.americashealthrankings.org/explore/annual")</f>
        <v>https://www.americashealthrankings.org/explore/annual</v>
      </c>
      <c r="O43" s="19" t="str">
        <f>IFERROR(__xludf.DUMMYFUNCTION("""COMPUTED_VALUE"""),"https://data.worldbank.org/indicator/#health")</f>
        <v>https://data.worldbank.org/indicator/#health</v>
      </c>
      <c r="P43" t="str">
        <f>IFERROR(__xludf.DUMMYFUNCTION("""COMPUTED_VALUE"""),"")</f>
        <v/>
      </c>
      <c r="Q43" s="19" t="str">
        <f>IFERROR(__xludf.DUMMYFUNCTION("""COMPUTED_VALUE"""),"https://www.cdc.gov/nchs/healthy_people/hp2020/hp2020_indicators.htm")</f>
        <v>https://www.cdc.gov/nchs/healthy_people/hp2020/hp2020_indicators.htm</v>
      </c>
      <c r="R43" t="str">
        <f>IFERROR(__xludf.DUMMYFUNCTION("""COMPUTED_VALUE"""),"CHSI")</f>
        <v>CHSI</v>
      </c>
      <c r="S43" t="str">
        <f>IFERROR(__xludf.DUMMYFUNCTION("""COMPUTED_VALUE"""),"")</f>
        <v/>
      </c>
      <c r="T43">
        <f>IFERROR(__xludf.DUMMYFUNCTION("""COMPUTED_VALUE"""),5.0)</f>
        <v>5</v>
      </c>
    </row>
    <row r="44">
      <c r="A44" t="str">
        <f>IFERROR(__xludf.DUMMYFUNCTION("""COMPUTED_VALUE"""),"Incidence of low birth weight among newborns")</f>
        <v>Incidence of low birth weight among newborns</v>
      </c>
      <c r="B44" t="str">
        <f>IFERROR(__xludf.DUMMYFUNCTION("""COMPUTED_VALUE"""),"")</f>
        <v/>
      </c>
      <c r="C44" t="str">
        <f>IFERROR(__xludf.DUMMYFUNCTION("""COMPUTED_VALUE"""),"")</f>
        <v/>
      </c>
      <c r="D44" t="str">
        <f>IFERROR(__xludf.DUMMYFUNCTION("""COMPUTED_VALUE"""),"")</f>
        <v/>
      </c>
      <c r="E44" t="str">
        <f>IFERROR(__xludf.DUMMYFUNCTION("""COMPUTED_VALUE"""),"")</f>
        <v/>
      </c>
      <c r="F44" t="str">
        <f>IFERROR(__xludf.DUMMYFUNCTION("""COMPUTED_VALUE"""),"")</f>
        <v/>
      </c>
      <c r="G44" t="str">
        <f>IFERROR(__xludf.DUMMYFUNCTION("""COMPUTED_VALUE"""),"")</f>
        <v/>
      </c>
      <c r="H44" t="str">
        <f>IFERROR(__xludf.DUMMYFUNCTION("""COMPUTED_VALUE"""),"")</f>
        <v/>
      </c>
      <c r="I4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44" t="str">
        <f>IFERROR(__xludf.DUMMYFUNCTION("""COMPUTED_VALUE"""),"")</f>
        <v/>
      </c>
      <c r="K44" s="19" t="str">
        <f>IFERROR(__xludf.DUMMYFUNCTION("""COMPUTED_VALUE"""),"https://stats.oecd.org/index.aspx?DataSetCode=HEALTH_STAT")</f>
        <v>https://stats.oecd.org/index.aspx?DataSetCode=HEALTH_STAT</v>
      </c>
      <c r="L44" t="str">
        <f>IFERROR(__xludf.DUMMYFUNCTION("""COMPUTED_VALUE"""),"")</f>
        <v/>
      </c>
      <c r="M44" s="19" t="str">
        <f>IFERROR(__xludf.DUMMYFUNCTION("""COMPUTED_VALUE"""),"https://www.gapminder.org/data/")</f>
        <v>https://www.gapminder.org/data/</v>
      </c>
      <c r="N44" s="19" t="str">
        <f>IFERROR(__xludf.DUMMYFUNCTION("""COMPUTED_VALUE"""),"https://www.americashealthrankings.org/explore/annual")</f>
        <v>https://www.americashealthrankings.org/explore/annual</v>
      </c>
      <c r="O44" t="str">
        <f>IFERROR(__xludf.DUMMYFUNCTION("""COMPUTED_VALUE"""),"")</f>
        <v/>
      </c>
      <c r="P44" t="str">
        <f>IFERROR(__xludf.DUMMYFUNCTION("""COMPUTED_VALUE"""),"")</f>
        <v/>
      </c>
      <c r="Q44" t="str">
        <f>IFERROR(__xludf.DUMMYFUNCTION("""COMPUTED_VALUE"""),"")</f>
        <v/>
      </c>
      <c r="R44" t="str">
        <f>IFERROR(__xludf.DUMMYFUNCTION("""COMPUTED_VALUE"""),"CHSI")</f>
        <v>CHSI</v>
      </c>
      <c r="S44" t="str">
        <f>IFERROR(__xludf.DUMMYFUNCTION("""COMPUTED_VALUE"""),"")</f>
        <v/>
      </c>
      <c r="T44">
        <f>IFERROR(__xludf.DUMMYFUNCTION("""COMPUTED_VALUE"""),5.0)</f>
        <v>5</v>
      </c>
    </row>
    <row r="45">
      <c r="A45" t="str">
        <f>IFERROR(__xludf.DUMMYFUNCTION("""COMPUTED_VALUE"""),"Prevalence of undernourishment")</f>
        <v>Prevalence of undernourishment</v>
      </c>
      <c r="B45" t="str">
        <f>IFERROR(__xludf.DUMMYFUNCTION("""COMPUTED_VALUE"""),"")</f>
        <v/>
      </c>
      <c r="C45" t="str">
        <f>IFERROR(__xludf.DUMMYFUNCTION("""COMPUTED_VALUE"""),"")</f>
        <v/>
      </c>
      <c r="D45" t="str">
        <f>IFERROR(__xludf.DUMMYFUNCTION("""COMPUTED_VALUE"""),"")</f>
        <v/>
      </c>
      <c r="E45" t="str">
        <f>IFERROR(__xludf.DUMMYFUNCTION("""COMPUTED_VALUE"""),"")</f>
        <v/>
      </c>
      <c r="F45" t="str">
        <f>IFERROR(__xludf.DUMMYFUNCTION("""COMPUTED_VALUE"""),"")</f>
        <v/>
      </c>
      <c r="G45" t="str">
        <f>IFERROR(__xludf.DUMMYFUNCTION("""COMPUTED_VALUE"""),"")</f>
        <v/>
      </c>
      <c r="H45" t="str">
        <f>IFERROR(__xludf.DUMMYFUNCTION("""COMPUTED_VALUE"""),"Food insecurity, food supply and consumption; Or also program spending (like SNAP);")</f>
        <v>Food insecurity, food supply and consumption; Or also program spending (like SNAP);</v>
      </c>
      <c r="I45" t="str">
        <f>IFERROR(__xludf.DUMMYFUNCTION("""COMPUTED_VALUE"""),"")</f>
        <v/>
      </c>
      <c r="J45" t="str">
        <f>IFERROR(__xludf.DUMMYFUNCTION("""COMPUTED_VALUE"""),"")</f>
        <v/>
      </c>
      <c r="K45" s="19" t="str">
        <f>IFERROR(__xludf.DUMMYFUNCTION("""COMPUTED_VALUE"""),"https://stats.oecd.org/index.aspx?DataSetCode=HEALTH_STAT")</f>
        <v>https://stats.oecd.org/index.aspx?DataSetCode=HEALTH_STAT</v>
      </c>
      <c r="L45" s="19" t="str">
        <f>IFERROR(__xludf.DUMMYFUNCTION("""COMPUTED_VALUE"""),"https://usafacts.org/missions/promote-welfare/12")</f>
        <v>https://usafacts.org/missions/promote-welfare/12</v>
      </c>
      <c r="M45" s="19" t="str">
        <f>IFERROR(__xludf.DUMMYFUNCTION("""COMPUTED_VALUE"""),"https://www.gapminder.org/data/")</f>
        <v>https://www.gapminder.org/data/</v>
      </c>
      <c r="N45" s="19" t="str">
        <f>IFERROR(__xludf.DUMMYFUNCTION("""COMPUTED_VALUE"""),"https://www.americashealthrankings.org/explore/annual")</f>
        <v>https://www.americashealthrankings.org/explore/annual</v>
      </c>
      <c r="O45" s="19" t="str">
        <f>IFERROR(__xludf.DUMMYFUNCTION("""COMPUTED_VALUE"""),"https://data.worldbank.org/indicator/#health")</f>
        <v>https://data.worldbank.org/indicator/#health</v>
      </c>
      <c r="P45" t="str">
        <f>IFERROR(__xludf.DUMMYFUNCTION("""COMPUTED_VALUE"""),"")</f>
        <v/>
      </c>
      <c r="Q45" t="str">
        <f>IFERROR(__xludf.DUMMYFUNCTION("""COMPUTED_VALUE"""),"")</f>
        <v/>
      </c>
      <c r="R45" t="str">
        <f>IFERROR(__xludf.DUMMYFUNCTION("""COMPUTED_VALUE"""),"")</f>
        <v/>
      </c>
      <c r="S45" t="str">
        <f>IFERROR(__xludf.DUMMYFUNCTION("""COMPUTED_VALUE"""),"")</f>
        <v/>
      </c>
      <c r="T45">
        <f>IFERROR(__xludf.DUMMYFUNCTION("""COMPUTED_VALUE"""),5.0)</f>
        <v>5</v>
      </c>
    </row>
    <row r="46">
      <c r="A46" t="str">
        <f>IFERROR(__xludf.DUMMYFUNCTION("""COMPUTED_VALUE"""),"Raised blood pressure among adults")</f>
        <v>Raised blood pressure among adults</v>
      </c>
      <c r="B46" t="str">
        <f>IFERROR(__xludf.DUMMYFUNCTION("""COMPUTED_VALUE"""),"")</f>
        <v/>
      </c>
      <c r="C46" t="str">
        <f>IFERROR(__xludf.DUMMYFUNCTION("""COMPUTED_VALUE"""),"")</f>
        <v/>
      </c>
      <c r="D46" t="str">
        <f>IFERROR(__xludf.DUMMYFUNCTION("""COMPUTED_VALUE"""),"")</f>
        <v/>
      </c>
      <c r="E46" t="str">
        <f>IFERROR(__xludf.DUMMYFUNCTION("""COMPUTED_VALUE"""),"")</f>
        <v/>
      </c>
      <c r="F46" t="str">
        <f>IFERROR(__xludf.DUMMYFUNCTION("""COMPUTED_VALUE"""),"")</f>
        <v/>
      </c>
      <c r="G46" t="str">
        <f>IFERROR(__xludf.DUMMYFUNCTION("""COMPUTED_VALUE"""),"")</f>
        <v/>
      </c>
      <c r="H46" t="str">
        <f>IFERROR(__xludf.DUMMYFUNCTION("""COMPUTED_VALUE"""),"")</f>
        <v/>
      </c>
      <c r="I4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46" t="str">
        <f>IFERROR(__xludf.DUMMYFUNCTION("""COMPUTED_VALUE"""),"")</f>
        <v/>
      </c>
      <c r="K46" t="str">
        <f>IFERROR(__xludf.DUMMYFUNCTION("""COMPUTED_VALUE"""),"")</f>
        <v/>
      </c>
      <c r="L46" t="str">
        <f>IFERROR(__xludf.DUMMYFUNCTION("""COMPUTED_VALUE"""),"")</f>
        <v/>
      </c>
      <c r="M46" t="str">
        <f>IFERROR(__xludf.DUMMYFUNCTION("""COMPUTED_VALUE"""),"")</f>
        <v/>
      </c>
      <c r="N46" s="19" t="str">
        <f>IFERROR(__xludf.DUMMYFUNCTION("""COMPUTED_VALUE"""),"https://www.americashealthrankings.org/explore/annual")</f>
        <v>https://www.americashealthrankings.org/explore/annual</v>
      </c>
      <c r="O46" t="str">
        <f>IFERROR(__xludf.DUMMYFUNCTION("""COMPUTED_VALUE"""),"")</f>
        <v/>
      </c>
      <c r="P46" t="str">
        <f>IFERROR(__xludf.DUMMYFUNCTION("""COMPUTED_VALUE"""),"")</f>
        <v/>
      </c>
      <c r="Q46" t="str">
        <f>IFERROR(__xludf.DUMMYFUNCTION("""COMPUTED_VALUE"""),"https://www.cdc.gov/nchs/healthy_people/hp2020/hp2020_indicators.htm, https://www.cdc.gov/nchs/healthy_people/hp2020/hp2020_indicators.htm")</f>
        <v>https://www.cdc.gov/nchs/healthy_people/hp2020/hp2020_indicators.htm, https://www.cdc.gov/nchs/healthy_people/hp2020/hp2020_indicators.htm</v>
      </c>
      <c r="R46" t="str">
        <f>IFERROR(__xludf.DUMMYFUNCTION("""COMPUTED_VALUE"""),"CHSI")</f>
        <v>CHSI</v>
      </c>
      <c r="S46" t="str">
        <f>IFERROR(__xludf.DUMMYFUNCTION("""COMPUTED_VALUE"""),"BWHP-31")</f>
        <v>BWHP-31</v>
      </c>
      <c r="T46">
        <f>IFERROR(__xludf.DUMMYFUNCTION("""COMPUTED_VALUE"""),5.0)</f>
        <v>5</v>
      </c>
    </row>
    <row r="47">
      <c r="A47" t="str">
        <f>IFERROR(__xludf.DUMMYFUNCTION("""COMPUTED_VALUE"""),"Prevalence of loneliness per capita")</f>
        <v>Prevalence of loneliness per capita</v>
      </c>
      <c r="B47" t="str">
        <f>IFERROR(__xludf.DUMMYFUNCTION("""COMPUTED_VALUE"""),"")</f>
        <v/>
      </c>
      <c r="C47" t="str">
        <f>IFERROR(__xludf.DUMMYFUNCTION("""COMPUTED_VALUE"""),"")</f>
        <v/>
      </c>
      <c r="D47" t="str">
        <f>IFERROR(__xludf.DUMMYFUNCTION("""COMPUTED_VALUE"""),"")</f>
        <v/>
      </c>
      <c r="E47" t="str">
        <f>IFERROR(__xludf.DUMMYFUNCTION("""COMPUTED_VALUE"""),"")</f>
        <v/>
      </c>
      <c r="F47" t="str">
        <f>IFERROR(__xludf.DUMMYFUNCTION("""COMPUTED_VALUE"""),"")</f>
        <v/>
      </c>
      <c r="G47" t="str">
        <f>IFERROR(__xludf.DUMMYFUNCTION("""COMPUTED_VALUE"""),"")</f>
        <v/>
      </c>
      <c r="H47" t="str">
        <f>IFERROR(__xludf.DUMMYFUNCTION("""COMPUTED_VALUE"""),"Also ""Risk of isolation""")</f>
        <v>Also "Risk of isolation"</v>
      </c>
      <c r="I47" t="str">
        <f>IFERROR(__xludf.DUMMYFUNCTION("""COMPUTED_VALUE"""),"")</f>
        <v/>
      </c>
      <c r="J47" t="str">
        <f>IFERROR(__xludf.DUMMYFUNCTION("""COMPUTED_VALUE"""),"")</f>
        <v/>
      </c>
      <c r="K47" t="str">
        <f>IFERROR(__xludf.DUMMYFUNCTION("""COMPUTED_VALUE"""),"")</f>
        <v/>
      </c>
      <c r="L47" s="19" t="str">
        <f>IFERROR(__xludf.DUMMYFUNCTION("""COMPUTED_VALUE"""),"https://usafacts.org/missions/promote-welfare/12")</f>
        <v>https://usafacts.org/missions/promote-welfare/12</v>
      </c>
      <c r="M47" t="str">
        <f>IFERROR(__xludf.DUMMYFUNCTION("""COMPUTED_VALUE"""),"")</f>
        <v/>
      </c>
      <c r="N47" s="19" t="str">
        <f>IFERROR(__xludf.DUMMYFUNCTION("""COMPUTED_VALUE"""),"https://www.americashealthrankings.org/explore/annual")</f>
        <v>https://www.americashealthrankings.org/explore/annual</v>
      </c>
      <c r="O47" t="str">
        <f>IFERROR(__xludf.DUMMYFUNCTION("""COMPUTED_VALUE"""),"")</f>
        <v/>
      </c>
      <c r="P47" t="str">
        <f>IFERROR(__xludf.DUMMYFUNCTION("""COMPUTED_VALUE"""),"BWHP-10")</f>
        <v>BWHP-10</v>
      </c>
      <c r="Q47" s="19" t="str">
        <f>IFERROR(__xludf.DUMMYFUNCTION("""COMPUTED_VALUE"""),"https://www.cdc.gov/nchs/healthy_people/hp2020/hp2020_indicators.htm")</f>
        <v>https://www.cdc.gov/nchs/healthy_people/hp2020/hp2020_indicators.htm</v>
      </c>
      <c r="R47" t="str">
        <f>IFERROR(__xludf.DUMMYFUNCTION("""COMPUTED_VALUE"""),"")</f>
        <v/>
      </c>
      <c r="S47" t="str">
        <f>IFERROR(__xludf.DUMMYFUNCTION("""COMPUTED_VALUE"""),"BWHP-10")</f>
        <v>BWHP-10</v>
      </c>
      <c r="T47">
        <f>IFERROR(__xludf.DUMMYFUNCTION("""COMPUTED_VALUE"""),5.0)</f>
        <v>5</v>
      </c>
    </row>
    <row r="48">
      <c r="A48" t="str">
        <f>IFERROR(__xludf.DUMMYFUNCTION("""COMPUTED_VALUE"""),"Percentage children with Measles immunization")</f>
        <v>Percentage children with Measles immunization</v>
      </c>
      <c r="B48" t="str">
        <f>IFERROR(__xludf.DUMMYFUNCTION("""COMPUTED_VALUE"""),"")</f>
        <v/>
      </c>
      <c r="C48" t="str">
        <f>IFERROR(__xludf.DUMMYFUNCTION("""COMPUTED_VALUE"""),"")</f>
        <v/>
      </c>
      <c r="D48" t="str">
        <f>IFERROR(__xludf.DUMMYFUNCTION("""COMPUTED_VALUE"""),"")</f>
        <v/>
      </c>
      <c r="E48" t="str">
        <f>IFERROR(__xludf.DUMMYFUNCTION("""COMPUTED_VALUE"""),"")</f>
        <v/>
      </c>
      <c r="F48" t="str">
        <f>IFERROR(__xludf.DUMMYFUNCTION("""COMPUTED_VALUE"""),"")</f>
        <v/>
      </c>
      <c r="G48" t="str">
        <f>IFERROR(__xludf.DUMMYFUNCTION("""COMPUTED_VALUE"""),"")</f>
        <v/>
      </c>
      <c r="H48" t="str">
        <f>IFERROR(__xludf.DUMMYFUNCTION("""COMPUTED_VALUE"""),"")</f>
        <v/>
      </c>
      <c r="I48" t="str">
        <f>IFERROR(__xludf.DUMMYFUNCTION("""COMPUTED_VALUE"""),"")</f>
        <v/>
      </c>
      <c r="J48" s="19" t="str">
        <f>IFERROR(__xludf.DUMMYFUNCTION("""COMPUTED_VALUE"""),"https://international.commonwealthfund.org/stats/")</f>
        <v>https://international.commonwealthfund.org/stats/</v>
      </c>
      <c r="K48" s="19" t="str">
        <f>IFERROR(__xludf.DUMMYFUNCTION("""COMPUTED_VALUE"""),"https://stats.oecd.org/index.aspx?DataSetCode=HEALTH_STAT")</f>
        <v>https://stats.oecd.org/index.aspx?DataSetCode=HEALTH_STAT</v>
      </c>
      <c r="L48" s="19" t="str">
        <f>IFERROR(__xludf.DUMMYFUNCTION("""COMPUTED_VALUE"""),"https://usafacts.org/missions/promote-welfare/12")</f>
        <v>https://usafacts.org/missions/promote-welfare/12</v>
      </c>
      <c r="M48" t="str">
        <f>IFERROR(__xludf.DUMMYFUNCTION("""COMPUTED_VALUE"""),"")</f>
        <v/>
      </c>
      <c r="N48" s="19" t="str">
        <f>IFERROR(__xludf.DUMMYFUNCTION("""COMPUTED_VALUE"""),"https://www.americashealthrankings.org/explore/annual")</f>
        <v>https://www.americashealthrankings.org/explore/annual</v>
      </c>
      <c r="O48" s="19" t="str">
        <f>IFERROR(__xludf.DUMMYFUNCTION("""COMPUTED_VALUE"""),"https://data.worldbank.org/indicator/")</f>
        <v>https://data.worldbank.org/indicator/</v>
      </c>
      <c r="P48" t="str">
        <f>IFERROR(__xludf.DUMMYFUNCTION("""COMPUTED_VALUE"""),"")</f>
        <v/>
      </c>
      <c r="Q48" t="str">
        <f>IFERROR(__xludf.DUMMYFUNCTION("""COMPUTED_VALUE"""),"")</f>
        <v/>
      </c>
      <c r="R48" t="str">
        <f>IFERROR(__xludf.DUMMYFUNCTION("""COMPUTED_VALUE"""),"")</f>
        <v/>
      </c>
      <c r="S48" t="str">
        <f>IFERROR(__xludf.DUMMYFUNCTION("""COMPUTED_VALUE"""),"")</f>
        <v/>
      </c>
      <c r="T48">
        <f>IFERROR(__xludf.DUMMYFUNCTION("""COMPUTED_VALUE"""),5.0)</f>
        <v>5</v>
      </c>
    </row>
    <row r="49">
      <c r="A49" t="str">
        <f>IFERROR(__xludf.DUMMYFUNCTION("""COMPUTED_VALUE"""),"Percentage of population age 65 and older with influenza immunization")</f>
        <v>Percentage of population age 65 and older with influenza immunization</v>
      </c>
      <c r="B49" t="str">
        <f>IFERROR(__xludf.DUMMYFUNCTION("""COMPUTED_VALUE"""),"")</f>
        <v/>
      </c>
      <c r="C49" t="str">
        <f>IFERROR(__xludf.DUMMYFUNCTION("""COMPUTED_VALUE"""),"")</f>
        <v/>
      </c>
      <c r="D49" t="str">
        <f>IFERROR(__xludf.DUMMYFUNCTION("""COMPUTED_VALUE"""),"")</f>
        <v/>
      </c>
      <c r="E49" t="str">
        <f>IFERROR(__xludf.DUMMYFUNCTION("""COMPUTED_VALUE"""),"")</f>
        <v/>
      </c>
      <c r="F49" t="str">
        <f>IFERROR(__xludf.DUMMYFUNCTION("""COMPUTED_VALUE"""),"")</f>
        <v/>
      </c>
      <c r="G49" t="str">
        <f>IFERROR(__xludf.DUMMYFUNCTION("""COMPUTED_VALUE"""),"")</f>
        <v/>
      </c>
      <c r="H49" t="str">
        <f>IFERROR(__xludf.DUMMYFUNCTION("""COMPUTED_VALUE"""),"")</f>
        <v/>
      </c>
      <c r="I49" t="str">
        <f>IFERROR(__xludf.DUMMYFUNCTION("""COMPUTED_VALUE"""),"")</f>
        <v/>
      </c>
      <c r="J49" s="19" t="str">
        <f>IFERROR(__xludf.DUMMYFUNCTION("""COMPUTED_VALUE"""),"https://international.commonwealthfund.org/stats/")</f>
        <v>https://international.commonwealthfund.org/stats/</v>
      </c>
      <c r="K49" s="19" t="str">
        <f>IFERROR(__xludf.DUMMYFUNCTION("""COMPUTED_VALUE"""),"https://stats.oecd.org/index.aspx?DataSetCode=HEALTH_STAT")</f>
        <v>https://stats.oecd.org/index.aspx?DataSetCode=HEALTH_STAT</v>
      </c>
      <c r="L49" s="19" t="str">
        <f>IFERROR(__xludf.DUMMYFUNCTION("""COMPUTED_VALUE"""),"https://usafacts.org/missions/promote-welfare/12")</f>
        <v>https://usafacts.org/missions/promote-welfare/12</v>
      </c>
      <c r="M49" t="str">
        <f>IFERROR(__xludf.DUMMYFUNCTION("""COMPUTED_VALUE"""),"")</f>
        <v/>
      </c>
      <c r="N49" s="19" t="str">
        <f>IFERROR(__xludf.DUMMYFUNCTION("""COMPUTED_VALUE"""),"https://www.americashealthrankings.org/explore/annual")</f>
        <v>https://www.americashealthrankings.org/explore/annual</v>
      </c>
      <c r="O49" s="19" t="str">
        <f>IFERROR(__xludf.DUMMYFUNCTION("""COMPUTED_VALUE"""),"https://data.worldbank.org/indicator/")</f>
        <v>https://data.worldbank.org/indicator/</v>
      </c>
      <c r="P49" t="str">
        <f>IFERROR(__xludf.DUMMYFUNCTION("""COMPUTED_VALUE"""),"")</f>
        <v/>
      </c>
      <c r="Q49" t="str">
        <f>IFERROR(__xludf.DUMMYFUNCTION("""COMPUTED_VALUE"""),"")</f>
        <v/>
      </c>
      <c r="R49" t="str">
        <f>IFERROR(__xludf.DUMMYFUNCTION("""COMPUTED_VALUE"""),"")</f>
        <v/>
      </c>
      <c r="S49" t="str">
        <f>IFERROR(__xludf.DUMMYFUNCTION("""COMPUTED_VALUE"""),"")</f>
        <v/>
      </c>
      <c r="T49">
        <f>IFERROR(__xludf.DUMMYFUNCTION("""COMPUTED_VALUE"""),5.0)</f>
        <v>5</v>
      </c>
    </row>
    <row r="50">
      <c r="A50" t="str">
        <f>IFERROR(__xludf.DUMMYFUNCTION("""COMPUTED_VALUE"""),"Cervical cancer screening")</f>
        <v>Cervical cancer screening</v>
      </c>
      <c r="B50" t="str">
        <f>IFERROR(__xludf.DUMMYFUNCTION("""COMPUTED_VALUE"""),"")</f>
        <v/>
      </c>
      <c r="C50" t="str">
        <f>IFERROR(__xludf.DUMMYFUNCTION("""COMPUTED_VALUE"""),"")</f>
        <v/>
      </c>
      <c r="D50" t="str">
        <f>IFERROR(__xludf.DUMMYFUNCTION("""COMPUTED_VALUE"""),"")</f>
        <v/>
      </c>
      <c r="E50" t="str">
        <f>IFERROR(__xludf.DUMMYFUNCTION("""COMPUTED_VALUE"""),"")</f>
        <v/>
      </c>
      <c r="F50" t="str">
        <f>IFERROR(__xludf.DUMMYFUNCTION("""COMPUTED_VALUE"""),"")</f>
        <v/>
      </c>
      <c r="G50" t="str">
        <f>IFERROR(__xludf.DUMMYFUNCTION("""COMPUTED_VALUE"""),"")</f>
        <v/>
      </c>
      <c r="H50" t="str">
        <f>IFERROR(__xludf.DUMMYFUNCTION("""COMPUTED_VALUE"""),"Commonwealth Fund considers all age appropriate cancer screenings")</f>
        <v>Commonwealth Fund considers all age appropriate cancer screenings</v>
      </c>
      <c r="I5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0" s="19" t="str">
        <f>IFERROR(__xludf.DUMMYFUNCTION("""COMPUTED_VALUE"""),"https://interactives.commonwealthfund.org/2018/state-scorecard/files/Radley_State_Scorecard_2018.pdf")</f>
        <v>https://interactives.commonwealthfund.org/2018/state-scorecard/files/Radley_State_Scorecard_2018.pdf</v>
      </c>
      <c r="K50" s="19" t="str">
        <f>IFERROR(__xludf.DUMMYFUNCTION("""COMPUTED_VALUE"""),"https://stats.oecd.org/index.aspx?DataSetCode=HEALTH_STAT")</f>
        <v>https://stats.oecd.org/index.aspx?DataSetCode=HEALTH_STAT</v>
      </c>
      <c r="L50" t="str">
        <f>IFERROR(__xludf.DUMMYFUNCTION("""COMPUTED_VALUE"""),"")</f>
        <v/>
      </c>
      <c r="M50" t="str">
        <f>IFERROR(__xludf.DUMMYFUNCTION("""COMPUTED_VALUE"""),"")</f>
        <v/>
      </c>
      <c r="N50" t="str">
        <f>IFERROR(__xludf.DUMMYFUNCTION("""COMPUTED_VALUE"""),"")</f>
        <v/>
      </c>
      <c r="O50" t="str">
        <f>IFERROR(__xludf.DUMMYFUNCTION("""COMPUTED_VALUE"""),"")</f>
        <v/>
      </c>
      <c r="P50"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50" t="str">
        <f>IFERROR(__xludf.DUMMYFUNCTION("""COMPUTED_VALUE"""),"")</f>
        <v/>
      </c>
      <c r="R50" t="str">
        <f>IFERROR(__xludf.DUMMYFUNCTION("""COMPUTED_VALUE"""),"CHSI")</f>
        <v>CHSI</v>
      </c>
      <c r="S50" t="str">
        <f>IFERROR(__xludf.DUMMYFUNCTION("""COMPUTED_VALUE"""),"")</f>
        <v/>
      </c>
      <c r="T50">
        <f>IFERROR(__xludf.DUMMYFUNCTION("""COMPUTED_VALUE"""),5.0)</f>
        <v>5</v>
      </c>
    </row>
    <row r="51">
      <c r="A51" t="str">
        <f>IFERROR(__xludf.DUMMYFUNCTION("""COMPUTED_VALUE"""),"Children, adolescents, and adults who visited the dentist in the past year")</f>
        <v>Children, adolescents, and adults who visited the dentist in the past year</v>
      </c>
      <c r="B51" t="str">
        <f>IFERROR(__xludf.DUMMYFUNCTION("""COMPUTED_VALUE"""),"")</f>
        <v/>
      </c>
      <c r="C51" t="str">
        <f>IFERROR(__xludf.DUMMYFUNCTION("""COMPUTED_VALUE"""),"")</f>
        <v/>
      </c>
      <c r="D51" t="str">
        <f>IFERROR(__xludf.DUMMYFUNCTION("""COMPUTED_VALUE"""),"")</f>
        <v/>
      </c>
      <c r="E51" t="str">
        <f>IFERROR(__xludf.DUMMYFUNCTION("""COMPUTED_VALUE"""),"")</f>
        <v/>
      </c>
      <c r="F51" t="str">
        <f>IFERROR(__xludf.DUMMYFUNCTION("""COMPUTED_VALUE"""),"")</f>
        <v/>
      </c>
      <c r="G51" t="str">
        <f>IFERROR(__xludf.DUMMYFUNCTION("""COMPUTED_VALUE"""),"")</f>
        <v/>
      </c>
      <c r="H51" t="str">
        <f>IFERROR(__xludf.DUMMYFUNCTION("""COMPUTED_VALUE"""),"Commonwealth Fund tracks those who have *not* visited")</f>
        <v>Commonwealth Fund tracks those who have *not* visited</v>
      </c>
      <c r="I51" t="str">
        <f>IFERROR(__xludf.DUMMYFUNCTION("""COMPUTED_VALUE"""),"")</f>
        <v/>
      </c>
      <c r="J51" s="19" t="str">
        <f>IFERROR(__xludf.DUMMYFUNCTION("""COMPUTED_VALUE"""),"https://interactives.commonwealthfund.org/2018/state-scorecard/files/Radley_State_Scorecard_2018.pdf")</f>
        <v>https://interactives.commonwealthfund.org/2018/state-scorecard/files/Radley_State_Scorecard_2018.pdf</v>
      </c>
      <c r="K51" s="19" t="str">
        <f>IFERROR(__xludf.DUMMYFUNCTION("""COMPUTED_VALUE"""),"https://stats.oecd.org/index.aspx?DataSetCode=HEALTH_STAT#")</f>
        <v>https://stats.oecd.org/index.aspx?DataSetCode=HEALTH_STAT#</v>
      </c>
      <c r="L51" t="str">
        <f>IFERROR(__xludf.DUMMYFUNCTION("""COMPUTED_VALUE"""),"")</f>
        <v/>
      </c>
      <c r="M51" t="str">
        <f>IFERROR(__xludf.DUMMYFUNCTION("""COMPUTED_VALUE"""),"")</f>
        <v/>
      </c>
      <c r="N51" s="19" t="str">
        <f>IFERROR(__xludf.DUMMYFUNCTION("""COMPUTED_VALUE"""),"https://www.americashealthrankings.org/explore/annual")</f>
        <v>https://www.americashealthrankings.org/explore/annual</v>
      </c>
      <c r="O51" t="str">
        <f>IFERROR(__xludf.DUMMYFUNCTION("""COMPUTED_VALUE"""),"")</f>
        <v/>
      </c>
      <c r="P51"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51" s="19" t="str">
        <f>IFERROR(__xludf.DUMMYFUNCTION("""COMPUTED_VALUE"""),"https://www.cdc.gov/nchs/healthy_people/hp2020/hp2020_indicators.htm")</f>
        <v>https://www.cdc.gov/nchs/healthy_people/hp2020/hp2020_indicators.htm</v>
      </c>
      <c r="R51" t="str">
        <f>IFERROR(__xludf.DUMMYFUNCTION("""COMPUTED_VALUE"""),"")</f>
        <v/>
      </c>
      <c r="S51" t="str">
        <f>IFERROR(__xludf.DUMMYFUNCTION("""COMPUTED_VALUE"""),"")</f>
        <v/>
      </c>
      <c r="T51">
        <f>IFERROR(__xludf.DUMMYFUNCTION("""COMPUTED_VALUE"""),5.0)</f>
        <v>5</v>
      </c>
    </row>
    <row r="52">
      <c r="A52" t="str">
        <f>IFERROR(__xludf.DUMMYFUNCTION("""COMPUTED_VALUE"""),"Hospital bed density")</f>
        <v>Hospital bed density</v>
      </c>
      <c r="B52" t="str">
        <f>IFERROR(__xludf.DUMMYFUNCTION("""COMPUTED_VALUE"""),"")</f>
        <v/>
      </c>
      <c r="C52" t="str">
        <f>IFERROR(__xludf.DUMMYFUNCTION("""COMPUTED_VALUE"""),"")</f>
        <v/>
      </c>
      <c r="D52" t="str">
        <f>IFERROR(__xludf.DUMMYFUNCTION("""COMPUTED_VALUE"""),"")</f>
        <v/>
      </c>
      <c r="E52" t="str">
        <f>IFERROR(__xludf.DUMMYFUNCTION("""COMPUTED_VALUE"""),"")</f>
        <v/>
      </c>
      <c r="F52" t="str">
        <f>IFERROR(__xludf.DUMMYFUNCTION("""COMPUTED_VALUE"""),"")</f>
        <v/>
      </c>
      <c r="G52" t="str">
        <f>IFERROR(__xludf.DUMMYFUNCTION("""COMPUTED_VALUE"""),"")</f>
        <v/>
      </c>
      <c r="H52" t="str">
        <f>IFERROR(__xludf.DUMMYFUNCTION("""COMPUTED_VALUE"""),"Commonwealth Fund: Total Curative (Acute) Care Beds, per 1,000 Population;")</f>
        <v>Commonwealth Fund: Total Curative (Acute) Care Beds, per 1,000 Population;</v>
      </c>
      <c r="I5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2" s="19" t="str">
        <f>IFERROR(__xludf.DUMMYFUNCTION("""COMPUTED_VALUE"""),"https://international.commonwealthfund.org/stats/")</f>
        <v>https://international.commonwealthfund.org/stats/</v>
      </c>
      <c r="K52" s="19" t="str">
        <f>IFERROR(__xludf.DUMMYFUNCTION("""COMPUTED_VALUE"""),"https://stats.oecd.org/index.aspx?DataSetCode=HEALTH_STAT")</f>
        <v>https://stats.oecd.org/index.aspx?DataSetCode=HEALTH_STAT</v>
      </c>
      <c r="L52" s="19" t="str">
        <f>IFERROR(__xludf.DUMMYFUNCTION("""COMPUTED_VALUE"""),"https://usafacts.org/missions/promote-welfare/12")</f>
        <v>https://usafacts.org/missions/promote-welfare/12</v>
      </c>
      <c r="M52" t="str">
        <f>IFERROR(__xludf.DUMMYFUNCTION("""COMPUTED_VALUE"""),"")</f>
        <v/>
      </c>
      <c r="N52" t="str">
        <f>IFERROR(__xludf.DUMMYFUNCTION("""COMPUTED_VALUE"""),"")</f>
        <v/>
      </c>
      <c r="O52" s="19" t="str">
        <f>IFERROR(__xludf.DUMMYFUNCTION("""COMPUTED_VALUE"""),"https://data.worldbank.org/indicator/#health")</f>
        <v>https://data.worldbank.org/indicator/#health</v>
      </c>
      <c r="P52" t="str">
        <f>IFERROR(__xludf.DUMMYFUNCTION("""COMPUTED_VALUE"""),"")</f>
        <v/>
      </c>
      <c r="Q52" t="str">
        <f>IFERROR(__xludf.DUMMYFUNCTION("""COMPUTED_VALUE"""),"")</f>
        <v/>
      </c>
      <c r="R52" t="str">
        <f>IFERROR(__xludf.DUMMYFUNCTION("""COMPUTED_VALUE"""),"")</f>
        <v/>
      </c>
      <c r="S52" t="str">
        <f>IFERROR(__xludf.DUMMYFUNCTION("""COMPUTED_VALUE"""),"")</f>
        <v/>
      </c>
      <c r="T52">
        <f>IFERROR(__xludf.DUMMYFUNCTION("""COMPUTED_VALUE"""),5.0)</f>
        <v>5</v>
      </c>
    </row>
    <row r="53">
      <c r="A53" t="str">
        <f>IFERROR(__xludf.DUMMYFUNCTION("""COMPUTED_VALUE"""),"Total current expenditure on health as % of GDP")</f>
        <v>Total current expenditure on health as % of GDP</v>
      </c>
      <c r="B53" t="str">
        <f>IFERROR(__xludf.DUMMYFUNCTION("""COMPUTED_VALUE"""),"")</f>
        <v/>
      </c>
      <c r="C53" t="str">
        <f>IFERROR(__xludf.DUMMYFUNCTION("""COMPUTED_VALUE"""),"")</f>
        <v/>
      </c>
      <c r="D53" t="str">
        <f>IFERROR(__xludf.DUMMYFUNCTION("""COMPUTED_VALUE"""),"")</f>
        <v/>
      </c>
      <c r="E53" t="str">
        <f>IFERROR(__xludf.DUMMYFUNCTION("""COMPUTED_VALUE"""),"")</f>
        <v/>
      </c>
      <c r="F53" t="str">
        <f>IFERROR(__xludf.DUMMYFUNCTION("""COMPUTED_VALUE"""),"")</f>
        <v/>
      </c>
      <c r="G53" t="str">
        <f>IFERROR(__xludf.DUMMYFUNCTION("""COMPUTED_VALUE"""),"")</f>
        <v/>
      </c>
      <c r="H53" t="str">
        <f>IFERROR(__xludf.DUMMYFUNCTION("""COMPUTED_VALUE"""),"")</f>
        <v/>
      </c>
      <c r="I5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3" s="19" t="str">
        <f>IFERROR(__xludf.DUMMYFUNCTION("""COMPUTED_VALUE"""),"https://international.commonwealthfund.org/stats/")</f>
        <v>https://international.commonwealthfund.org/stats/</v>
      </c>
      <c r="K53" s="19" t="str">
        <f>IFERROR(__xludf.DUMMYFUNCTION("""COMPUTED_VALUE"""),"https://stats.oecd.org/index.aspx?DataSetCode=HEALTH_STAT")</f>
        <v>https://stats.oecd.org/index.aspx?DataSetCode=HEALTH_STAT</v>
      </c>
      <c r="L53" s="19" t="str">
        <f>IFERROR(__xludf.DUMMYFUNCTION("""COMPUTED_VALUE"""),"https://usafacts.org/missions/promote-welfare/12")</f>
        <v>https://usafacts.org/missions/promote-welfare/12</v>
      </c>
      <c r="M53" s="19" t="str">
        <f>IFERROR(__xludf.DUMMYFUNCTION("""COMPUTED_VALUE"""),"https://www.gapminder.org/data/")</f>
        <v>https://www.gapminder.org/data/</v>
      </c>
      <c r="N53" t="str">
        <f>IFERROR(__xludf.DUMMYFUNCTION("""COMPUTED_VALUE"""),"")</f>
        <v/>
      </c>
      <c r="O53" t="str">
        <f>IFERROR(__xludf.DUMMYFUNCTION("""COMPUTED_VALUE"""),"")</f>
        <v/>
      </c>
      <c r="P53" t="str">
        <f>IFERROR(__xludf.DUMMYFUNCTION("""COMPUTED_VALUE"""),"")</f>
        <v/>
      </c>
      <c r="Q53" t="str">
        <f>IFERROR(__xludf.DUMMYFUNCTION("""COMPUTED_VALUE"""),"")</f>
        <v/>
      </c>
      <c r="R53" t="str">
        <f>IFERROR(__xludf.DUMMYFUNCTION("""COMPUTED_VALUE"""),"")</f>
        <v/>
      </c>
      <c r="S53" t="str">
        <f>IFERROR(__xludf.DUMMYFUNCTION("""COMPUTED_VALUE"""),"")</f>
        <v/>
      </c>
      <c r="T53">
        <f>IFERROR(__xludf.DUMMYFUNCTION("""COMPUTED_VALUE"""),5.0)</f>
        <v>5</v>
      </c>
    </row>
    <row r="54">
      <c r="A54" t="str">
        <f>IFERROR(__xludf.DUMMYFUNCTION("""COMPUTED_VALUE"""),"Population aged &lt;15 (%)")</f>
        <v>Population aged &lt;15 (%)</v>
      </c>
      <c r="B54">
        <f>IFERROR(__xludf.DUMMYFUNCTION("""COMPUTED_VALUE"""),18.8)</f>
        <v>18.8</v>
      </c>
      <c r="C54" s="19" t="str">
        <f>IFERROR(__xludf.DUMMYFUNCTION("""COMPUTED_VALUE"""),"http://www.paho.org/data/index.php/en/indicators/visualization.html")</f>
        <v>http://www.paho.org/data/index.php/en/indicators/visualization.html</v>
      </c>
      <c r="D54" t="str">
        <f>IFERROR(__xludf.DUMMYFUNCTION("""COMPUTED_VALUE"""),"")</f>
        <v/>
      </c>
      <c r="E54" t="str">
        <f>IFERROR(__xludf.DUMMYFUNCTION("""COMPUTED_VALUE"""),"")</f>
        <v/>
      </c>
      <c r="F54">
        <f>IFERROR(__xludf.DUMMYFUNCTION("""COMPUTED_VALUE"""),2018.0)</f>
        <v>2018</v>
      </c>
      <c r="G54" t="str">
        <f>IFERROR(__xludf.DUMMYFUNCTION("""COMPUTED_VALUE"""),"demographics")</f>
        <v>demographics</v>
      </c>
      <c r="H54" t="str">
        <f>IFERROR(__xludf.DUMMYFUNCTION("""COMPUTED_VALUE"""),"")</f>
        <v/>
      </c>
      <c r="I54" s="19" t="str">
        <f>IFERROR(__xludf.DUMMYFUNCTION("""COMPUTED_VALUE"""),"http://www.paho.org/data/index.php/en/indicators/visualization.html")</f>
        <v>http://www.paho.org/data/index.php/en/indicators/visualization.html</v>
      </c>
      <c r="J54" t="str">
        <f>IFERROR(__xludf.DUMMYFUNCTION("""COMPUTED_VALUE"""),"")</f>
        <v/>
      </c>
      <c r="K54" s="19" t="str">
        <f>IFERROR(__xludf.DUMMYFUNCTION("""COMPUTED_VALUE"""),"https://stats.oecd.org/index.aspx?DataSetCode=HEALTH_STAT")</f>
        <v>https://stats.oecd.org/index.aspx?DataSetCode=HEALTH_STAT</v>
      </c>
      <c r="L54" t="str">
        <f>IFERROR(__xludf.DUMMYFUNCTION("""COMPUTED_VALUE"""),"")</f>
        <v/>
      </c>
      <c r="M54" t="str">
        <f>IFERROR(__xludf.DUMMYFUNCTION("""COMPUTED_VALUE"""),"")</f>
        <v/>
      </c>
      <c r="N54" t="str">
        <f>IFERROR(__xludf.DUMMYFUNCTION("""COMPUTED_VALUE"""),"")</f>
        <v/>
      </c>
      <c r="O54" s="19" t="str">
        <f>IFERROR(__xludf.DUMMYFUNCTION("""COMPUTED_VALUE"""),"https://data.worldbank.org/indicator/#health")</f>
        <v>https://data.worldbank.org/indicator/#health</v>
      </c>
      <c r="P54" t="str">
        <f>IFERROR(__xludf.DUMMYFUNCTION("""COMPUTED_VALUE"""),"")</f>
        <v/>
      </c>
      <c r="Q54" t="str">
        <f>IFERROR(__xludf.DUMMYFUNCTION("""COMPUTED_VALUE"""),"")</f>
        <v/>
      </c>
      <c r="R54" t="str">
        <f>IFERROR(__xludf.DUMMYFUNCTION("""COMPUTED_VALUE"""),"CHSI")</f>
        <v>CHSI</v>
      </c>
      <c r="S54" t="str">
        <f>IFERROR(__xludf.DUMMYFUNCTION("""COMPUTED_VALUE"""),"")</f>
        <v/>
      </c>
      <c r="T54">
        <f>IFERROR(__xludf.DUMMYFUNCTION("""COMPUTED_VALUE"""),4.0)</f>
        <v>4</v>
      </c>
    </row>
    <row r="55">
      <c r="A55" t="str">
        <f>IFERROR(__xludf.DUMMYFUNCTION("""COMPUTED_VALUE"""),"Under five mortality (per 1,000 lb)")</f>
        <v>Under five mortality (per 1,000 lb)</v>
      </c>
      <c r="B55">
        <f>IFERROR(__xludf.DUMMYFUNCTION("""COMPUTED_VALUE"""),6.9)</f>
        <v>6.9</v>
      </c>
      <c r="C55" s="19" t="str">
        <f>IFERROR(__xludf.DUMMYFUNCTION("""COMPUTED_VALUE"""),"http://www.paho.org/data/index.php/en/indicators/visualization.html")</f>
        <v>http://www.paho.org/data/index.php/en/indicators/visualization.html</v>
      </c>
      <c r="D55" t="str">
        <f>IFERROR(__xludf.DUMMYFUNCTION("""COMPUTED_VALUE"""),"")</f>
        <v/>
      </c>
      <c r="E55" t="str">
        <f>IFERROR(__xludf.DUMMYFUNCTION("""COMPUTED_VALUE"""),"")</f>
        <v/>
      </c>
      <c r="F55">
        <f>IFERROR(__xludf.DUMMYFUNCTION("""COMPUTED_VALUE"""),2015.0)</f>
        <v>2015</v>
      </c>
      <c r="G55" t="str">
        <f>IFERROR(__xludf.DUMMYFUNCTION("""COMPUTED_VALUE"""),"health status, mortality")</f>
        <v>health status, mortality</v>
      </c>
      <c r="H55" t="str">
        <f>IFERROR(__xludf.DUMMYFUNCTION("""COMPUTED_VALUE"""),"Total: ?, SDG 3.2.1")</f>
        <v>Total: ?, SDG 3.2.1</v>
      </c>
      <c r="I5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5" t="str">
        <f>IFERROR(__xludf.DUMMYFUNCTION("""COMPUTED_VALUE"""),"")</f>
        <v/>
      </c>
      <c r="K55" s="19" t="str">
        <f>IFERROR(__xludf.DUMMYFUNCTION("""COMPUTED_VALUE"""),"https://stats.oecd.org/index.aspx?DataSetCode=HEALTH_STAT")</f>
        <v>https://stats.oecd.org/index.aspx?DataSetCode=HEALTH_STAT</v>
      </c>
      <c r="L55" t="str">
        <f>IFERROR(__xludf.DUMMYFUNCTION("""COMPUTED_VALUE"""),"")</f>
        <v/>
      </c>
      <c r="M55" t="str">
        <f>IFERROR(__xludf.DUMMYFUNCTION("""COMPUTED_VALUE"""),"")</f>
        <v/>
      </c>
      <c r="N55" s="19" t="str">
        <f>IFERROR(__xludf.DUMMYFUNCTION("""COMPUTED_VALUE"""),"https://www.americashealthrankings.org/explore/annual")</f>
        <v>https://www.americashealthrankings.org/explore/annual</v>
      </c>
      <c r="O55" s="19" t="str">
        <f>IFERROR(__xludf.DUMMYFUNCTION("""COMPUTED_VALUE"""),"https://data.worldbank.org/indicator/#health")</f>
        <v>https://data.worldbank.org/indicator/#health</v>
      </c>
      <c r="P55" t="str">
        <f>IFERROR(__xludf.DUMMYFUNCTION("""COMPUTED_VALUE"""),"")</f>
        <v/>
      </c>
      <c r="Q55" t="str">
        <f>IFERROR(__xludf.DUMMYFUNCTION("""COMPUTED_VALUE"""),"")</f>
        <v/>
      </c>
      <c r="R55" t="str">
        <f>IFERROR(__xludf.DUMMYFUNCTION("""COMPUTED_VALUE"""),"")</f>
        <v/>
      </c>
      <c r="S55" t="str">
        <f>IFERROR(__xludf.DUMMYFUNCTION("""COMPUTED_VALUE"""),"")</f>
        <v/>
      </c>
      <c r="T55">
        <f>IFERROR(__xludf.DUMMYFUNCTION("""COMPUTED_VALUE"""),4.0)</f>
        <v>4</v>
      </c>
    </row>
    <row r="56">
      <c r="A56" t="str">
        <f>IFERROR(__xludf.DUMMYFUNCTION("""COMPUTED_VALUE"""),"Mortality from household and ambient air pollution")</f>
        <v>Mortality from household and ambient air pollution</v>
      </c>
      <c r="B56" t="str">
        <f>IFERROR(__xludf.DUMMYFUNCTION("""COMPUTED_VALUE"""),"")</f>
        <v/>
      </c>
      <c r="C56" t="str">
        <f>IFERROR(__xludf.DUMMYFUNCTION("""COMPUTED_VALUE"""),"")</f>
        <v/>
      </c>
      <c r="D56" t="str">
        <f>IFERROR(__xludf.DUMMYFUNCTION("""COMPUTED_VALUE"""),"")</f>
        <v/>
      </c>
      <c r="E56" t="str">
        <f>IFERROR(__xludf.DUMMYFUNCTION("""COMPUTED_VALUE"""),"")</f>
        <v/>
      </c>
      <c r="F56" t="str">
        <f>IFERROR(__xludf.DUMMYFUNCTION("""COMPUTED_VALUE"""),"")</f>
        <v/>
      </c>
      <c r="G56" t="str">
        <f>IFERROR(__xludf.DUMMYFUNCTION("""COMPUTED_VALUE"""),"")</f>
        <v/>
      </c>
      <c r="H56" t="str">
        <f>IFERROR(__xludf.DUMMYFUNCTION("""COMPUTED_VALUE"""),"SDG 3.9.1")</f>
        <v>SDG 3.9.1</v>
      </c>
      <c r="I5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6" t="str">
        <f>IFERROR(__xludf.DUMMYFUNCTION("""COMPUTED_VALUE"""),"")</f>
        <v/>
      </c>
      <c r="K56" s="19" t="str">
        <f>IFERROR(__xludf.DUMMYFUNCTION("""COMPUTED_VALUE"""),"https://stats.oecd.org/index.aspx?DataSetCode=HEALTH_STAT")</f>
        <v>https://stats.oecd.org/index.aspx?DataSetCode=HEALTH_STAT</v>
      </c>
      <c r="L56" t="str">
        <f>IFERROR(__xludf.DUMMYFUNCTION("""COMPUTED_VALUE"""),"")</f>
        <v/>
      </c>
      <c r="M56" t="str">
        <f>IFERROR(__xludf.DUMMYFUNCTION("""COMPUTED_VALUE"""),"")</f>
        <v/>
      </c>
      <c r="N56" t="str">
        <f>IFERROR(__xludf.DUMMYFUNCTION("""COMPUTED_VALUE"""),"")</f>
        <v/>
      </c>
      <c r="O56" t="str">
        <f>IFERROR(__xludf.DUMMYFUNCTION("""COMPUTED_VALUE"""),"")</f>
        <v/>
      </c>
      <c r="P56" t="str">
        <f>IFERROR(__xludf.DUMMYFUNCTION("""COMPUTED_VALUE"""),"")</f>
        <v/>
      </c>
      <c r="Q56" s="19" t="str">
        <f>IFERROR(__xludf.DUMMYFUNCTION("""COMPUTED_VALUE"""),"https://www.cdc.gov/nchs/healthy_people/hp2020/hp2020_indicators.htm")</f>
        <v>https://www.cdc.gov/nchs/healthy_people/hp2020/hp2020_indicators.htm</v>
      </c>
      <c r="R56" t="str">
        <f>IFERROR(__xludf.DUMMYFUNCTION("""COMPUTED_VALUE"""),"")</f>
        <v/>
      </c>
      <c r="S56" t="str">
        <f>IFERROR(__xludf.DUMMYFUNCTION("""COMPUTED_VALUE"""),"BWHP-33")</f>
        <v>BWHP-33</v>
      </c>
      <c r="T56">
        <f>IFERROR(__xludf.DUMMYFUNCTION("""COMPUTED_VALUE"""),4.0)</f>
        <v>4</v>
      </c>
    </row>
    <row r="57">
      <c r="A57" t="str">
        <f>IFERROR(__xludf.DUMMYFUNCTION("""COMPUTED_VALUE"""),"Mortality from stroke")</f>
        <v>Mortality from stroke</v>
      </c>
      <c r="B57" t="str">
        <f>IFERROR(__xludf.DUMMYFUNCTION("""COMPUTED_VALUE"""),"")</f>
        <v/>
      </c>
      <c r="C57" t="str">
        <f>IFERROR(__xludf.DUMMYFUNCTION("""COMPUTED_VALUE"""),"")</f>
        <v/>
      </c>
      <c r="D57" t="str">
        <f>IFERROR(__xludf.DUMMYFUNCTION("""COMPUTED_VALUE"""),"")</f>
        <v/>
      </c>
      <c r="E57" t="str">
        <f>IFERROR(__xludf.DUMMYFUNCTION("""COMPUTED_VALUE"""),"")</f>
        <v/>
      </c>
      <c r="F57" t="str">
        <f>IFERROR(__xludf.DUMMYFUNCTION("""COMPUTED_VALUE"""),"")</f>
        <v/>
      </c>
      <c r="G57" t="str">
        <f>IFERROR(__xludf.DUMMYFUNCTION("""COMPUTED_VALUE"""),"")</f>
        <v/>
      </c>
      <c r="H57" t="str">
        <f>IFERROR(__xludf.DUMMYFUNCTION("""COMPUTED_VALUE"""),"")</f>
        <v/>
      </c>
      <c r="I57" t="str">
        <f>IFERROR(__xludf.DUMMYFUNCTION("""COMPUTED_VALUE"""),"")</f>
        <v/>
      </c>
      <c r="J57" t="str">
        <f>IFERROR(__xludf.DUMMYFUNCTION("""COMPUTED_VALUE"""),"")</f>
        <v/>
      </c>
      <c r="K57" s="19" t="str">
        <f>IFERROR(__xludf.DUMMYFUNCTION("""COMPUTED_VALUE"""),"https://stats.oecd.org/index.aspx?DataSetCode=HEALTH_STAT")</f>
        <v>https://stats.oecd.org/index.aspx?DataSetCode=HEALTH_STAT</v>
      </c>
      <c r="L57" t="str">
        <f>IFERROR(__xludf.DUMMYFUNCTION("""COMPUTED_VALUE"""),"")</f>
        <v/>
      </c>
      <c r="M57" t="str">
        <f>IFERROR(__xludf.DUMMYFUNCTION("""COMPUTED_VALUE"""),"")</f>
        <v/>
      </c>
      <c r="N57" s="19" t="str">
        <f>IFERROR(__xludf.DUMMYFUNCTION("""COMPUTED_VALUE"""),"https://www.americashealthrankings.org/explore/annual")</f>
        <v>https://www.americashealthrankings.org/explore/annual</v>
      </c>
      <c r="O57" t="str">
        <f>IFERROR(__xludf.DUMMYFUNCTION("""COMPUTED_VALUE"""),"")</f>
        <v/>
      </c>
      <c r="P57"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57" s="19" t="str">
        <f>IFERROR(__xludf.DUMMYFUNCTION("""COMPUTED_VALUE"""),"https://wwwn.cdc.gov/psr/NationalSummary/NationalSummary.aspx")</f>
        <v>https://wwwn.cdc.gov/psr/NationalSummary/NationalSummary.aspx</v>
      </c>
      <c r="R57" t="str">
        <f>IFERROR(__xludf.DUMMYFUNCTION("""COMPUTED_VALUE"""),"")</f>
        <v/>
      </c>
      <c r="S57" t="str">
        <f>IFERROR(__xludf.DUMMYFUNCTION("""COMPUTED_VALUE"""),"")</f>
        <v/>
      </c>
      <c r="T57">
        <f>IFERROR(__xludf.DUMMYFUNCTION("""COMPUTED_VALUE"""),4.0)</f>
        <v>4</v>
      </c>
    </row>
    <row r="58">
      <c r="A58" t="str">
        <f>IFERROR(__xludf.DUMMYFUNCTION("""COMPUTED_VALUE"""),"Mortality from diabetes")</f>
        <v>Mortality from diabetes</v>
      </c>
      <c r="B58" t="str">
        <f>IFERROR(__xludf.DUMMYFUNCTION("""COMPUTED_VALUE"""),"")</f>
        <v/>
      </c>
      <c r="C58" t="str">
        <f>IFERROR(__xludf.DUMMYFUNCTION("""COMPUTED_VALUE"""),"")</f>
        <v/>
      </c>
      <c r="D58" t="str">
        <f>IFERROR(__xludf.DUMMYFUNCTION("""COMPUTED_VALUE"""),"")</f>
        <v/>
      </c>
      <c r="E58" t="str">
        <f>IFERROR(__xludf.DUMMYFUNCTION("""COMPUTED_VALUE"""),"")</f>
        <v/>
      </c>
      <c r="F58" t="str">
        <f>IFERROR(__xludf.DUMMYFUNCTION("""COMPUTED_VALUE"""),"")</f>
        <v/>
      </c>
      <c r="G58" t="str">
        <f>IFERROR(__xludf.DUMMYFUNCTION("""COMPUTED_VALUE"""),"")</f>
        <v/>
      </c>
      <c r="H58" t="str">
        <f>IFERROR(__xludf.DUMMYFUNCTION("""COMPUTED_VALUE"""),"")</f>
        <v/>
      </c>
      <c r="I58" t="str">
        <f>IFERROR(__xludf.DUMMYFUNCTION("""COMPUTED_VALUE"""),"")</f>
        <v/>
      </c>
      <c r="J58" t="str">
        <f>IFERROR(__xludf.DUMMYFUNCTION("""COMPUTED_VALUE"""),"")</f>
        <v/>
      </c>
      <c r="K58" s="19" t="str">
        <f>IFERROR(__xludf.DUMMYFUNCTION("""COMPUTED_VALUE"""),"https://stats.oecd.org/index.aspx?DataSetCode=HEALTH_STAT")</f>
        <v>https://stats.oecd.org/index.aspx?DataSetCode=HEALTH_STAT</v>
      </c>
      <c r="L58" t="str">
        <f>IFERROR(__xludf.DUMMYFUNCTION("""COMPUTED_VALUE"""),"")</f>
        <v/>
      </c>
      <c r="M58" t="str">
        <f>IFERROR(__xludf.DUMMYFUNCTION("""COMPUTED_VALUE"""),"")</f>
        <v/>
      </c>
      <c r="N58" s="19" t="str">
        <f>IFERROR(__xludf.DUMMYFUNCTION("""COMPUTED_VALUE"""),"https://www.americashealthrankings.org/explore/annual")</f>
        <v>https://www.americashealthrankings.org/explore/annual</v>
      </c>
      <c r="O58" t="str">
        <f>IFERROR(__xludf.DUMMYFUNCTION("""COMPUTED_VALUE"""),"")</f>
        <v/>
      </c>
      <c r="P58"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58" s="19" t="str">
        <f>IFERROR(__xludf.DUMMYFUNCTION("""COMPUTED_VALUE"""),"https://www.cdc.gov/nchs/healthy_people/hp2020/hp2020_indicators.htm")</f>
        <v>https://www.cdc.gov/nchs/healthy_people/hp2020/hp2020_indicators.htm</v>
      </c>
      <c r="R58" t="str">
        <f>IFERROR(__xludf.DUMMYFUNCTION("""COMPUTED_VALUE"""),"")</f>
        <v/>
      </c>
      <c r="S58" t="str">
        <f>IFERROR(__xludf.DUMMYFUNCTION("""COMPUTED_VALUE"""),"")</f>
        <v/>
      </c>
      <c r="T58">
        <f>IFERROR(__xludf.DUMMYFUNCTION("""COMPUTED_VALUE"""),4.0)</f>
        <v>4</v>
      </c>
    </row>
    <row r="59">
      <c r="A59" t="str">
        <f>IFERROR(__xludf.DUMMYFUNCTION("""COMPUTED_VALUE"""),"Adolescent birth rate")</f>
        <v>Adolescent birth rate</v>
      </c>
      <c r="B59" t="str">
        <f>IFERROR(__xludf.DUMMYFUNCTION("""COMPUTED_VALUE"""),"")</f>
        <v/>
      </c>
      <c r="C59" t="str">
        <f>IFERROR(__xludf.DUMMYFUNCTION("""COMPUTED_VALUE"""),"")</f>
        <v/>
      </c>
      <c r="D59" t="str">
        <f>IFERROR(__xludf.DUMMYFUNCTION("""COMPUTED_VALUE"""),"")</f>
        <v/>
      </c>
      <c r="E59" t="str">
        <f>IFERROR(__xludf.DUMMYFUNCTION("""COMPUTED_VALUE"""),"")</f>
        <v/>
      </c>
      <c r="F59" t="str">
        <f>IFERROR(__xludf.DUMMYFUNCTION("""COMPUTED_VALUE"""),"")</f>
        <v/>
      </c>
      <c r="G59" t="str">
        <f>IFERROR(__xludf.DUMMYFUNCTION("""COMPUTED_VALUE"""),"")</f>
        <v/>
      </c>
      <c r="H59" t="str">
        <f>IFERROR(__xludf.DUMMYFUNCTION("""COMPUTED_VALUE"""),"SDG 3.7.2, World bank also covers ""Teenage mothers"", CDC: Teen pregnancy")</f>
        <v>SDG 3.7.2, World bank also covers "Teenage mothers", CDC: Teen pregnancy</v>
      </c>
      <c r="I5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59" t="str">
        <f>IFERROR(__xludf.DUMMYFUNCTION("""COMPUTED_VALUE"""),"")</f>
        <v/>
      </c>
      <c r="K59" t="str">
        <f>IFERROR(__xludf.DUMMYFUNCTION("""COMPUTED_VALUE"""),"")</f>
        <v/>
      </c>
      <c r="L59" s="19" t="str">
        <f>IFERROR(__xludf.DUMMYFUNCTION("""COMPUTED_VALUE"""),"https://usafacts.org/missions/promote-welfare/12")</f>
        <v>https://usafacts.org/missions/promote-welfare/12</v>
      </c>
      <c r="M59" t="str">
        <f>IFERROR(__xludf.DUMMYFUNCTION("""COMPUTED_VALUE"""),"")</f>
        <v/>
      </c>
      <c r="N59" t="str">
        <f>IFERROR(__xludf.DUMMYFUNCTION("""COMPUTED_VALUE"""),"")</f>
        <v/>
      </c>
      <c r="O59" s="19" t="str">
        <f>IFERROR(__xludf.DUMMYFUNCTION("""COMPUTED_VALUE"""),"https://data.worldbank.org/indicator/#health")</f>
        <v>https://data.worldbank.org/indicator/#health</v>
      </c>
      <c r="P59" t="str">
        <f>IFERROR(__xludf.DUMMYFUNCTION("""COMPUTED_VALUE"""),"")</f>
        <v/>
      </c>
      <c r="Q59" s="19" t="str">
        <f>IFERROR(__xludf.DUMMYFUNCTION("""COMPUTED_VALUE"""),"https://wwwn.cdc.gov/psr/NationalSummary/NationalSummary.aspx")</f>
        <v>https://wwwn.cdc.gov/psr/NationalSummary/NationalSummary.aspx</v>
      </c>
      <c r="R59" t="str">
        <f>IFERROR(__xludf.DUMMYFUNCTION("""COMPUTED_VALUE"""),"")</f>
        <v/>
      </c>
      <c r="S59" t="str">
        <f>IFERROR(__xludf.DUMMYFUNCTION("""COMPUTED_VALUE"""),"")</f>
        <v/>
      </c>
      <c r="T59">
        <f>IFERROR(__xludf.DUMMYFUNCTION("""COMPUTED_VALUE"""),4.0)</f>
        <v>4</v>
      </c>
    </row>
    <row r="60">
      <c r="A60" t="str">
        <f>IFERROR(__xludf.DUMMYFUNCTION("""COMPUTED_VALUE"""),"Total fertility rate")</f>
        <v>Total fertility rate</v>
      </c>
      <c r="B60" t="str">
        <f>IFERROR(__xludf.DUMMYFUNCTION("""COMPUTED_VALUE"""),"")</f>
        <v/>
      </c>
      <c r="C60" t="str">
        <f>IFERROR(__xludf.DUMMYFUNCTION("""COMPUTED_VALUE"""),"")</f>
        <v/>
      </c>
      <c r="D60" t="str">
        <f>IFERROR(__xludf.DUMMYFUNCTION("""COMPUTED_VALUE"""),"")</f>
        <v/>
      </c>
      <c r="E60" t="str">
        <f>IFERROR(__xludf.DUMMYFUNCTION("""COMPUTED_VALUE"""),"")</f>
        <v/>
      </c>
      <c r="F60" t="str">
        <f>IFERROR(__xludf.DUMMYFUNCTION("""COMPUTED_VALUE"""),"")</f>
        <v/>
      </c>
      <c r="G60" t="str">
        <f>IFERROR(__xludf.DUMMYFUNCTION("""COMPUTED_VALUE"""),"")</f>
        <v/>
      </c>
      <c r="H60" t="str">
        <f>IFERROR(__xludf.DUMMYFUNCTION("""COMPUTED_VALUE"""),"Also birth rate/live birth rate")</f>
        <v>Also birth rate/live birth rate</v>
      </c>
      <c r="I6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60" t="str">
        <f>IFERROR(__xludf.DUMMYFUNCTION("""COMPUTED_VALUE"""),"")</f>
        <v/>
      </c>
      <c r="K60" s="19" t="str">
        <f>IFERROR(__xludf.DUMMYFUNCTION("""COMPUTED_VALUE"""),"https://stats.oecd.org/index.aspx?DataSetCode=HEALTH_STAT")</f>
        <v>https://stats.oecd.org/index.aspx?DataSetCode=HEALTH_STAT</v>
      </c>
      <c r="L60" s="19" t="str">
        <f>IFERROR(__xludf.DUMMYFUNCTION("""COMPUTED_VALUE"""),"https://usafacts.org/missions/promote-welfare/12")</f>
        <v>https://usafacts.org/missions/promote-welfare/12</v>
      </c>
      <c r="M60" t="str">
        <f>IFERROR(__xludf.DUMMYFUNCTION("""COMPUTED_VALUE"""),"")</f>
        <v/>
      </c>
      <c r="N60" t="str">
        <f>IFERROR(__xludf.DUMMYFUNCTION("""COMPUTED_VALUE"""),"")</f>
        <v/>
      </c>
      <c r="O60" s="19" t="str">
        <f>IFERROR(__xludf.DUMMYFUNCTION("""COMPUTED_VALUE"""),"https://data.worldbank.org/indicator/#health")</f>
        <v>https://data.worldbank.org/indicator/#health</v>
      </c>
      <c r="P60" t="str">
        <f>IFERROR(__xludf.DUMMYFUNCTION("""COMPUTED_VALUE"""),"")</f>
        <v/>
      </c>
      <c r="Q60" t="str">
        <f>IFERROR(__xludf.DUMMYFUNCTION("""COMPUTED_VALUE"""),"")</f>
        <v/>
      </c>
      <c r="R60" t="str">
        <f>IFERROR(__xludf.DUMMYFUNCTION("""COMPUTED_VALUE"""),"")</f>
        <v/>
      </c>
      <c r="S60" t="str">
        <f>IFERROR(__xludf.DUMMYFUNCTION("""COMPUTED_VALUE"""),"")</f>
        <v/>
      </c>
      <c r="T60">
        <f>IFERROR(__xludf.DUMMYFUNCTION("""COMPUTED_VALUE"""),4.0)</f>
        <v>4</v>
      </c>
    </row>
    <row r="61">
      <c r="A61" t="str">
        <f>IFERROR(__xludf.DUMMYFUNCTION("""COMPUTED_VALUE"""),"Total preterm live births")</f>
        <v>Total preterm live births</v>
      </c>
      <c r="B61" t="str">
        <f>IFERROR(__xludf.DUMMYFUNCTION("""COMPUTED_VALUE"""),"")</f>
        <v/>
      </c>
      <c r="C61" t="str">
        <f>IFERROR(__xludf.DUMMYFUNCTION("""COMPUTED_VALUE"""),"")</f>
        <v/>
      </c>
      <c r="D61" t="str">
        <f>IFERROR(__xludf.DUMMYFUNCTION("""COMPUTED_VALUE"""),"")</f>
        <v/>
      </c>
      <c r="E61" t="str">
        <f>IFERROR(__xludf.DUMMYFUNCTION("""COMPUTED_VALUE"""),"")</f>
        <v/>
      </c>
      <c r="F61" t="str">
        <f>IFERROR(__xludf.DUMMYFUNCTION("""COMPUTED_VALUE"""),"")</f>
        <v/>
      </c>
      <c r="G61" t="str">
        <f>IFERROR(__xludf.DUMMYFUNCTION("""COMPUTED_VALUE"""),"")</f>
        <v/>
      </c>
      <c r="H61" t="str">
        <f>IFERROR(__xludf.DUMMYFUNCTION("""COMPUTED_VALUE"""),"")</f>
        <v/>
      </c>
      <c r="I61" t="str">
        <f>IFERROR(__xludf.DUMMYFUNCTION("""COMPUTED_VALUE"""),"")</f>
        <v/>
      </c>
      <c r="J61" t="str">
        <f>IFERROR(__xludf.DUMMYFUNCTION("""COMPUTED_VALUE"""),"")</f>
        <v/>
      </c>
      <c r="K61" t="str">
        <f>IFERROR(__xludf.DUMMYFUNCTION("""COMPUTED_VALUE"""),"")</f>
        <v/>
      </c>
      <c r="L61" t="str">
        <f>IFERROR(__xludf.DUMMYFUNCTION("""COMPUTED_VALUE"""),"")</f>
        <v/>
      </c>
      <c r="M61" s="19" t="str">
        <f>IFERROR(__xludf.DUMMYFUNCTION("""COMPUTED_VALUE"""),"https://www.gapminder.org/data/")</f>
        <v>https://www.gapminder.org/data/</v>
      </c>
      <c r="N61" s="19" t="str">
        <f>IFERROR(__xludf.DUMMYFUNCTION("""COMPUTED_VALUE"""),"https://www.americashealthrankings.org/explore/annual")</f>
        <v>https://www.americashealthrankings.org/explore/annual</v>
      </c>
      <c r="O61" t="str">
        <f>IFERROR(__xludf.DUMMYFUNCTION("""COMPUTED_VALUE"""),"")</f>
        <v/>
      </c>
      <c r="P61" t="str">
        <f>IFERROR(__xludf.DUMMYFUNCTION("""COMPUTED_VALUE"""),"")</f>
        <v/>
      </c>
      <c r="Q61" s="19" t="str">
        <f>IFERROR(__xludf.DUMMYFUNCTION("""COMPUTED_VALUE"""),"https://www.cdc.gov/nchs/healthy_people/hp2020/hp2020_indicators.htm")</f>
        <v>https://www.cdc.gov/nchs/healthy_people/hp2020/hp2020_indicators.htm</v>
      </c>
      <c r="R61" t="str">
        <f>IFERROR(__xludf.DUMMYFUNCTION("""COMPUTED_VALUE"""),"CHSI")</f>
        <v>CHSI</v>
      </c>
      <c r="S61" t="str">
        <f>IFERROR(__xludf.DUMMYFUNCTION("""COMPUTED_VALUE"""),"")</f>
        <v/>
      </c>
      <c r="T61">
        <f>IFERROR(__xludf.DUMMYFUNCTION("""COMPUTED_VALUE"""),4.0)</f>
        <v>4</v>
      </c>
    </row>
    <row r="62">
      <c r="A62" t="str">
        <f>IFERROR(__xludf.DUMMYFUNCTION("""COMPUTED_VALUE"""),"Self-rated health status")</f>
        <v>Self-rated health status</v>
      </c>
      <c r="B62" t="str">
        <f>IFERROR(__xludf.DUMMYFUNCTION("""COMPUTED_VALUE"""),"")</f>
        <v/>
      </c>
      <c r="C62" t="str">
        <f>IFERROR(__xludf.DUMMYFUNCTION("""COMPUTED_VALUE"""),"")</f>
        <v/>
      </c>
      <c r="D62" t="str">
        <f>IFERROR(__xludf.DUMMYFUNCTION("""COMPUTED_VALUE"""),"")</f>
        <v/>
      </c>
      <c r="E62" t="str">
        <f>IFERROR(__xludf.DUMMYFUNCTION("""COMPUTED_VALUE"""),"")</f>
        <v/>
      </c>
      <c r="F62" t="str">
        <f>IFERROR(__xludf.DUMMYFUNCTION("""COMPUTED_VALUE"""),"")</f>
        <v/>
      </c>
      <c r="G62" t="str">
        <f>IFERROR(__xludf.DUMMYFUNCTION("""COMPUTED_VALUE"""),"")</f>
        <v/>
      </c>
      <c r="H62" t="str">
        <f>IFERROR(__xludf.DUMMYFUNCTION("""COMPUTED_VALUE"""),"Commonwealth Fund tracks adults ages 18–64 who report fair/poor health; OECD breaks down in age groups, gender, socioecomic, etc;")</f>
        <v>Commonwealth Fund tracks adults ages 18–64 who report fair/poor health; OECD breaks down in age groups, gender, socioecomic, etc;</v>
      </c>
      <c r="I62" t="str">
        <f>IFERROR(__xludf.DUMMYFUNCTION("""COMPUTED_VALUE"""),"")</f>
        <v/>
      </c>
      <c r="J62" s="19" t="str">
        <f>IFERROR(__xludf.DUMMYFUNCTION("""COMPUTED_VALUE"""),"https://interactives.commonwealthfund.org/2018/state-scorecard/files/Radley_State_Scorecard_2018.pdf")</f>
        <v>https://interactives.commonwealthfund.org/2018/state-scorecard/files/Radley_State_Scorecard_2018.pdf</v>
      </c>
      <c r="K62" s="19" t="str">
        <f>IFERROR(__xludf.DUMMYFUNCTION("""COMPUTED_VALUE"""),"https://stats.oecd.org/index.aspx?DataSetCode=HEALTH_STAT")</f>
        <v>https://stats.oecd.org/index.aspx?DataSetCode=HEALTH_STAT</v>
      </c>
      <c r="L62" t="str">
        <f>IFERROR(__xludf.DUMMYFUNCTION("""COMPUTED_VALUE"""),"")</f>
        <v/>
      </c>
      <c r="M62" t="str">
        <f>IFERROR(__xludf.DUMMYFUNCTION("""COMPUTED_VALUE"""),"")</f>
        <v/>
      </c>
      <c r="N62" s="19" t="str">
        <f>IFERROR(__xludf.DUMMYFUNCTION("""COMPUTED_VALUE"""),"https://www.americashealthrankings.org/explore/annual")</f>
        <v>https://www.americashealthrankings.org/explore/annual</v>
      </c>
      <c r="O62" t="str">
        <f>IFERROR(__xludf.DUMMYFUNCTION("""COMPUTED_VALUE"""),"")</f>
        <v/>
      </c>
      <c r="P62" t="str">
        <f>IFERROR(__xludf.DUMMYFUNCTION("""COMPUTED_VALUE"""),"")</f>
        <v/>
      </c>
      <c r="Q62" t="str">
        <f>IFERROR(__xludf.DUMMYFUNCTION("""COMPUTED_VALUE"""),"")</f>
        <v/>
      </c>
      <c r="R62" t="str">
        <f>IFERROR(__xludf.DUMMYFUNCTION("""COMPUTED_VALUE"""),"CHSI")</f>
        <v>CHSI</v>
      </c>
      <c r="S62" t="str">
        <f>IFERROR(__xludf.DUMMYFUNCTION("""COMPUTED_VALUE"""),"")</f>
        <v/>
      </c>
      <c r="T62">
        <f>IFERROR(__xludf.DUMMYFUNCTION("""COMPUTED_VALUE"""),4.0)</f>
        <v>4</v>
      </c>
    </row>
    <row r="63">
      <c r="A63" t="str">
        <f>IFERROR(__xludf.DUMMYFUNCTION("""COMPUTED_VALUE"""),"Salt intake")</f>
        <v>Salt intake</v>
      </c>
      <c r="B63" t="str">
        <f>IFERROR(__xludf.DUMMYFUNCTION("""COMPUTED_VALUE"""),"")</f>
        <v/>
      </c>
      <c r="C63" t="str">
        <f>IFERROR(__xludf.DUMMYFUNCTION("""COMPUTED_VALUE"""),"")</f>
        <v/>
      </c>
      <c r="D63" t="str">
        <f>IFERROR(__xludf.DUMMYFUNCTION("""COMPUTED_VALUE"""),"")</f>
        <v/>
      </c>
      <c r="E63" t="str">
        <f>IFERROR(__xludf.DUMMYFUNCTION("""COMPUTED_VALUE"""),"")</f>
        <v/>
      </c>
      <c r="F63" t="str">
        <f>IFERROR(__xludf.DUMMYFUNCTION("""COMPUTED_VALUE"""),"")</f>
        <v/>
      </c>
      <c r="G63" t="str">
        <f>IFERROR(__xludf.DUMMYFUNCTION("""COMPUTED_VALUE"""),"")</f>
        <v/>
      </c>
      <c r="H63" t="str">
        <f>IFERROR(__xludf.DUMMYFUNCTION("""COMPUTED_VALUE"""),"")</f>
        <v/>
      </c>
      <c r="I6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63" t="str">
        <f>IFERROR(__xludf.DUMMYFUNCTION("""COMPUTED_VALUE"""),"")</f>
        <v/>
      </c>
      <c r="K63" t="str">
        <f>IFERROR(__xludf.DUMMYFUNCTION("""COMPUTED_VALUE"""),"")</f>
        <v/>
      </c>
      <c r="L63" t="str">
        <f>IFERROR(__xludf.DUMMYFUNCTION("""COMPUTED_VALUE"""),"")</f>
        <v/>
      </c>
      <c r="M63" t="str">
        <f>IFERROR(__xludf.DUMMYFUNCTION("""COMPUTED_VALUE"""),"")</f>
        <v/>
      </c>
      <c r="N63" t="str">
        <f>IFERROR(__xludf.DUMMYFUNCTION("""COMPUTED_VALUE"""),"")</f>
        <v/>
      </c>
      <c r="O63" t="str">
        <f>IFERROR(__xludf.DUMMYFUNCTION("""COMPUTED_VALUE"""),"")</f>
        <v/>
      </c>
      <c r="P63" t="str">
        <f>IFERROR(__xludf.DUMMYFUNCTION("""COMPUTED_VALUE"""),"")</f>
        <v/>
      </c>
      <c r="Q63" s="19" t="str">
        <f>IFERROR(__xludf.DUMMYFUNCTION("""COMPUTED_VALUE"""),"https://wwwn.cdc.gov/psr/NationalSummary/NationalSummary.aspx")</f>
        <v>https://wwwn.cdc.gov/psr/NationalSummary/NationalSummary.aspx</v>
      </c>
      <c r="R63" t="str">
        <f>IFERROR(__xludf.DUMMYFUNCTION("""COMPUTED_VALUE"""),"CHSI")</f>
        <v>CHSI</v>
      </c>
      <c r="S63" t="str">
        <f>IFERROR(__xludf.DUMMYFUNCTION("""COMPUTED_VALUE"""),"BWHP-31")</f>
        <v>BWHP-31</v>
      </c>
      <c r="T63">
        <f>IFERROR(__xludf.DUMMYFUNCTION("""COMPUTED_VALUE"""),4.0)</f>
        <v>4</v>
      </c>
    </row>
    <row r="64">
      <c r="A64" t="str">
        <f>IFERROR(__xludf.DUMMYFUNCTION("""COMPUTED_VALUE"""),"Contraceptive prevalence rate")</f>
        <v>Contraceptive prevalence rate</v>
      </c>
      <c r="B64" t="str">
        <f>IFERROR(__xludf.DUMMYFUNCTION("""COMPUTED_VALUE"""),"")</f>
        <v/>
      </c>
      <c r="C64" t="str">
        <f>IFERROR(__xludf.DUMMYFUNCTION("""COMPUTED_VALUE"""),"")</f>
        <v/>
      </c>
      <c r="D64" t="str">
        <f>IFERROR(__xludf.DUMMYFUNCTION("""COMPUTED_VALUE"""),"")</f>
        <v/>
      </c>
      <c r="E64" t="str">
        <f>IFERROR(__xludf.DUMMYFUNCTION("""COMPUTED_VALUE"""),"")</f>
        <v/>
      </c>
      <c r="F64" t="str">
        <f>IFERROR(__xludf.DUMMYFUNCTION("""COMPUTED_VALUE"""),"")</f>
        <v/>
      </c>
      <c r="G64" t="str">
        <f>IFERROR(__xludf.DUMMYFUNCTION("""COMPUTED_VALUE"""),"")</f>
        <v/>
      </c>
      <c r="H64" t="str">
        <f>IFERROR(__xludf.DUMMYFUNCTION("""COMPUTED_VALUE"""),"")</f>
        <v/>
      </c>
      <c r="I6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64" t="str">
        <f>IFERROR(__xludf.DUMMYFUNCTION("""COMPUTED_VALUE"""),"")</f>
        <v/>
      </c>
      <c r="K64" t="str">
        <f>IFERROR(__xludf.DUMMYFUNCTION("""COMPUTED_VALUE"""),"")</f>
        <v/>
      </c>
      <c r="L64" t="str">
        <f>IFERROR(__xludf.DUMMYFUNCTION("""COMPUTED_VALUE"""),"")</f>
        <v/>
      </c>
      <c r="M64" s="19" t="str">
        <f>IFERROR(__xludf.DUMMYFUNCTION("""COMPUTED_VALUE"""),"https://www.gapminder.org/data/")</f>
        <v>https://www.gapminder.org/data/</v>
      </c>
      <c r="N64" t="str">
        <f>IFERROR(__xludf.DUMMYFUNCTION("""COMPUTED_VALUE"""),"")</f>
        <v/>
      </c>
      <c r="O64" s="19" t="str">
        <f>IFERROR(__xludf.DUMMYFUNCTION("""COMPUTED_VALUE"""),"https://data.worldbank.org/indicator/#health")</f>
        <v>https://data.worldbank.org/indicator/#health</v>
      </c>
      <c r="P64" t="str">
        <f>IFERROR(__xludf.DUMMYFUNCTION("""COMPUTED_VALUE"""),"")</f>
        <v/>
      </c>
      <c r="Q64" s="19" t="str">
        <f>IFERROR(__xludf.DUMMYFUNCTION("""COMPUTED_VALUE"""),"https://www.cdc.gov/nchs/healthy_people/hp2020/hp2020_indicators.htm")</f>
        <v>https://www.cdc.gov/nchs/healthy_people/hp2020/hp2020_indicators.htm</v>
      </c>
      <c r="R64" t="str">
        <f>IFERROR(__xludf.DUMMYFUNCTION("""COMPUTED_VALUE"""),"")</f>
        <v/>
      </c>
      <c r="S64" t="str">
        <f>IFERROR(__xludf.DUMMYFUNCTION("""COMPUTED_VALUE"""),"")</f>
        <v/>
      </c>
      <c r="T64">
        <f>IFERROR(__xludf.DUMMYFUNCTION("""COMPUTED_VALUE"""),4.0)</f>
        <v>4</v>
      </c>
    </row>
    <row r="65">
      <c r="A65" t="str">
        <f>IFERROR(__xludf.DUMMYFUNCTION("""COMPUTED_VALUE"""),"People living with HIV who know their status")</f>
        <v>People living with HIV who know their status</v>
      </c>
      <c r="B65" t="str">
        <f>IFERROR(__xludf.DUMMYFUNCTION("""COMPUTED_VALUE"""),"")</f>
        <v/>
      </c>
      <c r="C65" t="str">
        <f>IFERROR(__xludf.DUMMYFUNCTION("""COMPUTED_VALUE"""),"")</f>
        <v/>
      </c>
      <c r="D65" t="str">
        <f>IFERROR(__xludf.DUMMYFUNCTION("""COMPUTED_VALUE"""),"")</f>
        <v/>
      </c>
      <c r="E65" t="str">
        <f>IFERROR(__xludf.DUMMYFUNCTION("""COMPUTED_VALUE"""),"")</f>
        <v/>
      </c>
      <c r="F65" t="str">
        <f>IFERROR(__xludf.DUMMYFUNCTION("""COMPUTED_VALUE"""),"")</f>
        <v/>
      </c>
      <c r="G65" t="str">
        <f>IFERROR(__xludf.DUMMYFUNCTION("""COMPUTED_VALUE"""),"")</f>
        <v/>
      </c>
      <c r="H65" t="str">
        <f>IFERROR(__xludf.DUMMYFUNCTION("""COMPUTED_VALUE"""),"")</f>
        <v/>
      </c>
      <c r="I6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65" t="str">
        <f>IFERROR(__xludf.DUMMYFUNCTION("""COMPUTED_VALUE"""),"")</f>
        <v/>
      </c>
      <c r="K65" t="str">
        <f>IFERROR(__xludf.DUMMYFUNCTION("""COMPUTED_VALUE"""),"")</f>
        <v/>
      </c>
      <c r="L65" t="str">
        <f>IFERROR(__xludf.DUMMYFUNCTION("""COMPUTED_VALUE"""),"")</f>
        <v/>
      </c>
      <c r="M65" s="19" t="str">
        <f>IFERROR(__xludf.DUMMYFUNCTION("""COMPUTED_VALUE"""),"https://www.gapminder.org/data/")</f>
        <v>https://www.gapminder.org/data/</v>
      </c>
      <c r="N65" t="str">
        <f>IFERROR(__xludf.DUMMYFUNCTION("""COMPUTED_VALUE"""),"")</f>
        <v/>
      </c>
      <c r="O65" s="19" t="str">
        <f>IFERROR(__xludf.DUMMYFUNCTION("""COMPUTED_VALUE"""),"https://data.worldbank.org/indicator/#health")</f>
        <v>https://data.worldbank.org/indicator/#health</v>
      </c>
      <c r="P65" t="str">
        <f>IFERROR(__xludf.DUMMYFUNCTION("""COMPUTED_VALUE"""),"")</f>
        <v/>
      </c>
      <c r="Q65" t="str">
        <f>IFERROR(__xludf.DUMMYFUNCTION("""COMPUTED_VALUE"""),"https://wwwn.cdc.gov/psr/NationalSummary/NationalSummary.aspx, https://www.cdc.gov/nchs/healthy_people/hp2020/hp2020_indicators.htm")</f>
        <v>https://wwwn.cdc.gov/psr/NationalSummary/NationalSummary.aspx, https://www.cdc.gov/nchs/healthy_people/hp2020/hp2020_indicators.htm</v>
      </c>
      <c r="R65" t="str">
        <f>IFERROR(__xludf.DUMMYFUNCTION("""COMPUTED_VALUE"""),"")</f>
        <v/>
      </c>
      <c r="S65" t="str">
        <f>IFERROR(__xludf.DUMMYFUNCTION("""COMPUTED_VALUE"""),"")</f>
        <v/>
      </c>
      <c r="T65">
        <f>IFERROR(__xludf.DUMMYFUNCTION("""COMPUTED_VALUE"""),4.0)</f>
        <v>4</v>
      </c>
    </row>
    <row r="66">
      <c r="A66" t="str">
        <f>IFERROR(__xludf.DUMMYFUNCTION("""COMPUTED_VALUE"""),"Persons with diagnosed diabetes whose A1c value is greater than 9% (D-5.1)")</f>
        <v>Persons with diagnosed diabetes whose A1c value is greater than 9% (D-5.1)</v>
      </c>
      <c r="B66" t="str">
        <f>IFERROR(__xludf.DUMMYFUNCTION("""COMPUTED_VALUE"""),"")</f>
        <v/>
      </c>
      <c r="C66" t="str">
        <f>IFERROR(__xludf.DUMMYFUNCTION("""COMPUTED_VALUE"""),"")</f>
        <v/>
      </c>
      <c r="D66" t="str">
        <f>IFERROR(__xludf.DUMMYFUNCTION("""COMPUTED_VALUE"""),"")</f>
        <v/>
      </c>
      <c r="E66" t="str">
        <f>IFERROR(__xludf.DUMMYFUNCTION("""COMPUTED_VALUE"""),"")</f>
        <v/>
      </c>
      <c r="F66" t="str">
        <f>IFERROR(__xludf.DUMMYFUNCTION("""COMPUTED_VALUE"""),"")</f>
        <v/>
      </c>
      <c r="G66" t="str">
        <f>IFERROR(__xludf.DUMMYFUNCTION("""COMPUTED_VALUE"""),"")</f>
        <v/>
      </c>
      <c r="H66" t="str">
        <f>IFERROR(__xludf.DUMMYFUNCTION("""COMPUTED_VALUE"""),"Commonwealth Fund considers all adults who have *not* had a test")</f>
        <v>Commonwealth Fund considers all adults who have *not* had a test</v>
      </c>
      <c r="I66" t="str">
        <f>IFERROR(__xludf.DUMMYFUNCTION("""COMPUTED_VALUE"""),"")</f>
        <v/>
      </c>
      <c r="J66" s="19" t="str">
        <f>IFERROR(__xludf.DUMMYFUNCTION("""COMPUTED_VALUE"""),"https://interactives.commonwealthfund.org/2018/state-scorecard/files/Radley_State_Scorecard_2018.pdf")</f>
        <v>https://interactives.commonwealthfund.org/2018/state-scorecard/files/Radley_State_Scorecard_2018.pdf</v>
      </c>
      <c r="K66" s="19" t="str">
        <f>IFERROR(__xludf.DUMMYFUNCTION("""COMPUTED_VALUE"""),"https://stats.oecd.org/index.aspx?DataSetCode=HEALTH_STAT#")</f>
        <v>https://stats.oecd.org/index.aspx?DataSetCode=HEALTH_STAT#</v>
      </c>
      <c r="L66" t="str">
        <f>IFERROR(__xludf.DUMMYFUNCTION("""COMPUTED_VALUE"""),"")</f>
        <v/>
      </c>
      <c r="M66" t="str">
        <f>IFERROR(__xludf.DUMMYFUNCTION("""COMPUTED_VALUE"""),"")</f>
        <v/>
      </c>
      <c r="N66" t="str">
        <f>IFERROR(__xludf.DUMMYFUNCTION("""COMPUTED_VALUE"""),"")</f>
        <v/>
      </c>
      <c r="O66" t="str">
        <f>IFERROR(__xludf.DUMMYFUNCTION("""COMPUTED_VALUE"""),"")</f>
        <v/>
      </c>
      <c r="P66"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66" s="19" t="str">
        <f>IFERROR(__xludf.DUMMYFUNCTION("""COMPUTED_VALUE"""),"https://www.cdc.gov/nchs/healthy_people/hp2020/hp2020_indicators.htm")</f>
        <v>https://www.cdc.gov/nchs/healthy_people/hp2020/hp2020_indicators.htm</v>
      </c>
      <c r="R66" t="str">
        <f>IFERROR(__xludf.DUMMYFUNCTION("""COMPUTED_VALUE"""),"")</f>
        <v/>
      </c>
      <c r="S66" t="str">
        <f>IFERROR(__xludf.DUMMYFUNCTION("""COMPUTED_VALUE"""),"")</f>
        <v/>
      </c>
      <c r="T66">
        <f>IFERROR(__xludf.DUMMYFUNCTION("""COMPUTED_VALUE"""),4.0)</f>
        <v>4</v>
      </c>
    </row>
    <row r="67">
      <c r="A67" t="str">
        <f>IFERROR(__xludf.DUMMYFUNCTION("""COMPUTED_VALUE"""),"Poor prevention and management of chronic conditions harms and kills many patients")</f>
        <v>Poor prevention and management of chronic conditions harms and kills many patients</v>
      </c>
      <c r="B67" t="str">
        <f>IFERROR(__xludf.DUMMYFUNCTION("""COMPUTED_VALUE"""),"")</f>
        <v/>
      </c>
      <c r="C67" t="str">
        <f>IFERROR(__xludf.DUMMYFUNCTION("""COMPUTED_VALUE"""),"")</f>
        <v/>
      </c>
      <c r="D67" t="str">
        <f>IFERROR(__xludf.DUMMYFUNCTION("""COMPUTED_VALUE"""),"")</f>
        <v/>
      </c>
      <c r="E67" t="str">
        <f>IFERROR(__xludf.DUMMYFUNCTION("""COMPUTED_VALUE"""),"")</f>
        <v/>
      </c>
      <c r="F67" t="str">
        <f>IFERROR(__xludf.DUMMYFUNCTION("""COMPUTED_VALUE"""),"")</f>
        <v/>
      </c>
      <c r="G67" t="str">
        <f>IFERROR(__xludf.DUMMYFUNCTION("""COMPUTED_VALUE"""),"")</f>
        <v/>
      </c>
      <c r="H67" t="str">
        <f>IFERROR(__xludf.DUMMYFUNCTION("""COMPUTED_VALUE"""),"Sources generally broadly track immunizations, screenings, etc")</f>
        <v>Sources generally broadly track immunizations, screenings, etc</v>
      </c>
      <c r="I67" t="str">
        <f>IFERROR(__xludf.DUMMYFUNCTION("""COMPUTED_VALUE"""),"")</f>
        <v/>
      </c>
      <c r="J67" s="19" t="str">
        <f>IFERROR(__xludf.DUMMYFUNCTION("""COMPUTED_VALUE"""),"https://interactives.commonwealthfund.org/2018/state-scorecard/files/Radley_State_Scorecard_2018.pdf")</f>
        <v>https://interactives.commonwealthfund.org/2018/state-scorecard/files/Radley_State_Scorecard_2018.pdf</v>
      </c>
      <c r="K67" s="19" t="str">
        <f>IFERROR(__xludf.DUMMYFUNCTION("""COMPUTED_VALUE"""),"https://stats.oecd.org/index.aspx?DataSetCode=HEALTH_STAT")</f>
        <v>https://stats.oecd.org/index.aspx?DataSetCode=HEALTH_STAT</v>
      </c>
      <c r="L67" t="str">
        <f>IFERROR(__xludf.DUMMYFUNCTION("""COMPUTED_VALUE"""),"")</f>
        <v/>
      </c>
      <c r="M67" t="str">
        <f>IFERROR(__xludf.DUMMYFUNCTION("""COMPUTED_VALUE"""),"")</f>
        <v/>
      </c>
      <c r="N67" t="str">
        <f>IFERROR(__xludf.DUMMYFUNCTION("""COMPUTED_VALUE"""),"")</f>
        <v/>
      </c>
      <c r="O67" t="str">
        <f>IFERROR(__xludf.DUMMYFUNCTION("""COMPUTED_VALUE"""),"")</f>
        <v/>
      </c>
      <c r="P67"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67" t="str">
        <f>IFERROR(__xludf.DUMMYFUNCTION("""COMPUTED_VALUE"""),"")</f>
        <v/>
      </c>
      <c r="R67" t="str">
        <f>IFERROR(__xludf.DUMMYFUNCTION("""COMPUTED_VALUE"""),"")</f>
        <v/>
      </c>
      <c r="S67" t="str">
        <f>IFERROR(__xludf.DUMMYFUNCTION("""COMPUTED_VALUE"""),"BWHP-21")</f>
        <v>BWHP-21</v>
      </c>
      <c r="T67">
        <f>IFERROR(__xludf.DUMMYFUNCTION("""COMPUTED_VALUE"""),4.0)</f>
        <v>4</v>
      </c>
    </row>
    <row r="68">
      <c r="A68" t="str">
        <f>IFERROR(__xludf.DUMMYFUNCTION("""COMPUTED_VALUE"""),"Mammograms")</f>
        <v>Mammograms</v>
      </c>
      <c r="B68" t="str">
        <f>IFERROR(__xludf.DUMMYFUNCTION("""COMPUTED_VALUE"""),"")</f>
        <v/>
      </c>
      <c r="C68" t="str">
        <f>IFERROR(__xludf.DUMMYFUNCTION("""COMPUTED_VALUE"""),"")</f>
        <v/>
      </c>
      <c r="D68" t="str">
        <f>IFERROR(__xludf.DUMMYFUNCTION("""COMPUTED_VALUE"""),"")</f>
        <v/>
      </c>
      <c r="E68" t="str">
        <f>IFERROR(__xludf.DUMMYFUNCTION("""COMPUTED_VALUE"""),"")</f>
        <v/>
      </c>
      <c r="F68" t="str">
        <f>IFERROR(__xludf.DUMMYFUNCTION("""COMPUTED_VALUE"""),"")</f>
        <v/>
      </c>
      <c r="G68" t="str">
        <f>IFERROR(__xludf.DUMMYFUNCTION("""COMPUTED_VALUE"""),"")</f>
        <v/>
      </c>
      <c r="H68" t="str">
        <f>IFERROR(__xludf.DUMMYFUNCTION("""COMPUTED_VALUE"""),"Commonwealth Fund considers all age appropriate cancer screenings")</f>
        <v>Commonwealth Fund considers all age appropriate cancer screenings</v>
      </c>
      <c r="I68" t="str">
        <f>IFERROR(__xludf.DUMMYFUNCTION("""COMPUTED_VALUE"""),"")</f>
        <v/>
      </c>
      <c r="J68" s="19" t="str">
        <f>IFERROR(__xludf.DUMMYFUNCTION("""COMPUTED_VALUE"""),"https://interactives.commonwealthfund.org/2018/state-scorecard/files/Radley_State_Scorecard_2018.pdf")</f>
        <v>https://interactives.commonwealthfund.org/2018/state-scorecard/files/Radley_State_Scorecard_2018.pdf</v>
      </c>
      <c r="K68" s="19" t="str">
        <f>IFERROR(__xludf.DUMMYFUNCTION("""COMPUTED_VALUE"""),"https://stats.oecd.org/index.aspx?DataSetCode=HEALTH_STAT")</f>
        <v>https://stats.oecd.org/index.aspx?DataSetCode=HEALTH_STAT</v>
      </c>
      <c r="L68" t="str">
        <f>IFERROR(__xludf.DUMMYFUNCTION("""COMPUTED_VALUE"""),"")</f>
        <v/>
      </c>
      <c r="M68" t="str">
        <f>IFERROR(__xludf.DUMMYFUNCTION("""COMPUTED_VALUE"""),"")</f>
        <v/>
      </c>
      <c r="N68" t="str">
        <f>IFERROR(__xludf.DUMMYFUNCTION("""COMPUTED_VALUE"""),"")</f>
        <v/>
      </c>
      <c r="O68" t="str">
        <f>IFERROR(__xludf.DUMMYFUNCTION("""COMPUTED_VALUE"""),"")</f>
        <v/>
      </c>
      <c r="P68"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68" t="str">
        <f>IFERROR(__xludf.DUMMYFUNCTION("""COMPUTED_VALUE"""),"")</f>
        <v/>
      </c>
      <c r="R68" t="str">
        <f>IFERROR(__xludf.DUMMYFUNCTION("""COMPUTED_VALUE"""),"CHSI")</f>
        <v>CHSI</v>
      </c>
      <c r="S68" t="str">
        <f>IFERROR(__xludf.DUMMYFUNCTION("""COMPUTED_VALUE"""),"")</f>
        <v/>
      </c>
      <c r="T68">
        <f>IFERROR(__xludf.DUMMYFUNCTION("""COMPUTED_VALUE"""),4.0)</f>
        <v>4</v>
      </c>
    </row>
    <row r="69">
      <c r="A69" t="str">
        <f>IFERROR(__xludf.DUMMYFUNCTION("""COMPUTED_VALUE"""),"Many patients have substance use disorders (including opioids), experience poor health, poor well-being, and die prematurely")</f>
        <v>Many patients have substance use disorders (including opioids), experience poor health, poor well-being, and die prematurely</v>
      </c>
      <c r="B69" t="str">
        <f>IFERROR(__xludf.DUMMYFUNCTION("""COMPUTED_VALUE"""),"")</f>
        <v/>
      </c>
      <c r="C69" t="str">
        <f>IFERROR(__xludf.DUMMYFUNCTION("""COMPUTED_VALUE"""),"")</f>
        <v/>
      </c>
      <c r="D69" t="str">
        <f>IFERROR(__xludf.DUMMYFUNCTION("""COMPUTED_VALUE"""),"")</f>
        <v/>
      </c>
      <c r="E69" t="str">
        <f>IFERROR(__xludf.DUMMYFUNCTION("""COMPUTED_VALUE"""),"")</f>
        <v/>
      </c>
      <c r="F69" t="str">
        <f>IFERROR(__xludf.DUMMYFUNCTION("""COMPUTED_VALUE"""),"")</f>
        <v/>
      </c>
      <c r="G69" t="str">
        <f>IFERROR(__xludf.DUMMYFUNCTION("""COMPUTED_VALUE"""),"VA, Mental health, SUD-related")</f>
        <v>VA, Mental health, SUD-related</v>
      </c>
      <c r="H69" t="str">
        <f>IFERROR(__xludf.DUMMYFUNCTION("""COMPUTED_VALUE"""),"")</f>
        <v/>
      </c>
      <c r="I69" t="str">
        <f>IFERROR(__xludf.DUMMYFUNCTION("""COMPUTED_VALUE"""),"")</f>
        <v/>
      </c>
      <c r="J69" t="str">
        <f>IFERROR(__xludf.DUMMYFUNCTION("""COMPUTED_VALUE"""),"")</f>
        <v/>
      </c>
      <c r="K69" t="str">
        <f>IFERROR(__xludf.DUMMYFUNCTION("""COMPUTED_VALUE"""),"")</f>
        <v/>
      </c>
      <c r="L69" t="str">
        <f>IFERROR(__xludf.DUMMYFUNCTION("""COMPUTED_VALUE"""),"")</f>
        <v/>
      </c>
      <c r="M69" t="str">
        <f>IFERROR(__xludf.DUMMYFUNCTION("""COMPUTED_VALUE"""),"")</f>
        <v/>
      </c>
      <c r="N69" s="19" t="str">
        <f>IFERROR(__xludf.DUMMYFUNCTION("""COMPUTED_VALUE"""),"https://www.americashealthrankings.org/explore/annual")</f>
        <v>https://www.americashealthrankings.org/explore/annual</v>
      </c>
      <c r="O69" t="str">
        <f>IFERROR(__xludf.DUMMYFUNCTION("""COMPUTED_VALUE"""),"")</f>
        <v/>
      </c>
      <c r="P69" t="str">
        <f>IFERROR(__xludf.DUMMYFUNCTION("""COMPUTED_VALUE"""),"https://www.cms.gov/about-cms/story-page/our-16-strategic-initiatives.html, https://www.cms.gov/Medicare/Quality-Initiatives-Patient-Assessment-Instruments/QualityInitiativesGenInfo/MMF/General-info-Sub-Page.html, BWHP-11")</f>
        <v>https://www.cms.gov/about-cms/story-page/our-16-strategic-initiatives.html, https://www.cms.gov/Medicare/Quality-Initiatives-Patient-Assessment-Instruments/QualityInitiativesGenInfo/MMF/General-info-Sub-Page.html, BWHP-11</v>
      </c>
      <c r="Q69" s="19" t="str">
        <f>IFERROR(__xludf.DUMMYFUNCTION("""COMPUTED_VALUE"""),"https://www.cdc.gov/nchs/healthy_people/hp2020/hp2020_indicators.htm")</f>
        <v>https://www.cdc.gov/nchs/healthy_people/hp2020/hp2020_indicators.htm</v>
      </c>
      <c r="R69" t="str">
        <f>IFERROR(__xludf.DUMMYFUNCTION("""COMPUTED_VALUE"""),"")</f>
        <v/>
      </c>
      <c r="S69" t="str">
        <f>IFERROR(__xludf.DUMMYFUNCTION("""COMPUTED_VALUE"""),"BWHP-11, BWHP-38")</f>
        <v>BWHP-11, BWHP-38</v>
      </c>
      <c r="T69">
        <f>IFERROR(__xludf.DUMMYFUNCTION("""COMPUTED_VALUE"""),4.0)</f>
        <v>4</v>
      </c>
    </row>
    <row r="70">
      <c r="A70" t="str">
        <f>IFERROR(__xludf.DUMMYFUNCTION("""COMPUTED_VALUE"""),"Too many Americans do not have a primary care clinician and experience poor health and well-being")</f>
        <v>Too many Americans do not have a primary care clinician and experience poor health and well-being</v>
      </c>
      <c r="B70" t="str">
        <f>IFERROR(__xludf.DUMMYFUNCTION("""COMPUTED_VALUE"""),"")</f>
        <v/>
      </c>
      <c r="C70" t="str">
        <f>IFERROR(__xludf.DUMMYFUNCTION("""COMPUTED_VALUE"""),"")</f>
        <v/>
      </c>
      <c r="D70" t="str">
        <f>IFERROR(__xludf.DUMMYFUNCTION("""COMPUTED_VALUE"""),"")</f>
        <v/>
      </c>
      <c r="E70" t="str">
        <f>IFERROR(__xludf.DUMMYFUNCTION("""COMPUTED_VALUE"""),"")</f>
        <v/>
      </c>
      <c r="F70" t="str">
        <f>IFERROR(__xludf.DUMMYFUNCTION("""COMPUTED_VALUE"""),"")</f>
        <v/>
      </c>
      <c r="G70" t="str">
        <f>IFERROR(__xludf.DUMMYFUNCTION("""COMPUTED_VALUE"""),"")</f>
        <v/>
      </c>
      <c r="H70" t="str">
        <f>IFERROR(__xludf.DUMMYFUNCTION("""COMPUTED_VALUE"""),"")</f>
        <v/>
      </c>
      <c r="I70" t="str">
        <f>IFERROR(__xludf.DUMMYFUNCTION("""COMPUTED_VALUE"""),"")</f>
        <v/>
      </c>
      <c r="J70" s="19" t="str">
        <f>IFERROR(__xludf.DUMMYFUNCTION("""COMPUTED_VALUE"""),"https://interactives.commonwealthfund.org/2018/state-scorecard/files/Radley_State_Scorecard_2018.pdf")</f>
        <v>https://interactives.commonwealthfund.org/2018/state-scorecard/files/Radley_State_Scorecard_2018.pdf</v>
      </c>
      <c r="K70" t="str">
        <f>IFERROR(__xludf.DUMMYFUNCTION("""COMPUTED_VALUE"""),"")</f>
        <v/>
      </c>
      <c r="L70" t="str">
        <f>IFERROR(__xludf.DUMMYFUNCTION("""COMPUTED_VALUE"""),"")</f>
        <v/>
      </c>
      <c r="M70" t="str">
        <f>IFERROR(__xludf.DUMMYFUNCTION("""COMPUTED_VALUE"""),"")</f>
        <v/>
      </c>
      <c r="N70" s="19" t="str">
        <f>IFERROR(__xludf.DUMMYFUNCTION("""COMPUTED_VALUE"""),"https://www.americashealthrankings.org/explore/annual")</f>
        <v>https://www.americashealthrankings.org/explore/annual</v>
      </c>
      <c r="O70" t="str">
        <f>IFERROR(__xludf.DUMMYFUNCTION("""COMPUTED_VALUE"""),"")</f>
        <v/>
      </c>
      <c r="P70" t="str">
        <f>IFERROR(__xludf.DUMMYFUNCTION("""COMPUTED_VALUE"""),"")</f>
        <v/>
      </c>
      <c r="Q70" s="19" t="str">
        <f>IFERROR(__xludf.DUMMYFUNCTION("""COMPUTED_VALUE"""),"https://www.cdc.gov/nchs/healthy_people/hp2020/hp2020_indicators.htm")</f>
        <v>https://www.cdc.gov/nchs/healthy_people/hp2020/hp2020_indicators.htm</v>
      </c>
      <c r="R70" t="str">
        <f>IFERROR(__xludf.DUMMYFUNCTION("""COMPUTED_VALUE"""),"")</f>
        <v/>
      </c>
      <c r="S70" t="str">
        <f>IFERROR(__xludf.DUMMYFUNCTION("""COMPUTED_VALUE"""),"BWHP-26")</f>
        <v>BWHP-26</v>
      </c>
      <c r="T70">
        <f>IFERROR(__xludf.DUMMYFUNCTION("""COMPUTED_VALUE"""),4.0)</f>
        <v>4</v>
      </c>
    </row>
    <row r="71">
      <c r="A71" t="str">
        <f>IFERROR(__xludf.DUMMYFUNCTION("""COMPUTED_VALUE"""),"Output training institutions")</f>
        <v>Output training institutions</v>
      </c>
      <c r="B71" t="str">
        <f>IFERROR(__xludf.DUMMYFUNCTION("""COMPUTED_VALUE"""),"")</f>
        <v/>
      </c>
      <c r="C71" t="str">
        <f>IFERROR(__xludf.DUMMYFUNCTION("""COMPUTED_VALUE"""),"")</f>
        <v/>
      </c>
      <c r="D71" t="str">
        <f>IFERROR(__xludf.DUMMYFUNCTION("""COMPUTED_VALUE"""),"")</f>
        <v/>
      </c>
      <c r="E71" t="str">
        <f>IFERROR(__xludf.DUMMYFUNCTION("""COMPUTED_VALUE"""),"")</f>
        <v/>
      </c>
      <c r="F71" t="str">
        <f>IFERROR(__xludf.DUMMYFUNCTION("""COMPUTED_VALUE"""),"")</f>
        <v/>
      </c>
      <c r="G71" t="str">
        <f>IFERROR(__xludf.DUMMYFUNCTION("""COMPUTED_VALUE"""),"")</f>
        <v/>
      </c>
      <c r="H71" t="str">
        <f>IFERROR(__xludf.DUMMYFUNCTION("""COMPUTED_VALUE"""),"Accessible? Affordable?")</f>
        <v>Accessible? Affordable?</v>
      </c>
      <c r="I7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71" t="str">
        <f>IFERROR(__xludf.DUMMYFUNCTION("""COMPUTED_VALUE"""),"")</f>
        <v/>
      </c>
      <c r="K71" s="19" t="str">
        <f>IFERROR(__xludf.DUMMYFUNCTION("""COMPUTED_VALUE"""),"https://stats.oecd.org/index.aspx?DataSetCode=HEALTH_STAT")</f>
        <v>https://stats.oecd.org/index.aspx?DataSetCode=HEALTH_STAT</v>
      </c>
      <c r="L71" t="str">
        <f>IFERROR(__xludf.DUMMYFUNCTION("""COMPUTED_VALUE"""),"")</f>
        <v/>
      </c>
      <c r="M71" t="str">
        <f>IFERROR(__xludf.DUMMYFUNCTION("""COMPUTED_VALUE"""),"")</f>
        <v/>
      </c>
      <c r="N71" t="str">
        <f>IFERROR(__xludf.DUMMYFUNCTION("""COMPUTED_VALUE"""),"")</f>
        <v/>
      </c>
      <c r="O71" t="str">
        <f>IFERROR(__xludf.DUMMYFUNCTION("""COMPUTED_VALUE"""),"")</f>
        <v/>
      </c>
      <c r="P71" t="str">
        <f>IFERROR(__xludf.DUMMYFUNCTION("""COMPUTED_VALUE"""),"")</f>
        <v/>
      </c>
      <c r="Q71" t="str">
        <f>IFERROR(__xludf.DUMMYFUNCTION("""COMPUTED_VALUE"""),"")</f>
        <v/>
      </c>
      <c r="R71" t="str">
        <f>IFERROR(__xludf.DUMMYFUNCTION("""COMPUTED_VALUE"""),"CHSI")</f>
        <v>CHSI</v>
      </c>
      <c r="S71" t="str">
        <f>IFERROR(__xludf.DUMMYFUNCTION("""COMPUTED_VALUE"""),"BWHP-4, BWHP-34")</f>
        <v>BWHP-4, BWHP-34</v>
      </c>
      <c r="T71">
        <f>IFERROR(__xludf.DUMMYFUNCTION("""COMPUTED_VALUE"""),4.0)</f>
        <v>4</v>
      </c>
    </row>
    <row r="72">
      <c r="A72" t="str">
        <f>IFERROR(__xludf.DUMMYFUNCTION("""COMPUTED_VALUE"""),"Total capital expenditure on health as % of current + capital expenditure on health")</f>
        <v>Total capital expenditure on health as % of current + capital expenditure on health</v>
      </c>
      <c r="B72" t="str">
        <f>IFERROR(__xludf.DUMMYFUNCTION("""COMPUTED_VALUE"""),"")</f>
        <v/>
      </c>
      <c r="C72" t="str">
        <f>IFERROR(__xludf.DUMMYFUNCTION("""COMPUTED_VALUE"""),"")</f>
        <v/>
      </c>
      <c r="D72" t="str">
        <f>IFERROR(__xludf.DUMMYFUNCTION("""COMPUTED_VALUE"""),"")</f>
        <v/>
      </c>
      <c r="E72" t="str">
        <f>IFERROR(__xludf.DUMMYFUNCTION("""COMPUTED_VALUE"""),"")</f>
        <v/>
      </c>
      <c r="F72" t="str">
        <f>IFERROR(__xludf.DUMMYFUNCTION("""COMPUTED_VALUE"""),"")</f>
        <v/>
      </c>
      <c r="G72" t="str">
        <f>IFERROR(__xludf.DUMMYFUNCTION("""COMPUTED_VALUE"""),"")</f>
        <v/>
      </c>
      <c r="H72" t="str">
        <f>IFERROR(__xludf.DUMMYFUNCTION("""COMPUTED_VALUE"""),"Commonwealth Fund is health care spending per capita which I'm not sure is the same here?")</f>
        <v>Commonwealth Fund is health care spending per capita which I'm not sure is the same here?</v>
      </c>
      <c r="I7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72" s="19" t="str">
        <f>IFERROR(__xludf.DUMMYFUNCTION("""COMPUTED_VALUE"""),"https://international.commonwealthfund.org/stats/")</f>
        <v>https://international.commonwealthfund.org/stats/</v>
      </c>
      <c r="K72" s="19" t="str">
        <f>IFERROR(__xludf.DUMMYFUNCTION("""COMPUTED_VALUE"""),"https://stats.oecd.org/index.aspx?DataSetCode=HEALTH_STAT")</f>
        <v>https://stats.oecd.org/index.aspx?DataSetCode=HEALTH_STAT</v>
      </c>
      <c r="L72" s="19" t="str">
        <f>IFERROR(__xludf.DUMMYFUNCTION("""COMPUTED_VALUE"""),"https://usafacts.org/missions/promote-welfare/12")</f>
        <v>https://usafacts.org/missions/promote-welfare/12</v>
      </c>
      <c r="M72" t="str">
        <f>IFERROR(__xludf.DUMMYFUNCTION("""COMPUTED_VALUE"""),"")</f>
        <v/>
      </c>
      <c r="N72" t="str">
        <f>IFERROR(__xludf.DUMMYFUNCTION("""COMPUTED_VALUE"""),"")</f>
        <v/>
      </c>
      <c r="O72" t="str">
        <f>IFERROR(__xludf.DUMMYFUNCTION("""COMPUTED_VALUE"""),"")</f>
        <v/>
      </c>
      <c r="P72" t="str">
        <f>IFERROR(__xludf.DUMMYFUNCTION("""COMPUTED_VALUE"""),"")</f>
        <v/>
      </c>
      <c r="Q72" t="str">
        <f>IFERROR(__xludf.DUMMYFUNCTION("""COMPUTED_VALUE"""),"")</f>
        <v/>
      </c>
      <c r="R72" t="str">
        <f>IFERROR(__xludf.DUMMYFUNCTION("""COMPUTED_VALUE"""),"")</f>
        <v/>
      </c>
      <c r="S72" t="str">
        <f>IFERROR(__xludf.DUMMYFUNCTION("""COMPUTED_VALUE"""),"")</f>
        <v/>
      </c>
      <c r="T72">
        <f>IFERROR(__xludf.DUMMYFUNCTION("""COMPUTED_VALUE"""),4.0)</f>
        <v>4</v>
      </c>
    </row>
    <row r="73">
      <c r="A73" t="str">
        <f>IFERROR(__xludf.DUMMYFUNCTION("""COMPUTED_VALUE"""),"Private domestic sources of current spending on health as % of current health expenditure")</f>
        <v>Private domestic sources of current spending on health as % of current health expenditure</v>
      </c>
      <c r="B73" t="str">
        <f>IFERROR(__xludf.DUMMYFUNCTION("""COMPUTED_VALUE"""),"")</f>
        <v/>
      </c>
      <c r="C73" t="str">
        <f>IFERROR(__xludf.DUMMYFUNCTION("""COMPUTED_VALUE"""),"")</f>
        <v/>
      </c>
      <c r="D73" t="str">
        <f>IFERROR(__xludf.DUMMYFUNCTION("""COMPUTED_VALUE"""),"")</f>
        <v/>
      </c>
      <c r="E73" t="str">
        <f>IFERROR(__xludf.DUMMYFUNCTION("""COMPUTED_VALUE"""),"")</f>
        <v/>
      </c>
      <c r="F73" t="str">
        <f>IFERROR(__xludf.DUMMYFUNCTION("""COMPUTED_VALUE"""),"")</f>
        <v/>
      </c>
      <c r="G73" t="str">
        <f>IFERROR(__xludf.DUMMYFUNCTION("""COMPUTED_VALUE"""),"")</f>
        <v/>
      </c>
      <c r="H73" t="str">
        <f>IFERROR(__xludf.DUMMYFUNCTION("""COMPUTED_VALUE"""),"")</f>
        <v/>
      </c>
      <c r="I7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73" t="str">
        <f>IFERROR(__xludf.DUMMYFUNCTION("""COMPUTED_VALUE"""),"")</f>
        <v/>
      </c>
      <c r="K73"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73" s="19" t="str">
        <f>IFERROR(__xludf.DUMMYFUNCTION("""COMPUTED_VALUE"""),"https://usafacts.org/missions/promote-welfare/12")</f>
        <v>https://usafacts.org/missions/promote-welfare/12</v>
      </c>
      <c r="M73" s="19" t="str">
        <f>IFERROR(__xludf.DUMMYFUNCTION("""COMPUTED_VALUE"""),"https://www.gapminder.org/data/")</f>
        <v>https://www.gapminder.org/data/</v>
      </c>
      <c r="N73" t="str">
        <f>IFERROR(__xludf.DUMMYFUNCTION("""COMPUTED_VALUE"""),"")</f>
        <v/>
      </c>
      <c r="O73" t="str">
        <f>IFERROR(__xludf.DUMMYFUNCTION("""COMPUTED_VALUE"""),"")</f>
        <v/>
      </c>
      <c r="P73" t="str">
        <f>IFERROR(__xludf.DUMMYFUNCTION("""COMPUTED_VALUE"""),"")</f>
        <v/>
      </c>
      <c r="Q73" t="str">
        <f>IFERROR(__xludf.DUMMYFUNCTION("""COMPUTED_VALUE"""),"")</f>
        <v/>
      </c>
      <c r="R73" t="str">
        <f>IFERROR(__xludf.DUMMYFUNCTION("""COMPUTED_VALUE"""),"")</f>
        <v/>
      </c>
      <c r="S73" t="str">
        <f>IFERROR(__xludf.DUMMYFUNCTION("""COMPUTED_VALUE"""),"")</f>
        <v/>
      </c>
      <c r="T73">
        <f>IFERROR(__xludf.DUMMYFUNCTION("""COMPUTED_VALUE"""),4.0)</f>
        <v>4</v>
      </c>
    </row>
    <row r="74">
      <c r="A74" t="str">
        <f>IFERROR(__xludf.DUMMYFUNCTION("""COMPUTED_VALUE"""),"Proportion of the population with impoverishing health expenditure")</f>
        <v>Proportion of the population with impoverishing health expenditure</v>
      </c>
      <c r="B74" t="str">
        <f>IFERROR(__xludf.DUMMYFUNCTION("""COMPUTED_VALUE"""),"")</f>
        <v/>
      </c>
      <c r="C74" t="str">
        <f>IFERROR(__xludf.DUMMYFUNCTION("""COMPUTED_VALUE"""),"")</f>
        <v/>
      </c>
      <c r="D74" t="str">
        <f>IFERROR(__xludf.DUMMYFUNCTION("""COMPUTED_VALUE"""),"")</f>
        <v/>
      </c>
      <c r="E74" t="str">
        <f>IFERROR(__xludf.DUMMYFUNCTION("""COMPUTED_VALUE"""),"")</f>
        <v/>
      </c>
      <c r="F74" t="str">
        <f>IFERROR(__xludf.DUMMYFUNCTION("""COMPUTED_VALUE"""),"")</f>
        <v/>
      </c>
      <c r="G74" t="str">
        <f>IFERROR(__xludf.DUMMYFUNCTION("""COMPUTED_VALUE"""),"")</f>
        <v/>
      </c>
      <c r="H74" t="str">
        <f>IFERROR(__xludf.DUMMYFUNCTION("""COMPUTED_VALUE"""),"World bank includes those at risk")</f>
        <v>World bank includes those at risk</v>
      </c>
      <c r="I7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74" s="19" t="str">
        <f>IFERROR(__xludf.DUMMYFUNCTION("""COMPUTED_VALUE"""),"https://interactives.commonwealthfund.org/2018/state-scorecard/files/Radley_State_Scorecard_2018.pdf")</f>
        <v>https://interactives.commonwealthfund.org/2018/state-scorecard/files/Radley_State_Scorecard_2018.pdf</v>
      </c>
      <c r="K74" t="str">
        <f>IFERROR(__xludf.DUMMYFUNCTION("""COMPUTED_VALUE"""),"")</f>
        <v/>
      </c>
      <c r="L74" t="str">
        <f>IFERROR(__xludf.DUMMYFUNCTION("""COMPUTED_VALUE"""),"")</f>
        <v/>
      </c>
      <c r="M74" t="str">
        <f>IFERROR(__xludf.DUMMYFUNCTION("""COMPUTED_VALUE"""),"")</f>
        <v/>
      </c>
      <c r="N74" t="str">
        <f>IFERROR(__xludf.DUMMYFUNCTION("""COMPUTED_VALUE"""),"")</f>
        <v/>
      </c>
      <c r="O74" s="19" t="str">
        <f>IFERROR(__xludf.DUMMYFUNCTION("""COMPUTED_VALUE"""),"https://data.worldbank.org/indicator/#health")</f>
        <v>https://data.worldbank.org/indicator/#health</v>
      </c>
      <c r="P74" t="str">
        <f>IFERROR(__xludf.DUMMYFUNCTION("""COMPUTED_VALUE"""),"")</f>
        <v/>
      </c>
      <c r="Q74" t="str">
        <f>IFERROR(__xludf.DUMMYFUNCTION("""COMPUTED_VALUE"""),"")</f>
        <v/>
      </c>
      <c r="R74" t="str">
        <f>IFERROR(__xludf.DUMMYFUNCTION("""COMPUTED_VALUE"""),"")</f>
        <v/>
      </c>
      <c r="S74" t="str">
        <f>IFERROR(__xludf.DUMMYFUNCTION("""COMPUTED_VALUE"""),"BWHP-5, BWHP-18")</f>
        <v>BWHP-5, BWHP-18</v>
      </c>
      <c r="T74">
        <f>IFERROR(__xludf.DUMMYFUNCTION("""COMPUTED_VALUE"""),4.0)</f>
        <v>4</v>
      </c>
    </row>
    <row r="75">
      <c r="A75" t="str">
        <f>IFERROR(__xludf.DUMMYFUNCTION("""COMPUTED_VALUE"""),"Proportion of the population with large household expenditure on health as a share of total household consumption or income")</f>
        <v>Proportion of the population with large household expenditure on health as a share of total household consumption or income</v>
      </c>
      <c r="B75" t="str">
        <f>IFERROR(__xludf.DUMMYFUNCTION("""COMPUTED_VALUE"""),"")</f>
        <v/>
      </c>
      <c r="C75" t="str">
        <f>IFERROR(__xludf.DUMMYFUNCTION("""COMPUTED_VALUE"""),"")</f>
        <v/>
      </c>
      <c r="D75" t="str">
        <f>IFERROR(__xludf.DUMMYFUNCTION("""COMPUTED_VALUE"""),"")</f>
        <v/>
      </c>
      <c r="E75" t="str">
        <f>IFERROR(__xludf.DUMMYFUNCTION("""COMPUTED_VALUE"""),"")</f>
        <v/>
      </c>
      <c r="F75" t="str">
        <f>IFERROR(__xludf.DUMMYFUNCTION("""COMPUTED_VALUE"""),"")</f>
        <v/>
      </c>
      <c r="G75" t="str">
        <f>IFERROR(__xludf.DUMMYFUNCTION("""COMPUTED_VALUE"""),"")</f>
        <v/>
      </c>
      <c r="H75" t="str">
        <f>IFERROR(__xludf.DUMMYFUNCTION("""COMPUTED_VALUE"""),"SDG 3.8.2")</f>
        <v>SDG 3.8.2</v>
      </c>
      <c r="I7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75" s="19" t="str">
        <f>IFERROR(__xludf.DUMMYFUNCTION("""COMPUTED_VALUE"""),"https://interactives.commonwealthfund.org/2018/state-scorecard/files/Radley_State_Scorecard_2018.pdf")</f>
        <v>https://interactives.commonwealthfund.org/2018/state-scorecard/files/Radley_State_Scorecard_2018.pdf</v>
      </c>
      <c r="K75" t="str">
        <f>IFERROR(__xludf.DUMMYFUNCTION("""COMPUTED_VALUE"""),"")</f>
        <v/>
      </c>
      <c r="L75" t="str">
        <f>IFERROR(__xludf.DUMMYFUNCTION("""COMPUTED_VALUE"""),"")</f>
        <v/>
      </c>
      <c r="M75" t="str">
        <f>IFERROR(__xludf.DUMMYFUNCTION("""COMPUTED_VALUE"""),"")</f>
        <v/>
      </c>
      <c r="N75" t="str">
        <f>IFERROR(__xludf.DUMMYFUNCTION("""COMPUTED_VALUE"""),"")</f>
        <v/>
      </c>
      <c r="O75" s="19" t="str">
        <f>IFERROR(__xludf.DUMMYFUNCTION("""COMPUTED_VALUE"""),"https://data.worldbank.org/indicator/#health")</f>
        <v>https://data.worldbank.org/indicator/#health</v>
      </c>
      <c r="P75" t="str">
        <f>IFERROR(__xludf.DUMMYFUNCTION("""COMPUTED_VALUE"""),"")</f>
        <v/>
      </c>
      <c r="Q75" t="str">
        <f>IFERROR(__xludf.DUMMYFUNCTION("""COMPUTED_VALUE"""),"")</f>
        <v/>
      </c>
      <c r="R75" t="str">
        <f>IFERROR(__xludf.DUMMYFUNCTION("""COMPUTED_VALUE"""),"")</f>
        <v/>
      </c>
      <c r="S75" t="str">
        <f>IFERROR(__xludf.DUMMYFUNCTION("""COMPUTED_VALUE"""),"BWHP-5, BWHP-18")</f>
        <v>BWHP-5, BWHP-18</v>
      </c>
      <c r="T75">
        <f>IFERROR(__xludf.DUMMYFUNCTION("""COMPUTED_VALUE"""),4.0)</f>
        <v>4</v>
      </c>
    </row>
    <row r="76">
      <c r="A76" t="str">
        <f>IFERROR(__xludf.DUMMYFUNCTION("""COMPUTED_VALUE"""),"Health care spending per capita")</f>
        <v>Health care spending per capita</v>
      </c>
      <c r="B76" t="str">
        <f>IFERROR(__xludf.DUMMYFUNCTION("""COMPUTED_VALUE"""),"")</f>
        <v/>
      </c>
      <c r="C76" t="str">
        <f>IFERROR(__xludf.DUMMYFUNCTION("""COMPUTED_VALUE"""),"")</f>
        <v/>
      </c>
      <c r="D76" t="str">
        <f>IFERROR(__xludf.DUMMYFUNCTION("""COMPUTED_VALUE"""),"")</f>
        <v/>
      </c>
      <c r="E76" t="str">
        <f>IFERROR(__xludf.DUMMYFUNCTION("""COMPUTED_VALUE"""),"")</f>
        <v/>
      </c>
      <c r="F76" t="str">
        <f>IFERROR(__xludf.DUMMYFUNCTION("""COMPUTED_VALUE"""),"")</f>
        <v/>
      </c>
      <c r="G76" t="str">
        <f>IFERROR(__xludf.DUMMYFUNCTION("""COMPUTED_VALUE"""),"")</f>
        <v/>
      </c>
      <c r="H76" t="str">
        <f>IFERROR(__xludf.DUMMYFUNCTION("""COMPUTED_VALUE"""),"")</f>
        <v/>
      </c>
      <c r="I76" t="str">
        <f>IFERROR(__xludf.DUMMYFUNCTION("""COMPUTED_VALUE"""),"")</f>
        <v/>
      </c>
      <c r="J76" s="19" t="str">
        <f>IFERROR(__xludf.DUMMYFUNCTION("""COMPUTED_VALUE"""),"https://international.commonwealthfund.org/stats/")</f>
        <v>https://international.commonwealthfund.org/stats/</v>
      </c>
      <c r="K76" s="19" t="str">
        <f>IFERROR(__xludf.DUMMYFUNCTION("""COMPUTED_VALUE"""),"https://www.oecd-ilibrary.org/social-issues-migration-health/health-at-a-glance-2017_health_glance-2017-en")</f>
        <v>https://www.oecd-ilibrary.org/social-issues-migration-health/health-at-a-glance-2017_health_glance-2017-en</v>
      </c>
      <c r="L76" s="19" t="str">
        <f>IFERROR(__xludf.DUMMYFUNCTION("""COMPUTED_VALUE"""),"https://usafacts.org/missions/promote-welfare/12")</f>
        <v>https://usafacts.org/missions/promote-welfare/12</v>
      </c>
      <c r="M76" s="19" t="str">
        <f>IFERROR(__xludf.DUMMYFUNCTION("""COMPUTED_VALUE"""),"https://www.gapminder.org/data/")</f>
        <v>https://www.gapminder.org/data/</v>
      </c>
      <c r="N76" t="str">
        <f>IFERROR(__xludf.DUMMYFUNCTION("""COMPUTED_VALUE"""),"")</f>
        <v/>
      </c>
      <c r="O76" t="str">
        <f>IFERROR(__xludf.DUMMYFUNCTION("""COMPUTED_VALUE"""),"")</f>
        <v/>
      </c>
      <c r="P76" t="str">
        <f>IFERROR(__xludf.DUMMYFUNCTION("""COMPUTED_VALUE"""),"")</f>
        <v/>
      </c>
      <c r="Q76" t="str">
        <f>IFERROR(__xludf.DUMMYFUNCTION("""COMPUTED_VALUE"""),"")</f>
        <v/>
      </c>
      <c r="R76" t="str">
        <f>IFERROR(__xludf.DUMMYFUNCTION("""COMPUTED_VALUE"""),"")</f>
        <v/>
      </c>
      <c r="S76" t="str">
        <f>IFERROR(__xludf.DUMMYFUNCTION("""COMPUTED_VALUE"""),"")</f>
        <v/>
      </c>
      <c r="T76">
        <f>IFERROR(__xludf.DUMMYFUNCTION("""COMPUTED_VALUE"""),4.0)</f>
        <v>4</v>
      </c>
    </row>
    <row r="77">
      <c r="A77" t="str">
        <f>IFERROR(__xludf.DUMMYFUNCTION("""COMPUTED_VALUE"""),"Drug costs too high/Prevalence of patients missing/rationing prescription drug regimen due to cost")</f>
        <v>Drug costs too high/Prevalence of patients missing/rationing prescription drug regimen due to cost</v>
      </c>
      <c r="B77" t="str">
        <f>IFERROR(__xludf.DUMMYFUNCTION("""COMPUTED_VALUE"""),"")</f>
        <v/>
      </c>
      <c r="C77" t="str">
        <f>IFERROR(__xludf.DUMMYFUNCTION("""COMPUTED_VALUE"""),"")</f>
        <v/>
      </c>
      <c r="D77" t="str">
        <f>IFERROR(__xludf.DUMMYFUNCTION("""COMPUTED_VALUE"""),"")</f>
        <v/>
      </c>
      <c r="E77" t="str">
        <f>IFERROR(__xludf.DUMMYFUNCTION("""COMPUTED_VALUE"""),"")</f>
        <v/>
      </c>
      <c r="F77" t="str">
        <f>IFERROR(__xludf.DUMMYFUNCTION("""COMPUTED_VALUE"""),"")</f>
        <v/>
      </c>
      <c r="G77" t="str">
        <f>IFERROR(__xludf.DUMMYFUNCTION("""COMPUTED_VALUE"""),"Rising drug costs, Cost")</f>
        <v>Rising drug costs, Cost</v>
      </c>
      <c r="H77" t="str">
        <f>IFERROR(__xludf.DUMMYFUNCTION("""COMPUTED_VALUE"""),"")</f>
        <v/>
      </c>
      <c r="I77" t="str">
        <f>IFERROR(__xludf.DUMMYFUNCTION("""COMPUTED_VALUE"""),"")</f>
        <v/>
      </c>
      <c r="J77"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77" s="19" t="str">
        <f>IFERROR(__xludf.DUMMYFUNCTION("""COMPUTED_VALUE"""),"https://www.oecd-ilibrary.org/social-issues-migration-health/health-at-a-glance-2017_health_glance-2017-en")</f>
        <v>https://www.oecd-ilibrary.org/social-issues-migration-health/health-at-a-glance-2017_health_glance-2017-en</v>
      </c>
      <c r="L77" t="str">
        <f>IFERROR(__xludf.DUMMYFUNCTION("""COMPUTED_VALUE"""),"")</f>
        <v/>
      </c>
      <c r="M77" t="str">
        <f>IFERROR(__xludf.DUMMYFUNCTION("""COMPUTED_VALUE"""),"")</f>
        <v/>
      </c>
      <c r="N77" t="str">
        <f>IFERROR(__xludf.DUMMYFUNCTION("""COMPUTED_VALUE"""),"")</f>
        <v/>
      </c>
      <c r="O77" t="str">
        <f>IFERROR(__xludf.DUMMYFUNCTION("""COMPUTED_VALUE"""),"")</f>
        <v/>
      </c>
      <c r="P77" t="str">
        <f>IFERROR(__xludf.DUMMYFUNCTION("""COMPUTED_VALUE"""),"https://www.cms.gov/about-cms/story-page/our-16-strategic-initiatives.html, BWHP-3")</f>
        <v>https://www.cms.gov/about-cms/story-page/our-16-strategic-initiatives.html, BWHP-3</v>
      </c>
      <c r="Q77" t="str">
        <f>IFERROR(__xludf.DUMMYFUNCTION("""COMPUTED_VALUE"""),"")</f>
        <v/>
      </c>
      <c r="R77" t="str">
        <f>IFERROR(__xludf.DUMMYFUNCTION("""COMPUTED_VALUE"""),"")</f>
        <v/>
      </c>
      <c r="S77" t="str">
        <f>IFERROR(__xludf.DUMMYFUNCTION("""COMPUTED_VALUE"""),"BWHP-3, BWHP-18")</f>
        <v>BWHP-3, BWHP-18</v>
      </c>
      <c r="T77">
        <f>IFERROR(__xludf.DUMMYFUNCTION("""COMPUTED_VALUE"""),4.0)</f>
        <v>4</v>
      </c>
    </row>
    <row r="78">
      <c r="A78" t="str">
        <f>IFERROR(__xludf.DUMMYFUNCTION("""COMPUTED_VALUE"""),"Poverty level")</f>
        <v>Poverty level</v>
      </c>
      <c r="B78" t="str">
        <f>IFERROR(__xludf.DUMMYFUNCTION("""COMPUTED_VALUE"""),"")</f>
        <v/>
      </c>
      <c r="C78" t="str">
        <f>IFERROR(__xludf.DUMMYFUNCTION("""COMPUTED_VALUE"""),"")</f>
        <v/>
      </c>
      <c r="D78" t="str">
        <f>IFERROR(__xludf.DUMMYFUNCTION("""COMPUTED_VALUE"""),"")</f>
        <v/>
      </c>
      <c r="E78" t="str">
        <f>IFERROR(__xludf.DUMMYFUNCTION("""COMPUTED_VALUE"""),"")</f>
        <v/>
      </c>
      <c r="F78" t="str">
        <f>IFERROR(__xludf.DUMMYFUNCTION("""COMPUTED_VALUE"""),"")</f>
        <v/>
      </c>
      <c r="G78" t="str">
        <f>IFERROR(__xludf.DUMMYFUNCTION("""COMPUTED_VALUE"""),"")</f>
        <v/>
      </c>
      <c r="H78" t="str">
        <f>IFERROR(__xludf.DUMMYFUNCTION("""COMPUTED_VALUE"""),"UnitedHealth measures children in poverty specifically")</f>
        <v>UnitedHealth measures children in poverty specifically</v>
      </c>
      <c r="I78" t="str">
        <f>IFERROR(__xludf.DUMMYFUNCTION("""COMPUTED_VALUE"""),"")</f>
        <v/>
      </c>
      <c r="J78" t="str">
        <f>IFERROR(__xludf.DUMMYFUNCTION("""COMPUTED_VALUE"""),"")</f>
        <v/>
      </c>
      <c r="K78" t="str">
        <f>IFERROR(__xludf.DUMMYFUNCTION("""COMPUTED_VALUE"""),"")</f>
        <v/>
      </c>
      <c r="L78" s="19" t="str">
        <f>IFERROR(__xludf.DUMMYFUNCTION("""COMPUTED_VALUE"""),"https://usafacts.org/missions/promote-welfare/12")</f>
        <v>https://usafacts.org/missions/promote-welfare/12</v>
      </c>
      <c r="M78" t="str">
        <f>IFERROR(__xludf.DUMMYFUNCTION("""COMPUTED_VALUE"""),"")</f>
        <v/>
      </c>
      <c r="N78" s="19" t="str">
        <f>IFERROR(__xludf.DUMMYFUNCTION("""COMPUTED_VALUE"""),"https://www.americashealthrankings.org/explore/annual")</f>
        <v>https://www.americashealthrankings.org/explore/annual</v>
      </c>
      <c r="O78" t="str">
        <f>IFERROR(__xludf.DUMMYFUNCTION("""COMPUTED_VALUE"""),"")</f>
        <v/>
      </c>
      <c r="P78" t="str">
        <f>IFERROR(__xludf.DUMMYFUNCTION("""COMPUTED_VALUE"""),"")</f>
        <v/>
      </c>
      <c r="Q78" t="str">
        <f>IFERROR(__xludf.DUMMYFUNCTION("""COMPUTED_VALUE"""),"")</f>
        <v/>
      </c>
      <c r="R78" t="str">
        <f>IFERROR(__xludf.DUMMYFUNCTION("""COMPUTED_VALUE"""),"CHSI")</f>
        <v>CHSI</v>
      </c>
      <c r="S78" t="str">
        <f>IFERROR(__xludf.DUMMYFUNCTION("""COMPUTED_VALUE"""),"")</f>
        <v/>
      </c>
      <c r="T78">
        <f>IFERROR(__xludf.DUMMYFUNCTION("""COMPUTED_VALUE"""),3.0)</f>
        <v>3</v>
      </c>
    </row>
    <row r="79">
      <c r="A79" t="str">
        <f>IFERROR(__xludf.DUMMYFUNCTION("""COMPUTED_VALUE"""),"Tuberculosis rate (per 100,000)")</f>
        <v>Tuberculosis rate (per 100,000)</v>
      </c>
      <c r="B79">
        <f>IFERROR(__xludf.DUMMYFUNCTION("""COMPUTED_VALUE"""),2.8)</f>
        <v>2.8</v>
      </c>
      <c r="C79" s="19" t="str">
        <f>IFERROR(__xludf.DUMMYFUNCTION("""COMPUTED_VALUE"""),"https://www.cdc.gov/tb/statistics/default.htm")</f>
        <v>https://www.cdc.gov/tb/statistics/default.htm</v>
      </c>
      <c r="D79" t="str">
        <f>IFERROR(__xludf.DUMMYFUNCTION("""COMPUTED_VALUE"""),"")</f>
        <v/>
      </c>
      <c r="E79" t="str">
        <f>IFERROR(__xludf.DUMMYFUNCTION("""COMPUTED_VALUE"""),"")</f>
        <v/>
      </c>
      <c r="F79">
        <f>IFERROR(__xludf.DUMMYFUNCTION("""COMPUTED_VALUE"""),2017.0)</f>
        <v>2017</v>
      </c>
      <c r="G79" t="str">
        <f>IFERROR(__xludf.DUMMYFUNCTION("""COMPUTED_VALUE"""),"health status, mortality, disease")</f>
        <v>health status, mortality, disease</v>
      </c>
      <c r="H79" t="str">
        <f>IFERROR(__xludf.DUMMYFUNCTION("""COMPUTED_VALUE"""),"Total: 9,105")</f>
        <v>Total: 9,105</v>
      </c>
      <c r="I7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79" t="str">
        <f>IFERROR(__xludf.DUMMYFUNCTION("""COMPUTED_VALUE"""),"")</f>
        <v/>
      </c>
      <c r="K79" s="19" t="str">
        <f>IFERROR(__xludf.DUMMYFUNCTION("""COMPUTED_VALUE"""),"https://stats.oecd.org/index.aspx?DataSetCode=HEALTH_STAT")</f>
        <v>https://stats.oecd.org/index.aspx?DataSetCode=HEALTH_STAT</v>
      </c>
      <c r="L79" t="str">
        <f>IFERROR(__xludf.DUMMYFUNCTION("""COMPUTED_VALUE"""),"")</f>
        <v/>
      </c>
      <c r="M79" t="str">
        <f>IFERROR(__xludf.DUMMYFUNCTION("""COMPUTED_VALUE"""),"")</f>
        <v/>
      </c>
      <c r="N79" t="str">
        <f>IFERROR(__xludf.DUMMYFUNCTION("""COMPUTED_VALUE"""),"")</f>
        <v/>
      </c>
      <c r="O79" s="19" t="str">
        <f>IFERROR(__xludf.DUMMYFUNCTION("""COMPUTED_VALUE"""),"https://data.worldbank.org/indicator/#health")</f>
        <v>https://data.worldbank.org/indicator/#health</v>
      </c>
      <c r="P79" t="str">
        <f>IFERROR(__xludf.DUMMYFUNCTION("""COMPUTED_VALUE"""),"")</f>
        <v/>
      </c>
      <c r="Q79" t="str">
        <f>IFERROR(__xludf.DUMMYFUNCTION("""COMPUTED_VALUE"""),"")</f>
        <v/>
      </c>
      <c r="R79" t="str">
        <f>IFERROR(__xludf.DUMMYFUNCTION("""COMPUTED_VALUE"""),"")</f>
        <v/>
      </c>
      <c r="S79" t="str">
        <f>IFERROR(__xludf.DUMMYFUNCTION("""COMPUTED_VALUE"""),"")</f>
        <v/>
      </c>
      <c r="T79">
        <f>IFERROR(__xludf.DUMMYFUNCTION("""COMPUTED_VALUE"""),3.0)</f>
        <v>3</v>
      </c>
    </row>
    <row r="80">
      <c r="A80" t="str">
        <f>IFERROR(__xludf.DUMMYFUNCTION("""COMPUTED_VALUE"""),"Malaria mortality")</f>
        <v>Malaria mortality</v>
      </c>
      <c r="B80">
        <f>IFERROR(__xludf.DUMMYFUNCTION("""COMPUTED_VALUE"""),2053.0)</f>
        <v>2053</v>
      </c>
      <c r="C80" s="19" t="str">
        <f>IFERROR(__xludf.DUMMYFUNCTION("""COMPUTED_VALUE"""),"http://www.paho.org/data/index.php/en/indicators/visualization.html")</f>
        <v>http://www.paho.org/data/index.php/en/indicators/visualization.html</v>
      </c>
      <c r="D80" t="str">
        <f>IFERROR(__xludf.DUMMYFUNCTION("""COMPUTED_VALUE"""),"")</f>
        <v/>
      </c>
      <c r="E80" t="str">
        <f>IFERROR(__xludf.DUMMYFUNCTION("""COMPUTED_VALUE"""),"")</f>
        <v/>
      </c>
      <c r="F80">
        <f>IFERROR(__xludf.DUMMYFUNCTION("""COMPUTED_VALUE"""),2016.0)</f>
        <v>2016</v>
      </c>
      <c r="G80" t="str">
        <f>IFERROR(__xludf.DUMMYFUNCTION("""COMPUTED_VALUE"""),"health status, mortality, disease")</f>
        <v>health status, mortality, disease</v>
      </c>
      <c r="H80" t="str">
        <f>IFERROR(__xludf.DUMMYFUNCTION("""COMPUTED_VALUE"""),"")</f>
        <v/>
      </c>
      <c r="I8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80" t="str">
        <f>IFERROR(__xludf.DUMMYFUNCTION("""COMPUTED_VALUE"""),"")</f>
        <v/>
      </c>
      <c r="K80" s="19" t="str">
        <f>IFERROR(__xludf.DUMMYFUNCTION("""COMPUTED_VALUE"""),"https://stats.oecd.org/index.aspx?DataSetCode=HEALTH_STAT")</f>
        <v>https://stats.oecd.org/index.aspx?DataSetCode=HEALTH_STAT</v>
      </c>
      <c r="L80" t="str">
        <f>IFERROR(__xludf.DUMMYFUNCTION("""COMPUTED_VALUE"""),"")</f>
        <v/>
      </c>
      <c r="M80" s="19" t="str">
        <f>IFERROR(__xludf.DUMMYFUNCTION("""COMPUTED_VALUE"""),"https://www.gapminder.org/data/")</f>
        <v>https://www.gapminder.org/data/</v>
      </c>
      <c r="N80" t="str">
        <f>IFERROR(__xludf.DUMMYFUNCTION("""COMPUTED_VALUE"""),"")</f>
        <v/>
      </c>
      <c r="O80" t="str">
        <f>IFERROR(__xludf.DUMMYFUNCTION("""COMPUTED_VALUE"""),"")</f>
        <v/>
      </c>
      <c r="P80" t="str">
        <f>IFERROR(__xludf.DUMMYFUNCTION("""COMPUTED_VALUE"""),"")</f>
        <v/>
      </c>
      <c r="Q80" t="str">
        <f>IFERROR(__xludf.DUMMYFUNCTION("""COMPUTED_VALUE"""),"")</f>
        <v/>
      </c>
      <c r="R80" t="str">
        <f>IFERROR(__xludf.DUMMYFUNCTION("""COMPUTED_VALUE"""),"")</f>
        <v/>
      </c>
      <c r="S80" t="str">
        <f>IFERROR(__xludf.DUMMYFUNCTION("""COMPUTED_VALUE"""),"")</f>
        <v/>
      </c>
      <c r="T80">
        <f>IFERROR(__xludf.DUMMYFUNCTION("""COMPUTED_VALUE"""),3.0)</f>
        <v>3</v>
      </c>
    </row>
    <row r="81">
      <c r="A81" t="str">
        <f>IFERROR(__xludf.DUMMYFUNCTION("""COMPUTED_VALUE"""),"Premature noncommunicable disease mortality")</f>
        <v>Premature noncommunicable disease mortality</v>
      </c>
      <c r="B81" t="str">
        <f>IFERROR(__xludf.DUMMYFUNCTION("""COMPUTED_VALUE"""),"")</f>
        <v/>
      </c>
      <c r="C81" t="str">
        <f>IFERROR(__xludf.DUMMYFUNCTION("""COMPUTED_VALUE"""),"")</f>
        <v/>
      </c>
      <c r="D81" t="str">
        <f>IFERROR(__xludf.DUMMYFUNCTION("""COMPUTED_VALUE"""),"")</f>
        <v/>
      </c>
      <c r="E81" t="str">
        <f>IFERROR(__xludf.DUMMYFUNCTION("""COMPUTED_VALUE"""),"")</f>
        <v/>
      </c>
      <c r="F81" t="str">
        <f>IFERROR(__xludf.DUMMYFUNCTION("""COMPUTED_VALUE"""),"")</f>
        <v/>
      </c>
      <c r="G81" t="str">
        <f>IFERROR(__xludf.DUMMYFUNCTION("""COMPUTED_VALUE"""),"")</f>
        <v/>
      </c>
      <c r="H81" t="str">
        <f>IFERROR(__xludf.DUMMYFUNCTION("""COMPUTED_VALUE"""),"SDG 3.4.1")</f>
        <v>SDG 3.4.1</v>
      </c>
      <c r="I8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81" t="str">
        <f>IFERROR(__xludf.DUMMYFUNCTION("""COMPUTED_VALUE"""),"")</f>
        <v/>
      </c>
      <c r="K81" s="19" t="str">
        <f>IFERROR(__xludf.DUMMYFUNCTION("""COMPUTED_VALUE"""),"https://stats.oecd.org/index.aspx?DataSetCode=HEALTH_STAT")</f>
        <v>https://stats.oecd.org/index.aspx?DataSetCode=HEALTH_STAT</v>
      </c>
      <c r="L81" t="str">
        <f>IFERROR(__xludf.DUMMYFUNCTION("""COMPUTED_VALUE"""),"")</f>
        <v/>
      </c>
      <c r="M81" t="str">
        <f>IFERROR(__xludf.DUMMYFUNCTION("""COMPUTED_VALUE"""),"")</f>
        <v/>
      </c>
      <c r="N81" t="str">
        <f>IFERROR(__xludf.DUMMYFUNCTION("""COMPUTED_VALUE"""),"")</f>
        <v/>
      </c>
      <c r="O81" s="19" t="str">
        <f>IFERROR(__xludf.DUMMYFUNCTION("""COMPUTED_VALUE"""),"https://data.worldbank.org/indicator/#health")</f>
        <v>https://data.worldbank.org/indicator/#health</v>
      </c>
      <c r="P81" t="str">
        <f>IFERROR(__xludf.DUMMYFUNCTION("""COMPUTED_VALUE"""),"")</f>
        <v/>
      </c>
      <c r="Q81" t="str">
        <f>IFERROR(__xludf.DUMMYFUNCTION("""COMPUTED_VALUE"""),"")</f>
        <v/>
      </c>
      <c r="R81" t="str">
        <f>IFERROR(__xludf.DUMMYFUNCTION("""COMPUTED_VALUE"""),"")</f>
        <v/>
      </c>
      <c r="S81" t="str">
        <f>IFERROR(__xludf.DUMMYFUNCTION("""COMPUTED_VALUE"""),"")</f>
        <v/>
      </c>
      <c r="T81">
        <f>IFERROR(__xludf.DUMMYFUNCTION("""COMPUTED_VALUE"""),3.0)</f>
        <v>3</v>
      </c>
    </row>
    <row r="82">
      <c r="A82" t="str">
        <f>IFERROR(__xludf.DUMMYFUNCTION("""COMPUTED_VALUE"""),"Mortality from unsafe water, unsafe sanitation and lack of hygiene")</f>
        <v>Mortality from unsafe water, unsafe sanitation and lack of hygiene</v>
      </c>
      <c r="B82" t="str">
        <f>IFERROR(__xludf.DUMMYFUNCTION("""COMPUTED_VALUE"""),"")</f>
        <v/>
      </c>
      <c r="C82" t="str">
        <f>IFERROR(__xludf.DUMMYFUNCTION("""COMPUTED_VALUE"""),"")</f>
        <v/>
      </c>
      <c r="D82" t="str">
        <f>IFERROR(__xludf.DUMMYFUNCTION("""COMPUTED_VALUE"""),"")</f>
        <v/>
      </c>
      <c r="E82" t="str">
        <f>IFERROR(__xludf.DUMMYFUNCTION("""COMPUTED_VALUE"""),"")</f>
        <v/>
      </c>
      <c r="F82" t="str">
        <f>IFERROR(__xludf.DUMMYFUNCTION("""COMPUTED_VALUE"""),"")</f>
        <v/>
      </c>
      <c r="G82" t="str">
        <f>IFERROR(__xludf.DUMMYFUNCTION("""COMPUTED_VALUE"""),"")</f>
        <v/>
      </c>
      <c r="H82" t="str">
        <f>IFERROR(__xludf.DUMMYFUNCTION("""COMPUTED_VALUE"""),"SDG 3.9.2")</f>
        <v>SDG 3.9.2</v>
      </c>
      <c r="I8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82" t="str">
        <f>IFERROR(__xludf.DUMMYFUNCTION("""COMPUTED_VALUE"""),"")</f>
        <v/>
      </c>
      <c r="K82" s="19" t="str">
        <f>IFERROR(__xludf.DUMMYFUNCTION("""COMPUTED_VALUE"""),"https://stats.oecd.org/index.aspx?DataSetCode=HEALTH_STAT")</f>
        <v>https://stats.oecd.org/index.aspx?DataSetCode=HEALTH_STAT</v>
      </c>
      <c r="L82" t="str">
        <f>IFERROR(__xludf.DUMMYFUNCTION("""COMPUTED_VALUE"""),"")</f>
        <v/>
      </c>
      <c r="M82" t="str">
        <f>IFERROR(__xludf.DUMMYFUNCTION("""COMPUTED_VALUE"""),"")</f>
        <v/>
      </c>
      <c r="N82" t="str">
        <f>IFERROR(__xludf.DUMMYFUNCTION("""COMPUTED_VALUE"""),"")</f>
        <v/>
      </c>
      <c r="O82" t="str">
        <f>IFERROR(__xludf.DUMMYFUNCTION("""COMPUTED_VALUE"""),"")</f>
        <v/>
      </c>
      <c r="P82" t="str">
        <f>IFERROR(__xludf.DUMMYFUNCTION("""COMPUTED_VALUE"""),"")</f>
        <v/>
      </c>
      <c r="Q82" t="str">
        <f>IFERROR(__xludf.DUMMYFUNCTION("""COMPUTED_VALUE"""),"")</f>
        <v/>
      </c>
      <c r="R82" t="str">
        <f>IFERROR(__xludf.DUMMYFUNCTION("""COMPUTED_VALUE"""),"")</f>
        <v/>
      </c>
      <c r="S82" t="str">
        <f>IFERROR(__xludf.DUMMYFUNCTION("""COMPUTED_VALUE"""),"BWHP-33")</f>
        <v>BWHP-33</v>
      </c>
      <c r="T82">
        <f>IFERROR(__xludf.DUMMYFUNCTION("""COMPUTED_VALUE"""),3.0)</f>
        <v>3</v>
      </c>
    </row>
    <row r="83">
      <c r="A83" t="str">
        <f>IFERROR(__xludf.DUMMYFUNCTION("""COMPUTED_VALUE"""),"Mortality from chronic lower respiratory disease")</f>
        <v>Mortality from chronic lower respiratory disease</v>
      </c>
      <c r="B83" t="str">
        <f>IFERROR(__xludf.DUMMYFUNCTION("""COMPUTED_VALUE"""),"")</f>
        <v/>
      </c>
      <c r="C83" t="str">
        <f>IFERROR(__xludf.DUMMYFUNCTION("""COMPUTED_VALUE"""),"")</f>
        <v/>
      </c>
      <c r="D83" t="str">
        <f>IFERROR(__xludf.DUMMYFUNCTION("""COMPUTED_VALUE"""),"")</f>
        <v/>
      </c>
      <c r="E83" t="str">
        <f>IFERROR(__xludf.DUMMYFUNCTION("""COMPUTED_VALUE"""),"")</f>
        <v/>
      </c>
      <c r="F83" t="str">
        <f>IFERROR(__xludf.DUMMYFUNCTION("""COMPUTED_VALUE"""),"")</f>
        <v/>
      </c>
      <c r="G83" t="str">
        <f>IFERROR(__xludf.DUMMYFUNCTION("""COMPUTED_VALUE"""),"")</f>
        <v/>
      </c>
      <c r="H83" t="str">
        <f>IFERROR(__xludf.DUMMYFUNCTION("""COMPUTED_VALUE"""),"")</f>
        <v/>
      </c>
      <c r="I83" t="str">
        <f>IFERROR(__xludf.DUMMYFUNCTION("""COMPUTED_VALUE"""),"")</f>
        <v/>
      </c>
      <c r="J83" t="str">
        <f>IFERROR(__xludf.DUMMYFUNCTION("""COMPUTED_VALUE"""),"")</f>
        <v/>
      </c>
      <c r="K83" s="19" t="str">
        <f>IFERROR(__xludf.DUMMYFUNCTION("""COMPUTED_VALUE"""),"https://stats.oecd.org/index.aspx?DataSetCode=HEALTH_STAT")</f>
        <v>https://stats.oecd.org/index.aspx?DataSetCode=HEALTH_STAT</v>
      </c>
      <c r="L83" t="str">
        <f>IFERROR(__xludf.DUMMYFUNCTION("""COMPUTED_VALUE"""),"")</f>
        <v/>
      </c>
      <c r="M83" t="str">
        <f>IFERROR(__xludf.DUMMYFUNCTION("""COMPUTED_VALUE"""),"")</f>
        <v/>
      </c>
      <c r="N83" t="str">
        <f>IFERROR(__xludf.DUMMYFUNCTION("""COMPUTED_VALUE"""),"")</f>
        <v/>
      </c>
      <c r="O83" t="str">
        <f>IFERROR(__xludf.DUMMYFUNCTION("""COMPUTED_VALUE"""),"")</f>
        <v/>
      </c>
      <c r="P83"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83" t="str">
        <f>IFERROR(__xludf.DUMMYFUNCTION("""COMPUTED_VALUE"""),"")</f>
        <v/>
      </c>
      <c r="R83" t="str">
        <f>IFERROR(__xludf.DUMMYFUNCTION("""COMPUTED_VALUE"""),"CHSI")</f>
        <v>CHSI</v>
      </c>
      <c r="S83" t="str">
        <f>IFERROR(__xludf.DUMMYFUNCTION("""COMPUTED_VALUE"""),"")</f>
        <v/>
      </c>
      <c r="T83">
        <f>IFERROR(__xludf.DUMMYFUNCTION("""COMPUTED_VALUE"""),3.0)</f>
        <v>3</v>
      </c>
    </row>
    <row r="84">
      <c r="A84" t="str">
        <f>IFERROR(__xludf.DUMMYFUNCTION("""COMPUTED_VALUE"""),"Mortality from influenza, pneumonia")</f>
        <v>Mortality from influenza, pneumonia</v>
      </c>
      <c r="B84" t="str">
        <f>IFERROR(__xludf.DUMMYFUNCTION("""COMPUTED_VALUE"""),"")</f>
        <v/>
      </c>
      <c r="C84" t="str">
        <f>IFERROR(__xludf.DUMMYFUNCTION("""COMPUTED_VALUE"""),"")</f>
        <v/>
      </c>
      <c r="D84" t="str">
        <f>IFERROR(__xludf.DUMMYFUNCTION("""COMPUTED_VALUE"""),"")</f>
        <v/>
      </c>
      <c r="E84" t="str">
        <f>IFERROR(__xludf.DUMMYFUNCTION("""COMPUTED_VALUE"""),"")</f>
        <v/>
      </c>
      <c r="F84" t="str">
        <f>IFERROR(__xludf.DUMMYFUNCTION("""COMPUTED_VALUE"""),"")</f>
        <v/>
      </c>
      <c r="G84" t="str">
        <f>IFERROR(__xludf.DUMMYFUNCTION("""COMPUTED_VALUE"""),"")</f>
        <v/>
      </c>
      <c r="H84" t="str">
        <f>IFERROR(__xludf.DUMMYFUNCTION("""COMPUTED_VALUE"""),"")</f>
        <v/>
      </c>
      <c r="I84" t="str">
        <f>IFERROR(__xludf.DUMMYFUNCTION("""COMPUTED_VALUE"""),"")</f>
        <v/>
      </c>
      <c r="J84" t="str">
        <f>IFERROR(__xludf.DUMMYFUNCTION("""COMPUTED_VALUE"""),"")</f>
        <v/>
      </c>
      <c r="K84" s="19" t="str">
        <f>IFERROR(__xludf.DUMMYFUNCTION("""COMPUTED_VALUE"""),"https://stats.oecd.org/index.aspx?DataSetCode=HEALTH_STAT")</f>
        <v>https://stats.oecd.org/index.aspx?DataSetCode=HEALTH_STAT</v>
      </c>
      <c r="L84" t="str">
        <f>IFERROR(__xludf.DUMMYFUNCTION("""COMPUTED_VALUE"""),"")</f>
        <v/>
      </c>
      <c r="M84" t="str">
        <f>IFERROR(__xludf.DUMMYFUNCTION("""COMPUTED_VALUE"""),"")</f>
        <v/>
      </c>
      <c r="N84" t="str">
        <f>IFERROR(__xludf.DUMMYFUNCTION("""COMPUTED_VALUE"""),"")</f>
        <v/>
      </c>
      <c r="O84" t="str">
        <f>IFERROR(__xludf.DUMMYFUNCTION("""COMPUTED_VALUE"""),"")</f>
        <v/>
      </c>
      <c r="P84"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84" t="str">
        <f>IFERROR(__xludf.DUMMYFUNCTION("""COMPUTED_VALUE"""),"")</f>
        <v/>
      </c>
      <c r="R84" t="str">
        <f>IFERROR(__xludf.DUMMYFUNCTION("""COMPUTED_VALUE"""),"")</f>
        <v/>
      </c>
      <c r="S84" t="str">
        <f>IFERROR(__xludf.DUMMYFUNCTION("""COMPUTED_VALUE"""),"BWHP-36")</f>
        <v>BWHP-36</v>
      </c>
      <c r="T84">
        <f>IFERROR(__xludf.DUMMYFUNCTION("""COMPUTED_VALUE"""),3.0)</f>
        <v>3</v>
      </c>
    </row>
    <row r="85">
      <c r="A85" t="str">
        <f>IFERROR(__xludf.DUMMYFUNCTION("""COMPUTED_VALUE"""),"Mortality from alcohol use")</f>
        <v>Mortality from alcohol use</v>
      </c>
      <c r="B85" t="str">
        <f>IFERROR(__xludf.DUMMYFUNCTION("""COMPUTED_VALUE"""),"")</f>
        <v/>
      </c>
      <c r="C85" t="str">
        <f>IFERROR(__xludf.DUMMYFUNCTION("""COMPUTED_VALUE"""),"")</f>
        <v/>
      </c>
      <c r="D85" t="str">
        <f>IFERROR(__xludf.DUMMYFUNCTION("""COMPUTED_VALUE"""),"")</f>
        <v/>
      </c>
      <c r="E85" t="str">
        <f>IFERROR(__xludf.DUMMYFUNCTION("""COMPUTED_VALUE"""),"")</f>
        <v/>
      </c>
      <c r="F85" t="str">
        <f>IFERROR(__xludf.DUMMYFUNCTION("""COMPUTED_VALUE"""),"")</f>
        <v/>
      </c>
      <c r="G85" t="str">
        <f>IFERROR(__xludf.DUMMYFUNCTION("""COMPUTED_VALUE"""),"")</f>
        <v/>
      </c>
      <c r="H85" t="str">
        <f>IFERROR(__xludf.DUMMYFUNCTION("""COMPUTED_VALUE"""),"Commonwealth Fund groups suicide, alcohol, and drug deaths")</f>
        <v>Commonwealth Fund groups suicide, alcohol, and drug deaths</v>
      </c>
      <c r="I85" t="str">
        <f>IFERROR(__xludf.DUMMYFUNCTION("""COMPUTED_VALUE"""),"")</f>
        <v/>
      </c>
      <c r="J85" s="19" t="str">
        <f>IFERROR(__xludf.DUMMYFUNCTION("""COMPUTED_VALUE"""),"https://interactives.commonwealthfund.org/2018/state-scorecard/files/Radley_State_Scorecard_2018.pdf ")</f>
        <v>https://interactives.commonwealthfund.org/2018/state-scorecard/files/Radley_State_Scorecard_2018.pdf </v>
      </c>
      <c r="K85" s="19" t="str">
        <f>IFERROR(__xludf.DUMMYFUNCTION("""COMPUTED_VALUE"""),"https://stats.oecd.org/index.aspx?DataSetCode=HEALTH_STAT")</f>
        <v>https://stats.oecd.org/index.aspx?DataSetCode=HEALTH_STAT</v>
      </c>
      <c r="L85" t="str">
        <f>IFERROR(__xludf.DUMMYFUNCTION("""COMPUTED_VALUE"""),"")</f>
        <v/>
      </c>
      <c r="M85" t="str">
        <f>IFERROR(__xludf.DUMMYFUNCTION("""COMPUTED_VALUE"""),"")</f>
        <v/>
      </c>
      <c r="N85" s="19" t="str">
        <f>IFERROR(__xludf.DUMMYFUNCTION("""COMPUTED_VALUE"""),"https://www.americashealthrankings.org/explore/annual")</f>
        <v>https://www.americashealthrankings.org/explore/annual</v>
      </c>
      <c r="O85" t="str">
        <f>IFERROR(__xludf.DUMMYFUNCTION("""COMPUTED_VALUE"""),"")</f>
        <v/>
      </c>
      <c r="P85" t="str">
        <f>IFERROR(__xludf.DUMMYFUNCTION("""COMPUTED_VALUE"""),"")</f>
        <v/>
      </c>
      <c r="Q85" t="str">
        <f>IFERROR(__xludf.DUMMYFUNCTION("""COMPUTED_VALUE"""),"")</f>
        <v/>
      </c>
      <c r="R85" t="str">
        <f>IFERROR(__xludf.DUMMYFUNCTION("""COMPUTED_VALUE"""),"")</f>
        <v/>
      </c>
      <c r="S85" t="str">
        <f>IFERROR(__xludf.DUMMYFUNCTION("""COMPUTED_VALUE"""),"")</f>
        <v/>
      </c>
      <c r="T85">
        <f>IFERROR(__xludf.DUMMYFUNCTION("""COMPUTED_VALUE"""),3.0)</f>
        <v>3</v>
      </c>
    </row>
    <row r="86">
      <c r="A86" t="str">
        <f>IFERROR(__xludf.DUMMYFUNCTION("""COMPUTED_VALUE"""),"Mortality from drunk driving")</f>
        <v>Mortality from drunk driving</v>
      </c>
      <c r="B86" t="str">
        <f>IFERROR(__xludf.DUMMYFUNCTION("""COMPUTED_VALUE"""),"")</f>
        <v/>
      </c>
      <c r="C86" t="str">
        <f>IFERROR(__xludf.DUMMYFUNCTION("""COMPUTED_VALUE"""),"")</f>
        <v/>
      </c>
      <c r="D86" t="str">
        <f>IFERROR(__xludf.DUMMYFUNCTION("""COMPUTED_VALUE"""),"")</f>
        <v/>
      </c>
      <c r="E86" t="str">
        <f>IFERROR(__xludf.DUMMYFUNCTION("""COMPUTED_VALUE"""),"")</f>
        <v/>
      </c>
      <c r="F86" t="str">
        <f>IFERROR(__xludf.DUMMYFUNCTION("""COMPUTED_VALUE"""),"")</f>
        <v/>
      </c>
      <c r="G86" t="str">
        <f>IFERROR(__xludf.DUMMYFUNCTION("""COMPUTED_VALUE"""),"")</f>
        <v/>
      </c>
      <c r="H86" t="str">
        <f>IFERROR(__xludf.DUMMYFUNCTION("""COMPUTED_VALUE"""),"")</f>
        <v/>
      </c>
      <c r="I86" t="str">
        <f>IFERROR(__xludf.DUMMYFUNCTION("""COMPUTED_VALUE"""),"")</f>
        <v/>
      </c>
      <c r="J86" t="str">
        <f>IFERROR(__xludf.DUMMYFUNCTION("""COMPUTED_VALUE"""),"")</f>
        <v/>
      </c>
      <c r="K86" s="19" t="str">
        <f>IFERROR(__xludf.DUMMYFUNCTION("""COMPUTED_VALUE"""),"https://stats.oecd.org/index.aspx?DataSetCode=HEALTH_STAT")</f>
        <v>https://stats.oecd.org/index.aspx?DataSetCode=HEALTH_STAT</v>
      </c>
      <c r="L86" t="str">
        <f>IFERROR(__xludf.DUMMYFUNCTION("""COMPUTED_VALUE"""),"")</f>
        <v/>
      </c>
      <c r="M86" t="str">
        <f>IFERROR(__xludf.DUMMYFUNCTION("""COMPUTED_VALUE"""),"")</f>
        <v/>
      </c>
      <c r="N86" t="str">
        <f>IFERROR(__xludf.DUMMYFUNCTION("""COMPUTED_VALUE"""),"")</f>
        <v/>
      </c>
      <c r="O86" t="str">
        <f>IFERROR(__xludf.DUMMYFUNCTION("""COMPUTED_VALUE"""),"")</f>
        <v/>
      </c>
      <c r="P86" t="str">
        <f>IFERROR(__xludf.DUMMYFUNCTION("""COMPUTED_VALUE"""),"BWHP-11")</f>
        <v>BWHP-11</v>
      </c>
      <c r="Q86" t="str">
        <f>IFERROR(__xludf.DUMMYFUNCTION("""COMPUTED_VALUE"""),"")</f>
        <v/>
      </c>
      <c r="R86" t="str">
        <f>IFERROR(__xludf.DUMMYFUNCTION("""COMPUTED_VALUE"""),"")</f>
        <v/>
      </c>
      <c r="S86" t="str">
        <f>IFERROR(__xludf.DUMMYFUNCTION("""COMPUTED_VALUE"""),"BWHP-11")</f>
        <v>BWHP-11</v>
      </c>
      <c r="T86">
        <f>IFERROR(__xludf.DUMMYFUNCTION("""COMPUTED_VALUE"""),3.0)</f>
        <v>3</v>
      </c>
    </row>
    <row r="87">
      <c r="A87" t="str">
        <f>IFERROR(__xludf.DUMMYFUNCTION("""COMPUTED_VALUE"""),"Mortality by communicable diseases")</f>
        <v>Mortality by communicable diseases</v>
      </c>
      <c r="B87" t="str">
        <f>IFERROR(__xludf.DUMMYFUNCTION("""COMPUTED_VALUE"""),"")</f>
        <v/>
      </c>
      <c r="C87" t="str">
        <f>IFERROR(__xludf.DUMMYFUNCTION("""COMPUTED_VALUE"""),"")</f>
        <v/>
      </c>
      <c r="D87" t="str">
        <f>IFERROR(__xludf.DUMMYFUNCTION("""COMPUTED_VALUE"""),"")</f>
        <v/>
      </c>
      <c r="E87" t="str">
        <f>IFERROR(__xludf.DUMMYFUNCTION("""COMPUTED_VALUE"""),"")</f>
        <v/>
      </c>
      <c r="F87" t="str">
        <f>IFERROR(__xludf.DUMMYFUNCTION("""COMPUTED_VALUE"""),"")</f>
        <v/>
      </c>
      <c r="G87" t="str">
        <f>IFERROR(__xludf.DUMMYFUNCTION("""COMPUTED_VALUE"""),"")</f>
        <v/>
      </c>
      <c r="H87" t="str">
        <f>IFERROR(__xludf.DUMMYFUNCTION("""COMPUTED_VALUE"""),"")</f>
        <v/>
      </c>
      <c r="I87" t="str">
        <f>IFERROR(__xludf.DUMMYFUNCTION("""COMPUTED_VALUE"""),"")</f>
        <v/>
      </c>
      <c r="J87" t="str">
        <f>IFERROR(__xludf.DUMMYFUNCTION("""COMPUTED_VALUE"""),"")</f>
        <v/>
      </c>
      <c r="K87" s="19" t="str">
        <f>IFERROR(__xludf.DUMMYFUNCTION("""COMPUTED_VALUE"""),"https://stats.oecd.org/index.aspx?DataSetCode=HEALTH_STAT")</f>
        <v>https://stats.oecd.org/index.aspx?DataSetCode=HEALTH_STAT</v>
      </c>
      <c r="L87" t="str">
        <f>IFERROR(__xludf.DUMMYFUNCTION("""COMPUTED_VALUE"""),"")</f>
        <v/>
      </c>
      <c r="M87" t="str">
        <f>IFERROR(__xludf.DUMMYFUNCTION("""COMPUTED_VALUE"""),"")</f>
        <v/>
      </c>
      <c r="N87" t="str">
        <f>IFERROR(__xludf.DUMMYFUNCTION("""COMPUTED_VALUE"""),"")</f>
        <v/>
      </c>
      <c r="O87" s="19" t="str">
        <f>IFERROR(__xludf.DUMMYFUNCTION("""COMPUTED_VALUE"""),"https://data.worldbank.org/indicator/#health")</f>
        <v>https://data.worldbank.org/indicator/#health</v>
      </c>
      <c r="P87" t="str">
        <f>IFERROR(__xludf.DUMMYFUNCTION("""COMPUTED_VALUE"""),"")</f>
        <v/>
      </c>
      <c r="Q87" t="str">
        <f>IFERROR(__xludf.DUMMYFUNCTION("""COMPUTED_VALUE"""),"")</f>
        <v/>
      </c>
      <c r="R87" t="str">
        <f>IFERROR(__xludf.DUMMYFUNCTION("""COMPUTED_VALUE"""),"")</f>
        <v/>
      </c>
      <c r="S87" t="str">
        <f>IFERROR(__xludf.DUMMYFUNCTION("""COMPUTED_VALUE"""),"BWHP-35")</f>
        <v>BWHP-35</v>
      </c>
      <c r="T87">
        <f>IFERROR(__xludf.DUMMYFUNCTION("""COMPUTED_VALUE"""),3.0)</f>
        <v>3</v>
      </c>
    </row>
    <row r="88">
      <c r="A88" t="str">
        <f>IFERROR(__xludf.DUMMYFUNCTION("""COMPUTED_VALUE"""),"Breast cancer deaths per 100,000 female population")</f>
        <v>Breast cancer deaths per 100,000 female population</v>
      </c>
      <c r="B88" t="str">
        <f>IFERROR(__xludf.DUMMYFUNCTION("""COMPUTED_VALUE"""),"")</f>
        <v/>
      </c>
      <c r="C88" t="str">
        <f>IFERROR(__xludf.DUMMYFUNCTION("""COMPUTED_VALUE"""),"")</f>
        <v/>
      </c>
      <c r="D88" t="str">
        <f>IFERROR(__xludf.DUMMYFUNCTION("""COMPUTED_VALUE"""),"")</f>
        <v/>
      </c>
      <c r="E88" t="str">
        <f>IFERROR(__xludf.DUMMYFUNCTION("""COMPUTED_VALUE"""),"")</f>
        <v/>
      </c>
      <c r="F88" t="str">
        <f>IFERROR(__xludf.DUMMYFUNCTION("""COMPUTED_VALUE"""),"")</f>
        <v/>
      </c>
      <c r="G88" t="str">
        <f>IFERROR(__xludf.DUMMYFUNCTION("""COMPUTED_VALUE"""),"")</f>
        <v/>
      </c>
      <c r="H88" t="str">
        <f>IFERROR(__xludf.DUMMYFUNCTION("""COMPUTED_VALUE"""),"")</f>
        <v/>
      </c>
      <c r="I88" t="str">
        <f>IFERROR(__xludf.DUMMYFUNCTION("""COMPUTED_VALUE"""),"")</f>
        <v/>
      </c>
      <c r="J88" s="19" t="str">
        <f>IFERROR(__xludf.DUMMYFUNCTION("""COMPUTED_VALUE"""),"https://interactives.commonwealthfund.org/2018/state-scorecard/files/Radley_State_Scorecard_2018.pdf")</f>
        <v>https://interactives.commonwealthfund.org/2018/state-scorecard/files/Radley_State_Scorecard_2018.pdf</v>
      </c>
      <c r="K88" s="19" t="str">
        <f>IFERROR(__xludf.DUMMYFUNCTION("""COMPUTED_VALUE"""),"https://stats.oecd.org/index.aspx?DataSetCode=HEALTH_STAT")</f>
        <v>https://stats.oecd.org/index.aspx?DataSetCode=HEALTH_STAT</v>
      </c>
      <c r="L88" t="str">
        <f>IFERROR(__xludf.DUMMYFUNCTION("""COMPUTED_VALUE"""),"")</f>
        <v/>
      </c>
      <c r="M88" t="str">
        <f>IFERROR(__xludf.DUMMYFUNCTION("""COMPUTED_VALUE"""),"")</f>
        <v/>
      </c>
      <c r="N88" s="19" t="str">
        <f>IFERROR(__xludf.DUMMYFUNCTION("""COMPUTED_VALUE"""),"https://www.americashealthrankings.org/explore/annual")</f>
        <v>https://www.americashealthrankings.org/explore/annual</v>
      </c>
      <c r="O88" t="str">
        <f>IFERROR(__xludf.DUMMYFUNCTION("""COMPUTED_VALUE"""),"")</f>
        <v/>
      </c>
      <c r="P88" t="str">
        <f>IFERROR(__xludf.DUMMYFUNCTION("""COMPUTED_VALUE"""),"")</f>
        <v/>
      </c>
      <c r="Q88" t="str">
        <f>IFERROR(__xludf.DUMMYFUNCTION("""COMPUTED_VALUE"""),"")</f>
        <v/>
      </c>
      <c r="R88" t="str">
        <f>IFERROR(__xludf.DUMMYFUNCTION("""COMPUTED_VALUE"""),"")</f>
        <v/>
      </c>
      <c r="S88" t="str">
        <f>IFERROR(__xludf.DUMMYFUNCTION("""COMPUTED_VALUE"""),"")</f>
        <v/>
      </c>
      <c r="T88">
        <f>IFERROR(__xludf.DUMMYFUNCTION("""COMPUTED_VALUE"""),3.0)</f>
        <v>3</v>
      </c>
    </row>
    <row r="89">
      <c r="A89" t="str">
        <f>IFERROR(__xludf.DUMMYFUNCTION("""COMPUTED_VALUE"""),"Colorectal cancer deaths per 100,000 population")</f>
        <v>Colorectal cancer deaths per 100,000 population</v>
      </c>
      <c r="B89" t="str">
        <f>IFERROR(__xludf.DUMMYFUNCTION("""COMPUTED_VALUE"""),"")</f>
        <v/>
      </c>
      <c r="C89" t="str">
        <f>IFERROR(__xludf.DUMMYFUNCTION("""COMPUTED_VALUE"""),"")</f>
        <v/>
      </c>
      <c r="D89" t="str">
        <f>IFERROR(__xludf.DUMMYFUNCTION("""COMPUTED_VALUE"""),"")</f>
        <v/>
      </c>
      <c r="E89" t="str">
        <f>IFERROR(__xludf.DUMMYFUNCTION("""COMPUTED_VALUE"""),"")</f>
        <v/>
      </c>
      <c r="F89" t="str">
        <f>IFERROR(__xludf.DUMMYFUNCTION("""COMPUTED_VALUE"""),"")</f>
        <v/>
      </c>
      <c r="G89" t="str">
        <f>IFERROR(__xludf.DUMMYFUNCTION("""COMPUTED_VALUE"""),"")</f>
        <v/>
      </c>
      <c r="H89" t="str">
        <f>IFERROR(__xludf.DUMMYFUNCTION("""COMPUTED_VALUE"""),"")</f>
        <v/>
      </c>
      <c r="I89" t="str">
        <f>IFERROR(__xludf.DUMMYFUNCTION("""COMPUTED_VALUE"""),"")</f>
        <v/>
      </c>
      <c r="J89" s="19" t="str">
        <f>IFERROR(__xludf.DUMMYFUNCTION("""COMPUTED_VALUE"""),"https://interactives.commonwealthfund.org/2018/state-scorecard/files/Radley_State_Scorecard_2018.pdf")</f>
        <v>https://interactives.commonwealthfund.org/2018/state-scorecard/files/Radley_State_Scorecard_2018.pdf</v>
      </c>
      <c r="K89" s="19" t="str">
        <f>IFERROR(__xludf.DUMMYFUNCTION("""COMPUTED_VALUE"""),"https://stats.oecd.org/index.aspx?DataSetCode=HEALTH_STAT")</f>
        <v>https://stats.oecd.org/index.aspx?DataSetCode=HEALTH_STAT</v>
      </c>
      <c r="L89" t="str">
        <f>IFERROR(__xludf.DUMMYFUNCTION("""COMPUTED_VALUE"""),"")</f>
        <v/>
      </c>
      <c r="M89" t="str">
        <f>IFERROR(__xludf.DUMMYFUNCTION("""COMPUTED_VALUE"""),"")</f>
        <v/>
      </c>
      <c r="N89" s="19" t="str">
        <f>IFERROR(__xludf.DUMMYFUNCTION("""COMPUTED_VALUE"""),"https://www.americashealthrankings.org/explore/annual")</f>
        <v>https://www.americashealthrankings.org/explore/annual</v>
      </c>
      <c r="O89" t="str">
        <f>IFERROR(__xludf.DUMMYFUNCTION("""COMPUTED_VALUE"""),"")</f>
        <v/>
      </c>
      <c r="P89" t="str">
        <f>IFERROR(__xludf.DUMMYFUNCTION("""COMPUTED_VALUE"""),"")</f>
        <v/>
      </c>
      <c r="Q89" t="str">
        <f>IFERROR(__xludf.DUMMYFUNCTION("""COMPUTED_VALUE"""),"")</f>
        <v/>
      </c>
      <c r="R89" t="str">
        <f>IFERROR(__xludf.DUMMYFUNCTION("""COMPUTED_VALUE"""),"")</f>
        <v/>
      </c>
      <c r="S89" t="str">
        <f>IFERROR(__xludf.DUMMYFUNCTION("""COMPUTED_VALUE"""),"")</f>
        <v/>
      </c>
      <c r="T89">
        <f>IFERROR(__xludf.DUMMYFUNCTION("""COMPUTED_VALUE"""),3.0)</f>
        <v>3</v>
      </c>
    </row>
    <row r="90">
      <c r="A90" t="str">
        <f>IFERROR(__xludf.DUMMYFUNCTION("""COMPUTED_VALUE"""),"New cases of vaccine-preventable diseases")</f>
        <v>New cases of vaccine-preventable diseases</v>
      </c>
      <c r="B90" t="str">
        <f>IFERROR(__xludf.DUMMYFUNCTION("""COMPUTED_VALUE"""),"")</f>
        <v/>
      </c>
      <c r="C90" t="str">
        <f>IFERROR(__xludf.DUMMYFUNCTION("""COMPUTED_VALUE"""),"")</f>
        <v/>
      </c>
      <c r="D90" t="str">
        <f>IFERROR(__xludf.DUMMYFUNCTION("""COMPUTED_VALUE"""),"")</f>
        <v/>
      </c>
      <c r="E90" t="str">
        <f>IFERROR(__xludf.DUMMYFUNCTION("""COMPUTED_VALUE"""),"")</f>
        <v/>
      </c>
      <c r="F90" t="str">
        <f>IFERROR(__xludf.DUMMYFUNCTION("""COMPUTED_VALUE"""),"")</f>
        <v/>
      </c>
      <c r="G90" t="str">
        <f>IFERROR(__xludf.DUMMYFUNCTION("""COMPUTED_VALUE"""),"")</f>
        <v/>
      </c>
      <c r="H90" t="str">
        <f>IFERROR(__xludf.DUMMYFUNCTION("""COMPUTED_VALUE"""),"")</f>
        <v/>
      </c>
      <c r="I9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0" t="str">
        <f>IFERROR(__xludf.DUMMYFUNCTION("""COMPUTED_VALUE"""),"")</f>
        <v/>
      </c>
      <c r="K90" s="19" t="str">
        <f>IFERROR(__xludf.DUMMYFUNCTION("""COMPUTED_VALUE"""),"https://stats.oecd.org/index.aspx?DataSetCode=HEALTH_STAT")</f>
        <v>https://stats.oecd.org/index.aspx?DataSetCode=HEALTH_STAT</v>
      </c>
      <c r="L90" t="str">
        <f>IFERROR(__xludf.DUMMYFUNCTION("""COMPUTED_VALUE"""),"")</f>
        <v/>
      </c>
      <c r="M90" t="str">
        <f>IFERROR(__xludf.DUMMYFUNCTION("""COMPUTED_VALUE"""),"")</f>
        <v/>
      </c>
      <c r="N90" t="str">
        <f>IFERROR(__xludf.DUMMYFUNCTION("""COMPUTED_VALUE"""),"")</f>
        <v/>
      </c>
      <c r="O90" t="str">
        <f>IFERROR(__xludf.DUMMYFUNCTION("""COMPUTED_VALUE"""),"")</f>
        <v/>
      </c>
      <c r="P90" t="str">
        <f>IFERROR(__xludf.DUMMYFUNCTION("""COMPUTED_VALUE"""),"")</f>
        <v/>
      </c>
      <c r="Q90" s="19" t="str">
        <f>IFERROR(__xludf.DUMMYFUNCTION("""COMPUTED_VALUE"""),"https://www.cdc.gov/nchs/healthy_people/hp2020/hp2020_indicators.htm")</f>
        <v>https://www.cdc.gov/nchs/healthy_people/hp2020/hp2020_indicators.htm</v>
      </c>
      <c r="R90" t="str">
        <f>IFERROR(__xludf.DUMMYFUNCTION("""COMPUTED_VALUE"""),"")</f>
        <v/>
      </c>
      <c r="S90" t="str">
        <f>IFERROR(__xludf.DUMMYFUNCTION("""COMPUTED_VALUE"""),"")</f>
        <v/>
      </c>
      <c r="T90">
        <f>IFERROR(__xludf.DUMMYFUNCTION("""COMPUTED_VALUE"""),3.0)</f>
        <v>3</v>
      </c>
    </row>
    <row r="91">
      <c r="A91" t="str">
        <f>IFERROR(__xludf.DUMMYFUNCTION("""COMPUTED_VALUE"""),"Malaria incidence rate")</f>
        <v>Malaria incidence rate</v>
      </c>
      <c r="B91" t="str">
        <f>IFERROR(__xludf.DUMMYFUNCTION("""COMPUTED_VALUE"""),"")</f>
        <v/>
      </c>
      <c r="C91" t="str">
        <f>IFERROR(__xludf.DUMMYFUNCTION("""COMPUTED_VALUE"""),"")</f>
        <v/>
      </c>
      <c r="D91" t="str">
        <f>IFERROR(__xludf.DUMMYFUNCTION("""COMPUTED_VALUE"""),"")</f>
        <v/>
      </c>
      <c r="E91" t="str">
        <f>IFERROR(__xludf.DUMMYFUNCTION("""COMPUTED_VALUE"""),"")</f>
        <v/>
      </c>
      <c r="F91" t="str">
        <f>IFERROR(__xludf.DUMMYFUNCTION("""COMPUTED_VALUE"""),"")</f>
        <v/>
      </c>
      <c r="G91" t="str">
        <f>IFERROR(__xludf.DUMMYFUNCTION("""COMPUTED_VALUE"""),"")</f>
        <v/>
      </c>
      <c r="H91" t="str">
        <f>IFERROR(__xludf.DUMMYFUNCTION("""COMPUTED_VALUE"""),"SDG 3.3.3")</f>
        <v>SDG 3.3.3</v>
      </c>
      <c r="I9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1" t="str">
        <f>IFERROR(__xludf.DUMMYFUNCTION("""COMPUTED_VALUE"""),"")</f>
        <v/>
      </c>
      <c r="K91" s="19" t="str">
        <f>IFERROR(__xludf.DUMMYFUNCTION("""COMPUTED_VALUE"""),"https://stats.oecd.org/index.aspx?DataSetCode=HEALTH_STAT")</f>
        <v>https://stats.oecd.org/index.aspx?DataSetCode=HEALTH_STAT</v>
      </c>
      <c r="L91" t="str">
        <f>IFERROR(__xludf.DUMMYFUNCTION("""COMPUTED_VALUE"""),"")</f>
        <v/>
      </c>
      <c r="M91" s="19" t="str">
        <f>IFERROR(__xludf.DUMMYFUNCTION("""COMPUTED_VALUE"""),"https://www.gapminder.org/data/")</f>
        <v>https://www.gapminder.org/data/</v>
      </c>
      <c r="N91" t="str">
        <f>IFERROR(__xludf.DUMMYFUNCTION("""COMPUTED_VALUE"""),"")</f>
        <v/>
      </c>
      <c r="O91" t="str">
        <f>IFERROR(__xludf.DUMMYFUNCTION("""COMPUTED_VALUE"""),"")</f>
        <v/>
      </c>
      <c r="P91" t="str">
        <f>IFERROR(__xludf.DUMMYFUNCTION("""COMPUTED_VALUE"""),"")</f>
        <v/>
      </c>
      <c r="Q91" t="str">
        <f>IFERROR(__xludf.DUMMYFUNCTION("""COMPUTED_VALUE"""),"")</f>
        <v/>
      </c>
      <c r="R91" t="str">
        <f>IFERROR(__xludf.DUMMYFUNCTION("""COMPUTED_VALUE"""),"")</f>
        <v/>
      </c>
      <c r="S91" t="str">
        <f>IFERROR(__xludf.DUMMYFUNCTION("""COMPUTED_VALUE"""),"")</f>
        <v/>
      </c>
      <c r="T91">
        <f>IFERROR(__xludf.DUMMYFUNCTION("""COMPUTED_VALUE"""),3.0)</f>
        <v>3</v>
      </c>
    </row>
    <row r="92">
      <c r="A92" t="str">
        <f>IFERROR(__xludf.DUMMYFUNCTION("""COMPUTED_VALUE"""),"Cancer incidence")</f>
        <v>Cancer incidence</v>
      </c>
      <c r="B92" t="str">
        <f>IFERROR(__xludf.DUMMYFUNCTION("""COMPUTED_VALUE"""),"")</f>
        <v/>
      </c>
      <c r="C92" t="str">
        <f>IFERROR(__xludf.DUMMYFUNCTION("""COMPUTED_VALUE"""),"")</f>
        <v/>
      </c>
      <c r="D92" t="str">
        <f>IFERROR(__xludf.DUMMYFUNCTION("""COMPUTED_VALUE"""),"")</f>
        <v/>
      </c>
      <c r="E92" t="str">
        <f>IFERROR(__xludf.DUMMYFUNCTION("""COMPUTED_VALUE"""),"")</f>
        <v/>
      </c>
      <c r="F92" t="str">
        <f>IFERROR(__xludf.DUMMYFUNCTION("""COMPUTED_VALUE"""),"")</f>
        <v/>
      </c>
      <c r="G92" t="str">
        <f>IFERROR(__xludf.DUMMYFUNCTION("""COMPUTED_VALUE"""),"")</f>
        <v/>
      </c>
      <c r="H92" t="str">
        <f>IFERROR(__xludf.DUMMYFUNCTION("""COMPUTED_VALUE"""),"Should be broken down by type of cancer")</f>
        <v>Should be broken down by type of cancer</v>
      </c>
      <c r="I9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2" t="str">
        <f>IFERROR(__xludf.DUMMYFUNCTION("""COMPUTED_VALUE"""),"")</f>
        <v/>
      </c>
      <c r="K92" s="19" t="str">
        <f>IFERROR(__xludf.DUMMYFUNCTION("""COMPUTED_VALUE"""),"https://stats.oecd.org/index.aspx?DataSetCode=HEALTH_STAT")</f>
        <v>https://stats.oecd.org/index.aspx?DataSetCode=HEALTH_STAT</v>
      </c>
      <c r="L92" t="str">
        <f>IFERROR(__xludf.DUMMYFUNCTION("""COMPUTED_VALUE"""),"")</f>
        <v/>
      </c>
      <c r="M92" s="19" t="str">
        <f>IFERROR(__xludf.DUMMYFUNCTION("""COMPUTED_VALUE"""),"https://www.gapminder.org/data/")</f>
        <v>https://www.gapminder.org/data/</v>
      </c>
      <c r="N92" t="str">
        <f>IFERROR(__xludf.DUMMYFUNCTION("""COMPUTED_VALUE"""),"")</f>
        <v/>
      </c>
      <c r="O92" t="str">
        <f>IFERROR(__xludf.DUMMYFUNCTION("""COMPUTED_VALUE"""),"")</f>
        <v/>
      </c>
      <c r="P92" t="str">
        <f>IFERROR(__xludf.DUMMYFUNCTION("""COMPUTED_VALUE"""),"")</f>
        <v/>
      </c>
      <c r="Q92" t="str">
        <f>IFERROR(__xludf.DUMMYFUNCTION("""COMPUTED_VALUE"""),"")</f>
        <v/>
      </c>
      <c r="R92" t="str">
        <f>IFERROR(__xludf.DUMMYFUNCTION("""COMPUTED_VALUE"""),"")</f>
        <v/>
      </c>
      <c r="S92" t="str">
        <f>IFERROR(__xludf.DUMMYFUNCTION("""COMPUTED_VALUE"""),"")</f>
        <v/>
      </c>
      <c r="T92">
        <f>IFERROR(__xludf.DUMMYFUNCTION("""COMPUTED_VALUE"""),3.0)</f>
        <v>3</v>
      </c>
    </row>
    <row r="93">
      <c r="A93" t="str">
        <f>IFERROR(__xludf.DUMMYFUNCTION("""COMPUTED_VALUE"""),"Children aged under 5 years who are overweight")</f>
        <v>Children aged under 5 years who are overweight</v>
      </c>
      <c r="B93" t="str">
        <f>IFERROR(__xludf.DUMMYFUNCTION("""COMPUTED_VALUE"""),"")</f>
        <v/>
      </c>
      <c r="C93" t="str">
        <f>IFERROR(__xludf.DUMMYFUNCTION("""COMPUTED_VALUE"""),"")</f>
        <v/>
      </c>
      <c r="D93" t="str">
        <f>IFERROR(__xludf.DUMMYFUNCTION("""COMPUTED_VALUE"""),"")</f>
        <v/>
      </c>
      <c r="E93" t="str">
        <f>IFERROR(__xludf.DUMMYFUNCTION("""COMPUTED_VALUE"""),"")</f>
        <v/>
      </c>
      <c r="F93" t="str">
        <f>IFERROR(__xludf.DUMMYFUNCTION("""COMPUTED_VALUE"""),"")</f>
        <v/>
      </c>
      <c r="G93" t="str">
        <f>IFERROR(__xludf.DUMMYFUNCTION("""COMPUTED_VALUE"""),"")</f>
        <v/>
      </c>
      <c r="H93" t="str">
        <f>IFERROR(__xludf.DUMMYFUNCTION("""COMPUTED_VALUE"""),"SDG 2.2.2")</f>
        <v>SDG 2.2.2</v>
      </c>
      <c r="I9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3" t="str">
        <f>IFERROR(__xludf.DUMMYFUNCTION("""COMPUTED_VALUE"""),"")</f>
        <v/>
      </c>
      <c r="K93" t="str">
        <f>IFERROR(__xludf.DUMMYFUNCTION("""COMPUTED_VALUE"""),"")</f>
        <v/>
      </c>
      <c r="L93" t="str">
        <f>IFERROR(__xludf.DUMMYFUNCTION("""COMPUTED_VALUE"""),"")</f>
        <v/>
      </c>
      <c r="M93" t="str">
        <f>IFERROR(__xludf.DUMMYFUNCTION("""COMPUTED_VALUE"""),"")</f>
        <v/>
      </c>
      <c r="N93" t="str">
        <f>IFERROR(__xludf.DUMMYFUNCTION("""COMPUTED_VALUE"""),"")</f>
        <v/>
      </c>
      <c r="O93" t="str">
        <f>IFERROR(__xludf.DUMMYFUNCTION("""COMPUTED_VALUE"""),"")</f>
        <v/>
      </c>
      <c r="P93" t="str">
        <f>IFERROR(__xludf.DUMMYFUNCTION("""COMPUTED_VALUE"""),"")</f>
        <v/>
      </c>
      <c r="Q93" s="19" t="str">
        <f>IFERROR(__xludf.DUMMYFUNCTION("""COMPUTED_VALUE"""),"https://wwwn.cdc.gov/psr/NationalSummary/NationalSummary.aspx")</f>
        <v>https://wwwn.cdc.gov/psr/NationalSummary/NationalSummary.aspx</v>
      </c>
      <c r="R93" t="str">
        <f>IFERROR(__xludf.DUMMYFUNCTION("""COMPUTED_VALUE"""),"")</f>
        <v/>
      </c>
      <c r="S93" t="str">
        <f>IFERROR(__xludf.DUMMYFUNCTION("""COMPUTED_VALUE"""),"BWHP-31")</f>
        <v>BWHP-31</v>
      </c>
      <c r="T93">
        <f>IFERROR(__xludf.DUMMYFUNCTION("""COMPUTED_VALUE"""),3.0)</f>
        <v>3</v>
      </c>
    </row>
    <row r="94">
      <c r="A94" t="str">
        <f>IFERROR(__xludf.DUMMYFUNCTION("""COMPUTED_VALUE"""),"Mean daily intake of total vegetables")</f>
        <v>Mean daily intake of total vegetables</v>
      </c>
      <c r="B94" t="str">
        <f>IFERROR(__xludf.DUMMYFUNCTION("""COMPUTED_VALUE"""),"")</f>
        <v/>
      </c>
      <c r="C94" t="str">
        <f>IFERROR(__xludf.DUMMYFUNCTION("""COMPUTED_VALUE"""),"")</f>
        <v/>
      </c>
      <c r="D94" t="str">
        <f>IFERROR(__xludf.DUMMYFUNCTION("""COMPUTED_VALUE"""),"")</f>
        <v/>
      </c>
      <c r="E94" t="str">
        <f>IFERROR(__xludf.DUMMYFUNCTION("""COMPUTED_VALUE"""),"")</f>
        <v/>
      </c>
      <c r="F94" t="str">
        <f>IFERROR(__xludf.DUMMYFUNCTION("""COMPUTED_VALUE"""),"")</f>
        <v/>
      </c>
      <c r="G94" t="str">
        <f>IFERROR(__xludf.DUMMYFUNCTION("""COMPUTED_VALUE"""),"")</f>
        <v/>
      </c>
      <c r="H94" t="str">
        <f>IFERROR(__xludf.DUMMYFUNCTION("""COMPUTED_VALUE"""),"OECD breaks out fat, calorie, protein, sugar, fruits, vegetable supply along with consumption; Gapminder = sugar per person;")</f>
        <v>OECD breaks out fat, calorie, protein, sugar, fruits, vegetable supply along with consumption; Gapminder = sugar per person;</v>
      </c>
      <c r="I94" t="str">
        <f>IFERROR(__xludf.DUMMYFUNCTION("""COMPUTED_VALUE"""),"")</f>
        <v/>
      </c>
      <c r="J94" t="str">
        <f>IFERROR(__xludf.DUMMYFUNCTION("""COMPUTED_VALUE"""),"")</f>
        <v/>
      </c>
      <c r="K94" s="19" t="str">
        <f>IFERROR(__xludf.DUMMYFUNCTION("""COMPUTED_VALUE"""),"https://stats.oecd.org/index.aspx?DataSetCode=HEALTH_STAT#")</f>
        <v>https://stats.oecd.org/index.aspx?DataSetCode=HEALTH_STAT#</v>
      </c>
      <c r="L94" t="str">
        <f>IFERROR(__xludf.DUMMYFUNCTION("""COMPUTED_VALUE"""),"")</f>
        <v/>
      </c>
      <c r="M94" s="19" t="str">
        <f>IFERROR(__xludf.DUMMYFUNCTION("""COMPUTED_VALUE"""),"https://www.gapminder.org/data/")</f>
        <v>https://www.gapminder.org/data/</v>
      </c>
      <c r="N94" t="str">
        <f>IFERROR(__xludf.DUMMYFUNCTION("""COMPUTED_VALUE"""),"")</f>
        <v/>
      </c>
      <c r="O94" t="str">
        <f>IFERROR(__xludf.DUMMYFUNCTION("""COMPUTED_VALUE"""),"")</f>
        <v/>
      </c>
      <c r="P94" t="str">
        <f>IFERROR(__xludf.DUMMYFUNCTION("""COMPUTED_VALUE"""),"")</f>
        <v/>
      </c>
      <c r="Q94" s="19" t="str">
        <f>IFERROR(__xludf.DUMMYFUNCTION("""COMPUTED_VALUE"""),"https://www.cdc.gov/nchs/healthy_people/hp2020/hp2020_indicators.htm")</f>
        <v>https://www.cdc.gov/nchs/healthy_people/hp2020/hp2020_indicators.htm</v>
      </c>
      <c r="R94" t="str">
        <f>IFERROR(__xludf.DUMMYFUNCTION("""COMPUTED_VALUE"""),"")</f>
        <v/>
      </c>
      <c r="S94" t="str">
        <f>IFERROR(__xludf.DUMMYFUNCTION("""COMPUTED_VALUE"""),"")</f>
        <v/>
      </c>
      <c r="T94">
        <f>IFERROR(__xludf.DUMMYFUNCTION("""COMPUTED_VALUE"""),3.0)</f>
        <v>3</v>
      </c>
    </row>
    <row r="95">
      <c r="A95" t="str">
        <f>IFERROR(__xludf.DUMMYFUNCTION("""COMPUTED_VALUE"""),"Population using safely managed drinking-water services")</f>
        <v>Population using safely managed drinking-water services</v>
      </c>
      <c r="B95" t="str">
        <f>IFERROR(__xludf.DUMMYFUNCTION("""COMPUTED_VALUE"""),"")</f>
        <v/>
      </c>
      <c r="C95" t="str">
        <f>IFERROR(__xludf.DUMMYFUNCTION("""COMPUTED_VALUE"""),"")</f>
        <v/>
      </c>
      <c r="D95" t="str">
        <f>IFERROR(__xludf.DUMMYFUNCTION("""COMPUTED_VALUE"""),"")</f>
        <v/>
      </c>
      <c r="E95" t="str">
        <f>IFERROR(__xludf.DUMMYFUNCTION("""COMPUTED_VALUE"""),"")</f>
        <v/>
      </c>
      <c r="F95" t="str">
        <f>IFERROR(__xludf.DUMMYFUNCTION("""COMPUTED_VALUE"""),"")</f>
        <v/>
      </c>
      <c r="G95" t="str">
        <f>IFERROR(__xludf.DUMMYFUNCTION("""COMPUTED_VALUE"""),"")</f>
        <v/>
      </c>
      <c r="H95" t="str">
        <f>IFERROR(__xludf.DUMMYFUNCTION("""COMPUTED_VALUE"""),"SDG 6.1.1")</f>
        <v>SDG 6.1.1</v>
      </c>
      <c r="I9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5" t="str">
        <f>IFERROR(__xludf.DUMMYFUNCTION("""COMPUTED_VALUE"""),"")</f>
        <v/>
      </c>
      <c r="K95" t="str">
        <f>IFERROR(__xludf.DUMMYFUNCTION("""COMPUTED_VALUE"""),"")</f>
        <v/>
      </c>
      <c r="L95" t="str">
        <f>IFERROR(__xludf.DUMMYFUNCTION("""COMPUTED_VALUE"""),"")</f>
        <v/>
      </c>
      <c r="M95" t="str">
        <f>IFERROR(__xludf.DUMMYFUNCTION("""COMPUTED_VALUE"""),"")</f>
        <v/>
      </c>
      <c r="N95" t="str">
        <f>IFERROR(__xludf.DUMMYFUNCTION("""COMPUTED_VALUE"""),"")</f>
        <v/>
      </c>
      <c r="O95" t="str">
        <f>IFERROR(__xludf.DUMMYFUNCTION("""COMPUTED_VALUE"""),"")</f>
        <v/>
      </c>
      <c r="P95" t="str">
        <f>IFERROR(__xludf.DUMMYFUNCTION("""COMPUTED_VALUE"""),"")</f>
        <v/>
      </c>
      <c r="Q95" t="str">
        <f>IFERROR(__xludf.DUMMYFUNCTION("""COMPUTED_VALUE"""),"")</f>
        <v/>
      </c>
      <c r="R95" t="str">
        <f>IFERROR(__xludf.DUMMYFUNCTION("""COMPUTED_VALUE"""),"CHSI")</f>
        <v>CHSI</v>
      </c>
      <c r="S95" t="str">
        <f>IFERROR(__xludf.DUMMYFUNCTION("""COMPUTED_VALUE"""),"BWHP-33")</f>
        <v>BWHP-33</v>
      </c>
      <c r="T95">
        <f>IFERROR(__xludf.DUMMYFUNCTION("""COMPUTED_VALUE"""),3.0)</f>
        <v>3</v>
      </c>
    </row>
    <row r="96">
      <c r="A96" t="str">
        <f>IFERROR(__xludf.DUMMYFUNCTION("""COMPUTED_VALUE"""),"Children exposed to secondhand smoke (tobacco)")</f>
        <v>Children exposed to secondhand smoke (tobacco)</v>
      </c>
      <c r="B96" t="str">
        <f>IFERROR(__xludf.DUMMYFUNCTION("""COMPUTED_VALUE"""),"")</f>
        <v/>
      </c>
      <c r="C96" t="str">
        <f>IFERROR(__xludf.DUMMYFUNCTION("""COMPUTED_VALUE"""),"")</f>
        <v/>
      </c>
      <c r="D96" t="str">
        <f>IFERROR(__xludf.DUMMYFUNCTION("""COMPUTED_VALUE"""),"")</f>
        <v/>
      </c>
      <c r="E96" t="str">
        <f>IFERROR(__xludf.DUMMYFUNCTION("""COMPUTED_VALUE"""),"")</f>
        <v/>
      </c>
      <c r="F96" t="str">
        <f>IFERROR(__xludf.DUMMYFUNCTION("""COMPUTED_VALUE"""),"")</f>
        <v/>
      </c>
      <c r="G96" t="str">
        <f>IFERROR(__xludf.DUMMYFUNCTION("""COMPUTED_VALUE"""),"Tobacco")</f>
        <v>Tobacco</v>
      </c>
      <c r="H96" t="str">
        <f>IFERROR(__xludf.DUMMYFUNCTION("""COMPUTED_VALUE"""),"")</f>
        <v/>
      </c>
      <c r="I96" t="str">
        <f>IFERROR(__xludf.DUMMYFUNCTION("""COMPUTED_VALUE"""),"")</f>
        <v/>
      </c>
      <c r="J96" t="str">
        <f>IFERROR(__xludf.DUMMYFUNCTION("""COMPUTED_VALUE"""),"")</f>
        <v/>
      </c>
      <c r="K96" t="str">
        <f>IFERROR(__xludf.DUMMYFUNCTION("""COMPUTED_VALUE"""),"")</f>
        <v/>
      </c>
      <c r="L96" t="str">
        <f>IFERROR(__xludf.DUMMYFUNCTION("""COMPUTED_VALUE"""),"")</f>
        <v/>
      </c>
      <c r="M96" t="str">
        <f>IFERROR(__xludf.DUMMYFUNCTION("""COMPUTED_VALUE"""),"")</f>
        <v/>
      </c>
      <c r="N96" s="19" t="str">
        <f>IFERROR(__xludf.DUMMYFUNCTION("""COMPUTED_VALUE"""),"https://www.americashealthrankings.org/explore/annual")</f>
        <v>https://www.americashealthrankings.org/explore/annual</v>
      </c>
      <c r="O96" t="str">
        <f>IFERROR(__xludf.DUMMYFUNCTION("""COMPUTED_VALUE"""),"")</f>
        <v/>
      </c>
      <c r="P96" t="str">
        <f>IFERROR(__xludf.DUMMYFUNCTION("""COMPUTED_VALUE"""),"")</f>
        <v/>
      </c>
      <c r="Q96" s="19" t="str">
        <f>IFERROR(__xludf.DUMMYFUNCTION("""COMPUTED_VALUE"""),"https://www.cdc.gov/nchs/healthy_people/hp2020/hp2020_indicators.htm")</f>
        <v>https://www.cdc.gov/nchs/healthy_people/hp2020/hp2020_indicators.htm</v>
      </c>
      <c r="R96" t="str">
        <f>IFERROR(__xludf.DUMMYFUNCTION("""COMPUTED_VALUE"""),"")</f>
        <v/>
      </c>
      <c r="S96" t="str">
        <f>IFERROR(__xludf.DUMMYFUNCTION("""COMPUTED_VALUE"""),"BWHP-30")</f>
        <v>BWHP-30</v>
      </c>
      <c r="T96">
        <f>IFERROR(__xludf.DUMMYFUNCTION("""COMPUTED_VALUE"""),3.0)</f>
        <v>3</v>
      </c>
    </row>
    <row r="97">
      <c r="A97" t="str">
        <f>IFERROR(__xludf.DUMMYFUNCTION("""COMPUTED_VALUE"""),"Frequency rates of occupational injuries")</f>
        <v>Frequency rates of occupational injuries</v>
      </c>
      <c r="B97" t="str">
        <f>IFERROR(__xludf.DUMMYFUNCTION("""COMPUTED_VALUE"""),"")</f>
        <v/>
      </c>
      <c r="C97" t="str">
        <f>IFERROR(__xludf.DUMMYFUNCTION("""COMPUTED_VALUE"""),"")</f>
        <v/>
      </c>
      <c r="D97" t="str">
        <f>IFERROR(__xludf.DUMMYFUNCTION("""COMPUTED_VALUE"""),"")</f>
        <v/>
      </c>
      <c r="E97" t="str">
        <f>IFERROR(__xludf.DUMMYFUNCTION("""COMPUTED_VALUE"""),"")</f>
        <v/>
      </c>
      <c r="F97" t="str">
        <f>IFERROR(__xludf.DUMMYFUNCTION("""COMPUTED_VALUE"""),"")</f>
        <v/>
      </c>
      <c r="G97" t="str">
        <f>IFERROR(__xludf.DUMMYFUNCTION("""COMPUTED_VALUE"""),"")</f>
        <v/>
      </c>
      <c r="H97" t="str">
        <f>IFERROR(__xludf.DUMMYFUNCTION("""COMPUTED_VALUE"""),"SDG 8.8.1")</f>
        <v>SDG 8.8.1</v>
      </c>
      <c r="I9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7" t="str">
        <f>IFERROR(__xludf.DUMMYFUNCTION("""COMPUTED_VALUE"""),"")</f>
        <v/>
      </c>
      <c r="K97" t="str">
        <f>IFERROR(__xludf.DUMMYFUNCTION("""COMPUTED_VALUE"""),"")</f>
        <v/>
      </c>
      <c r="L97" t="str">
        <f>IFERROR(__xludf.DUMMYFUNCTION("""COMPUTED_VALUE"""),"")</f>
        <v/>
      </c>
      <c r="M97" t="str">
        <f>IFERROR(__xludf.DUMMYFUNCTION("""COMPUTED_VALUE"""),"")</f>
        <v/>
      </c>
      <c r="N97" t="str">
        <f>IFERROR(__xludf.DUMMYFUNCTION("""COMPUTED_VALUE"""),"")</f>
        <v/>
      </c>
      <c r="O97" t="str">
        <f>IFERROR(__xludf.DUMMYFUNCTION("""COMPUTED_VALUE"""),"")</f>
        <v/>
      </c>
      <c r="P97" t="str">
        <f>IFERROR(__xludf.DUMMYFUNCTION("""COMPUTED_VALUE"""),"")</f>
        <v/>
      </c>
      <c r="Q97" s="19" t="str">
        <f>IFERROR(__xludf.DUMMYFUNCTION("""COMPUTED_VALUE"""),"https://www.cdc.gov/nchs/healthy_people/hp2020/hp2020_indicators.htm")</f>
        <v>https://www.cdc.gov/nchs/healthy_people/hp2020/hp2020_indicators.htm</v>
      </c>
      <c r="R97" t="str">
        <f>IFERROR(__xludf.DUMMYFUNCTION("""COMPUTED_VALUE"""),"CHSI")</f>
        <v>CHSI</v>
      </c>
      <c r="S97" t="str">
        <f>IFERROR(__xludf.DUMMYFUNCTION("""COMPUTED_VALUE"""),"")</f>
        <v/>
      </c>
      <c r="T97">
        <f>IFERROR(__xludf.DUMMYFUNCTION("""COMPUTED_VALUE"""),3.0)</f>
        <v>3</v>
      </c>
    </row>
    <row r="98">
      <c r="A98" t="str">
        <f>IFERROR(__xludf.DUMMYFUNCTION("""COMPUTED_VALUE"""),"Demand for family planning satisfied with modern methods")</f>
        <v>Demand for family planning satisfied with modern methods</v>
      </c>
      <c r="B98" t="str">
        <f>IFERROR(__xludf.DUMMYFUNCTION("""COMPUTED_VALUE"""),"")</f>
        <v/>
      </c>
      <c r="C98" t="str">
        <f>IFERROR(__xludf.DUMMYFUNCTION("""COMPUTED_VALUE"""),"")</f>
        <v/>
      </c>
      <c r="D98" t="str">
        <f>IFERROR(__xludf.DUMMYFUNCTION("""COMPUTED_VALUE"""),"")</f>
        <v/>
      </c>
      <c r="E98" t="str">
        <f>IFERROR(__xludf.DUMMYFUNCTION("""COMPUTED_VALUE"""),"")</f>
        <v/>
      </c>
      <c r="F98" t="str">
        <f>IFERROR(__xludf.DUMMYFUNCTION("""COMPUTED_VALUE"""),"")</f>
        <v/>
      </c>
      <c r="G98" t="str">
        <f>IFERROR(__xludf.DUMMYFUNCTION("""COMPUTED_VALUE"""),"")</f>
        <v/>
      </c>
      <c r="H98" t="str">
        <f>IFERROR(__xludf.DUMMYFUNCTION("""COMPUTED_VALUE"""),"SDG 3.7.1; World bank is ""unmet need for contraception""")</f>
        <v>SDG 3.7.1; World bank is "unmet need for contraception"</v>
      </c>
      <c r="I9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8" t="str">
        <f>IFERROR(__xludf.DUMMYFUNCTION("""COMPUTED_VALUE"""),"")</f>
        <v/>
      </c>
      <c r="K98" t="str">
        <f>IFERROR(__xludf.DUMMYFUNCTION("""COMPUTED_VALUE"""),"")</f>
        <v/>
      </c>
      <c r="L98" t="str">
        <f>IFERROR(__xludf.DUMMYFUNCTION("""COMPUTED_VALUE"""),"")</f>
        <v/>
      </c>
      <c r="M98" t="str">
        <f>IFERROR(__xludf.DUMMYFUNCTION("""COMPUTED_VALUE"""),"")</f>
        <v/>
      </c>
      <c r="N98" t="str">
        <f>IFERROR(__xludf.DUMMYFUNCTION("""COMPUTED_VALUE"""),"")</f>
        <v/>
      </c>
      <c r="O98" s="19" t="str">
        <f>IFERROR(__xludf.DUMMYFUNCTION("""COMPUTED_VALUE"""),"https://data.worldbank.org/indicator/#health")</f>
        <v>https://data.worldbank.org/indicator/#health</v>
      </c>
      <c r="P98" t="str">
        <f>IFERROR(__xludf.DUMMYFUNCTION("""COMPUTED_VALUE"""),"")</f>
        <v/>
      </c>
      <c r="Q98" s="19" t="str">
        <f>IFERROR(__xludf.DUMMYFUNCTION("""COMPUTED_VALUE"""),"https://www.cdc.gov/nchs/healthy_people/hp2020/hp2020_indicators.htm")</f>
        <v>https://www.cdc.gov/nchs/healthy_people/hp2020/hp2020_indicators.htm</v>
      </c>
      <c r="R98" t="str">
        <f>IFERROR(__xludf.DUMMYFUNCTION("""COMPUTED_VALUE"""),"")</f>
        <v/>
      </c>
      <c r="S98" t="str">
        <f>IFERROR(__xludf.DUMMYFUNCTION("""COMPUTED_VALUE"""),"")</f>
        <v/>
      </c>
      <c r="T98">
        <f>IFERROR(__xludf.DUMMYFUNCTION("""COMPUTED_VALUE"""),3.0)</f>
        <v>3</v>
      </c>
    </row>
    <row r="99">
      <c r="A99" t="str">
        <f>IFERROR(__xludf.DUMMYFUNCTION("""COMPUTED_VALUE"""),"Births attended by skilled personnel")</f>
        <v>Births attended by skilled personnel</v>
      </c>
      <c r="B99" t="str">
        <f>IFERROR(__xludf.DUMMYFUNCTION("""COMPUTED_VALUE"""),"")</f>
        <v/>
      </c>
      <c r="C99" t="str">
        <f>IFERROR(__xludf.DUMMYFUNCTION("""COMPUTED_VALUE"""),"")</f>
        <v/>
      </c>
      <c r="D99" t="str">
        <f>IFERROR(__xludf.DUMMYFUNCTION("""COMPUTED_VALUE"""),"")</f>
        <v/>
      </c>
      <c r="E99" t="str">
        <f>IFERROR(__xludf.DUMMYFUNCTION("""COMPUTED_VALUE"""),"")</f>
        <v/>
      </c>
      <c r="F99" t="str">
        <f>IFERROR(__xludf.DUMMYFUNCTION("""COMPUTED_VALUE"""),"")</f>
        <v/>
      </c>
      <c r="G99" t="str">
        <f>IFERROR(__xludf.DUMMYFUNCTION("""COMPUTED_VALUE"""),"")</f>
        <v/>
      </c>
      <c r="H99" t="str">
        <f>IFERROR(__xludf.DUMMYFUNCTION("""COMPUTED_VALUE"""),"SDG 3.1.2")</f>
        <v>SDG 3.1.2</v>
      </c>
      <c r="I9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99" t="str">
        <f>IFERROR(__xludf.DUMMYFUNCTION("""COMPUTED_VALUE"""),"")</f>
        <v/>
      </c>
      <c r="K99" t="str">
        <f>IFERROR(__xludf.DUMMYFUNCTION("""COMPUTED_VALUE"""),"")</f>
        <v/>
      </c>
      <c r="L99" t="str">
        <f>IFERROR(__xludf.DUMMYFUNCTION("""COMPUTED_VALUE"""),"")</f>
        <v/>
      </c>
      <c r="M99" s="19" t="str">
        <f>IFERROR(__xludf.DUMMYFUNCTION("""COMPUTED_VALUE"""),"https://www.gapminder.org/data/")</f>
        <v>https://www.gapminder.org/data/</v>
      </c>
      <c r="N99" t="str">
        <f>IFERROR(__xludf.DUMMYFUNCTION("""COMPUTED_VALUE"""),"")</f>
        <v/>
      </c>
      <c r="O99" s="19" t="str">
        <f>IFERROR(__xludf.DUMMYFUNCTION("""COMPUTED_VALUE"""),"https://data.worldbank.org/indicator/#health")</f>
        <v>https://data.worldbank.org/indicator/#health</v>
      </c>
      <c r="P99" t="str">
        <f>IFERROR(__xludf.DUMMYFUNCTION("""COMPUTED_VALUE"""),"")</f>
        <v/>
      </c>
      <c r="Q99" t="str">
        <f>IFERROR(__xludf.DUMMYFUNCTION("""COMPUTED_VALUE"""),"")</f>
        <v/>
      </c>
      <c r="R99" t="str">
        <f>IFERROR(__xludf.DUMMYFUNCTION("""COMPUTED_VALUE"""),"")</f>
        <v/>
      </c>
      <c r="S99" t="str">
        <f>IFERROR(__xludf.DUMMYFUNCTION("""COMPUTED_VALUE"""),"")</f>
        <v/>
      </c>
      <c r="T99">
        <f>IFERROR(__xludf.DUMMYFUNCTION("""COMPUTED_VALUE"""),3.0)</f>
        <v>3</v>
      </c>
    </row>
    <row r="100">
      <c r="A100" t="str">
        <f>IFERROR(__xludf.DUMMYFUNCTION("""COMPUTED_VALUE"""),"Admissions and readmissions to hospitals")</f>
        <v>Admissions and readmissions to hospitals</v>
      </c>
      <c r="B100" t="str">
        <f>IFERROR(__xludf.DUMMYFUNCTION("""COMPUTED_VALUE"""),"")</f>
        <v/>
      </c>
      <c r="C100" t="str">
        <f>IFERROR(__xludf.DUMMYFUNCTION("""COMPUTED_VALUE"""),"")</f>
        <v/>
      </c>
      <c r="D100" t="str">
        <f>IFERROR(__xludf.DUMMYFUNCTION("""COMPUTED_VALUE"""),"")</f>
        <v/>
      </c>
      <c r="E100" t="str">
        <f>IFERROR(__xludf.DUMMYFUNCTION("""COMPUTED_VALUE"""),"")</f>
        <v/>
      </c>
      <c r="F100" t="str">
        <f>IFERROR(__xludf.DUMMYFUNCTION("""COMPUTED_VALUE"""),"")</f>
        <v/>
      </c>
      <c r="G100" t="str">
        <f>IFERROR(__xludf.DUMMYFUNCTION("""COMPUTED_VALUE"""),"")</f>
        <v/>
      </c>
      <c r="H100" t="str">
        <f>IFERROR(__xludf.DUMMYFUNCTION("""COMPUTED_VALUE"""),"Commonwealth Fund focuses on avoidable hospital use and cost (30 day readmission)")</f>
        <v>Commonwealth Fund focuses on avoidable hospital use and cost (30 day readmission)</v>
      </c>
      <c r="I100" t="str">
        <f>IFERROR(__xludf.DUMMYFUNCTION("""COMPUTED_VALUE"""),"")</f>
        <v/>
      </c>
      <c r="J100" s="19" t="str">
        <f>IFERROR(__xludf.DUMMYFUNCTION("""COMPUTED_VALUE"""),"https://interactives.commonwealthfund.org/2018/state-scorecard/files/Radley_State_Scorecard_2018.pdf")</f>
        <v>https://interactives.commonwealthfund.org/2018/state-scorecard/files/Radley_State_Scorecard_2018.pdf</v>
      </c>
      <c r="K100" t="str">
        <f>IFERROR(__xludf.DUMMYFUNCTION("""COMPUTED_VALUE"""),"")</f>
        <v/>
      </c>
      <c r="L100" t="str">
        <f>IFERROR(__xludf.DUMMYFUNCTION("""COMPUTED_VALUE"""),"")</f>
        <v/>
      </c>
      <c r="M100" t="str">
        <f>IFERROR(__xludf.DUMMYFUNCTION("""COMPUTED_VALUE"""),"")</f>
        <v/>
      </c>
      <c r="N100" s="19" t="str">
        <f>IFERROR(__xludf.DUMMYFUNCTION("""COMPUTED_VALUE"""),"https://www.americashealthrankings.org/explore/annual")</f>
        <v>https://www.americashealthrankings.org/explore/annual</v>
      </c>
      <c r="O100" t="str">
        <f>IFERROR(__xludf.DUMMYFUNCTION("""COMPUTED_VALUE"""),"")</f>
        <v/>
      </c>
      <c r="P100"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00" t="str">
        <f>IFERROR(__xludf.DUMMYFUNCTION("""COMPUTED_VALUE"""),"")</f>
        <v/>
      </c>
      <c r="R100" t="str">
        <f>IFERROR(__xludf.DUMMYFUNCTION("""COMPUTED_VALUE"""),"")</f>
        <v/>
      </c>
      <c r="S100" t="str">
        <f>IFERROR(__xludf.DUMMYFUNCTION("""COMPUTED_VALUE"""),"")</f>
        <v/>
      </c>
      <c r="T100">
        <f>IFERROR(__xludf.DUMMYFUNCTION("""COMPUTED_VALUE"""),3.0)</f>
        <v>3</v>
      </c>
    </row>
    <row r="101">
      <c r="A101" t="str">
        <f>IFERROR(__xludf.DUMMYFUNCTION("""COMPUTED_VALUE"""),"Average Length of Stay for Curative (Acute) Care in Days")</f>
        <v>Average Length of Stay for Curative (Acute) Care in Days</v>
      </c>
      <c r="B101" t="str">
        <f>IFERROR(__xludf.DUMMYFUNCTION("""COMPUTED_VALUE"""),"")</f>
        <v/>
      </c>
      <c r="C101" t="str">
        <f>IFERROR(__xludf.DUMMYFUNCTION("""COMPUTED_VALUE"""),"")</f>
        <v/>
      </c>
      <c r="D101" t="str">
        <f>IFERROR(__xludf.DUMMYFUNCTION("""COMPUTED_VALUE"""),"")</f>
        <v/>
      </c>
      <c r="E101" t="str">
        <f>IFERROR(__xludf.DUMMYFUNCTION("""COMPUTED_VALUE"""),"")</f>
        <v/>
      </c>
      <c r="F101" t="str">
        <f>IFERROR(__xludf.DUMMYFUNCTION("""COMPUTED_VALUE"""),"")</f>
        <v/>
      </c>
      <c r="G101" t="str">
        <f>IFERROR(__xludf.DUMMYFUNCTION("""COMPUTED_VALUE"""),"")</f>
        <v/>
      </c>
      <c r="H101" t="str">
        <f>IFERROR(__xludf.DUMMYFUNCTION("""COMPUTED_VALUE"""),"")</f>
        <v/>
      </c>
      <c r="I101" t="str">
        <f>IFERROR(__xludf.DUMMYFUNCTION("""COMPUTED_VALUE"""),"")</f>
        <v/>
      </c>
      <c r="J101" s="19" t="str">
        <f>IFERROR(__xludf.DUMMYFUNCTION("""COMPUTED_VALUE"""),"https://international.commonwealthfund.org/stats/")</f>
        <v>https://international.commonwealthfund.org/stats/</v>
      </c>
      <c r="K101" s="19" t="str">
        <f>IFERROR(__xludf.DUMMYFUNCTION("""COMPUTED_VALUE"""),"https://stats.oecd.org/index.aspx?DataSetCode=HEALTH_STAT#")</f>
        <v>https://stats.oecd.org/index.aspx?DataSetCode=HEALTH_STAT#</v>
      </c>
      <c r="L101" s="19" t="str">
        <f>IFERROR(__xludf.DUMMYFUNCTION("""COMPUTED_VALUE"""),"https://usafacts.org/missions/promote-welfare/12")</f>
        <v>https://usafacts.org/missions/promote-welfare/12</v>
      </c>
      <c r="M101" t="str">
        <f>IFERROR(__xludf.DUMMYFUNCTION("""COMPUTED_VALUE"""),"")</f>
        <v/>
      </c>
      <c r="N101" t="str">
        <f>IFERROR(__xludf.DUMMYFUNCTION("""COMPUTED_VALUE"""),"")</f>
        <v/>
      </c>
      <c r="O101" t="str">
        <f>IFERROR(__xludf.DUMMYFUNCTION("""COMPUTED_VALUE"""),"")</f>
        <v/>
      </c>
      <c r="P101" t="str">
        <f>IFERROR(__xludf.DUMMYFUNCTION("""COMPUTED_VALUE"""),"")</f>
        <v/>
      </c>
      <c r="Q101" t="str">
        <f>IFERROR(__xludf.DUMMYFUNCTION("""COMPUTED_VALUE"""),"")</f>
        <v/>
      </c>
      <c r="R101" t="str">
        <f>IFERROR(__xludf.DUMMYFUNCTION("""COMPUTED_VALUE"""),"")</f>
        <v/>
      </c>
      <c r="S101" t="str">
        <f>IFERROR(__xludf.DUMMYFUNCTION("""COMPUTED_VALUE"""),"")</f>
        <v/>
      </c>
      <c r="T101">
        <f>IFERROR(__xludf.DUMMYFUNCTION("""COMPUTED_VALUE"""),3.0)</f>
        <v>3</v>
      </c>
    </row>
    <row r="102">
      <c r="A102" t="str">
        <f>IFERROR(__xludf.DUMMYFUNCTION("""COMPUTED_VALUE"""),"Inpatient admissions and surgical volume")</f>
        <v>Inpatient admissions and surgical volume</v>
      </c>
      <c r="B102" t="str">
        <f>IFERROR(__xludf.DUMMYFUNCTION("""COMPUTED_VALUE"""),"")</f>
        <v/>
      </c>
      <c r="C102" t="str">
        <f>IFERROR(__xludf.DUMMYFUNCTION("""COMPUTED_VALUE"""),"")</f>
        <v/>
      </c>
      <c r="D102" t="str">
        <f>IFERROR(__xludf.DUMMYFUNCTION("""COMPUTED_VALUE"""),"")</f>
        <v/>
      </c>
      <c r="E102" t="str">
        <f>IFERROR(__xludf.DUMMYFUNCTION("""COMPUTED_VALUE"""),"")</f>
        <v/>
      </c>
      <c r="F102" t="str">
        <f>IFERROR(__xludf.DUMMYFUNCTION("""COMPUTED_VALUE"""),"")</f>
        <v/>
      </c>
      <c r="G102" t="str">
        <f>IFERROR(__xludf.DUMMYFUNCTION("""COMPUTED_VALUE"""),"")</f>
        <v/>
      </c>
      <c r="H102" t="str">
        <f>IFERROR(__xludf.DUMMYFUNCTION("""COMPUTED_VALUE"""),"")</f>
        <v/>
      </c>
      <c r="I10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2" t="str">
        <f>IFERROR(__xludf.DUMMYFUNCTION("""COMPUTED_VALUE"""),"")</f>
        <v/>
      </c>
      <c r="K102" s="19" t="str">
        <f>IFERROR(__xludf.DUMMYFUNCTION("""COMPUTED_VALUE"""),"https://stats.oecd.org/index.aspx?DataSetCode=HEALTH_STAT#")</f>
        <v>https://stats.oecd.org/index.aspx?DataSetCode=HEALTH_STAT#</v>
      </c>
      <c r="L102" t="str">
        <f>IFERROR(__xludf.DUMMYFUNCTION("""COMPUTED_VALUE"""),"")</f>
        <v/>
      </c>
      <c r="M102" t="str">
        <f>IFERROR(__xludf.DUMMYFUNCTION("""COMPUTED_VALUE"""),"")</f>
        <v/>
      </c>
      <c r="N102" t="str">
        <f>IFERROR(__xludf.DUMMYFUNCTION("""COMPUTED_VALUE"""),"")</f>
        <v/>
      </c>
      <c r="O102" s="19" t="str">
        <f>IFERROR(__xludf.DUMMYFUNCTION("""COMPUTED_VALUE"""),"https://data.worldbank.org/indicator/#health")</f>
        <v>https://data.worldbank.org/indicator/#health</v>
      </c>
      <c r="P102" t="str">
        <f>IFERROR(__xludf.DUMMYFUNCTION("""COMPUTED_VALUE"""),"")</f>
        <v/>
      </c>
      <c r="Q102" t="str">
        <f>IFERROR(__xludf.DUMMYFUNCTION("""COMPUTED_VALUE"""),"")</f>
        <v/>
      </c>
      <c r="R102" t="str">
        <f>IFERROR(__xludf.DUMMYFUNCTION("""COMPUTED_VALUE"""),"")</f>
        <v/>
      </c>
      <c r="S102" t="str">
        <f>IFERROR(__xludf.DUMMYFUNCTION("""COMPUTED_VALUE"""),"")</f>
        <v/>
      </c>
      <c r="T102">
        <f>IFERROR(__xludf.DUMMYFUNCTION("""COMPUTED_VALUE"""),3.0)</f>
        <v>3</v>
      </c>
    </row>
    <row r="103">
      <c r="A103" t="str">
        <f>IFERROR(__xludf.DUMMYFUNCTION("""COMPUTED_VALUE"""),"Health facility density and distribution")</f>
        <v>Health facility density and distribution</v>
      </c>
      <c r="B103" t="str">
        <f>IFERROR(__xludf.DUMMYFUNCTION("""COMPUTED_VALUE"""),"")</f>
        <v/>
      </c>
      <c r="C103" t="str">
        <f>IFERROR(__xludf.DUMMYFUNCTION("""COMPUTED_VALUE"""),"")</f>
        <v/>
      </c>
      <c r="D103" t="str">
        <f>IFERROR(__xludf.DUMMYFUNCTION("""COMPUTED_VALUE"""),"")</f>
        <v/>
      </c>
      <c r="E103" t="str">
        <f>IFERROR(__xludf.DUMMYFUNCTION("""COMPUTED_VALUE"""),"")</f>
        <v/>
      </c>
      <c r="F103" t="str">
        <f>IFERROR(__xludf.DUMMYFUNCTION("""COMPUTED_VALUE"""),"")</f>
        <v/>
      </c>
      <c r="G103" t="str">
        <f>IFERROR(__xludf.DUMMYFUNCTION("""COMPUTED_VALUE"""),"")</f>
        <v/>
      </c>
      <c r="H103" t="str">
        <f>IFERROR(__xludf.DUMMYFUNCTION("""COMPUTED_VALUE"""),"")</f>
        <v/>
      </c>
      <c r="I10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3" t="str">
        <f>IFERROR(__xludf.DUMMYFUNCTION("""COMPUTED_VALUE"""),"")</f>
        <v/>
      </c>
      <c r="K103" t="str">
        <f>IFERROR(__xludf.DUMMYFUNCTION("""COMPUTED_VALUE"""),"")</f>
        <v/>
      </c>
      <c r="L103" t="str">
        <f>IFERROR(__xludf.DUMMYFUNCTION("""COMPUTED_VALUE"""),"")</f>
        <v/>
      </c>
      <c r="M103" t="str">
        <f>IFERROR(__xludf.DUMMYFUNCTION("""COMPUTED_VALUE"""),"")</f>
        <v/>
      </c>
      <c r="N103" t="str">
        <f>IFERROR(__xludf.DUMMYFUNCTION("""COMPUTED_VALUE"""),"")</f>
        <v/>
      </c>
      <c r="O103" t="str">
        <f>IFERROR(__xludf.DUMMYFUNCTION("""COMPUTED_VALUE"""),"")</f>
        <v/>
      </c>
      <c r="P103" t="str">
        <f>IFERROR(__xludf.DUMMYFUNCTION("""COMPUTED_VALUE"""),"BWHP-4")</f>
        <v>BWHP-4</v>
      </c>
      <c r="Q103" t="str">
        <f>IFERROR(__xludf.DUMMYFUNCTION("""COMPUTED_VALUE"""),"")</f>
        <v/>
      </c>
      <c r="R103" t="str">
        <f>IFERROR(__xludf.DUMMYFUNCTION("""COMPUTED_VALUE"""),"")</f>
        <v/>
      </c>
      <c r="S103" t="str">
        <f>IFERROR(__xludf.DUMMYFUNCTION("""COMPUTED_VALUE"""),"BWHP-4, BWHP-34")</f>
        <v>BWHP-4, BWHP-34</v>
      </c>
      <c r="T103">
        <f>IFERROR(__xludf.DUMMYFUNCTION("""COMPUTED_VALUE"""),3.0)</f>
        <v>3</v>
      </c>
    </row>
    <row r="104">
      <c r="A104" t="str">
        <f>IFERROR(__xludf.DUMMYFUNCTION("""COMPUTED_VALUE"""),"Access to emergency surgery")</f>
        <v>Access to emergency surgery</v>
      </c>
      <c r="B104" t="str">
        <f>IFERROR(__xludf.DUMMYFUNCTION("""COMPUTED_VALUE"""),"")</f>
        <v/>
      </c>
      <c r="C104" t="str">
        <f>IFERROR(__xludf.DUMMYFUNCTION("""COMPUTED_VALUE"""),"")</f>
        <v/>
      </c>
      <c r="D104" t="str">
        <f>IFERROR(__xludf.DUMMYFUNCTION("""COMPUTED_VALUE"""),"")</f>
        <v/>
      </c>
      <c r="E104" t="str">
        <f>IFERROR(__xludf.DUMMYFUNCTION("""COMPUTED_VALUE"""),"")</f>
        <v/>
      </c>
      <c r="F104" t="str">
        <f>IFERROR(__xludf.DUMMYFUNCTION("""COMPUTED_VALUE"""),"")</f>
        <v/>
      </c>
      <c r="G104" t="str">
        <f>IFERROR(__xludf.DUMMYFUNCTION("""COMPUTED_VALUE"""),"")</f>
        <v/>
      </c>
      <c r="H104" t="str">
        <f>IFERROR(__xludf.DUMMYFUNCTION("""COMPUTED_VALUE"""),"")</f>
        <v/>
      </c>
      <c r="I10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4" t="str">
        <f>IFERROR(__xludf.DUMMYFUNCTION("""COMPUTED_VALUE"""),"")</f>
        <v/>
      </c>
      <c r="K104" t="str">
        <f>IFERROR(__xludf.DUMMYFUNCTION("""COMPUTED_VALUE"""),"")</f>
        <v/>
      </c>
      <c r="L104" t="str">
        <f>IFERROR(__xludf.DUMMYFUNCTION("""COMPUTED_VALUE"""),"")</f>
        <v/>
      </c>
      <c r="M104" t="str">
        <f>IFERROR(__xludf.DUMMYFUNCTION("""COMPUTED_VALUE"""),"")</f>
        <v/>
      </c>
      <c r="N104" t="str">
        <f>IFERROR(__xludf.DUMMYFUNCTION("""COMPUTED_VALUE"""),"")</f>
        <v/>
      </c>
      <c r="O104" t="str">
        <f>IFERROR(__xludf.DUMMYFUNCTION("""COMPUTED_VALUE"""),"")</f>
        <v/>
      </c>
      <c r="P104" t="str">
        <f>IFERROR(__xludf.DUMMYFUNCTION("""COMPUTED_VALUE"""),"BWHP-4")</f>
        <v>BWHP-4</v>
      </c>
      <c r="Q104" t="str">
        <f>IFERROR(__xludf.DUMMYFUNCTION("""COMPUTED_VALUE"""),"")</f>
        <v/>
      </c>
      <c r="R104" t="str">
        <f>IFERROR(__xludf.DUMMYFUNCTION("""COMPUTED_VALUE"""),"")</f>
        <v/>
      </c>
      <c r="S104" t="str">
        <f>IFERROR(__xludf.DUMMYFUNCTION("""COMPUTED_VALUE"""),"BWHP-4, BWHP-34")</f>
        <v>BWHP-4, BWHP-34</v>
      </c>
      <c r="T104">
        <f>IFERROR(__xludf.DUMMYFUNCTION("""COMPUTED_VALUE"""),3.0)</f>
        <v>3</v>
      </c>
    </row>
    <row r="105">
      <c r="A105" t="str">
        <f>IFERROR(__xludf.DUMMYFUNCTION("""COMPUTED_VALUE"""),"Access to a core set of relevant essential medicines")</f>
        <v>Access to a core set of relevant essential medicines</v>
      </c>
      <c r="B105" t="str">
        <f>IFERROR(__xludf.DUMMYFUNCTION("""COMPUTED_VALUE"""),"")</f>
        <v/>
      </c>
      <c r="C105" t="str">
        <f>IFERROR(__xludf.DUMMYFUNCTION("""COMPUTED_VALUE"""),"")</f>
        <v/>
      </c>
      <c r="D105" t="str">
        <f>IFERROR(__xludf.DUMMYFUNCTION("""COMPUTED_VALUE"""),"")</f>
        <v/>
      </c>
      <c r="E105" t="str">
        <f>IFERROR(__xludf.DUMMYFUNCTION("""COMPUTED_VALUE"""),"")</f>
        <v/>
      </c>
      <c r="F105" t="str">
        <f>IFERROR(__xludf.DUMMYFUNCTION("""COMPUTED_VALUE"""),"")</f>
        <v/>
      </c>
      <c r="G105" t="str">
        <f>IFERROR(__xludf.DUMMYFUNCTION("""COMPUTED_VALUE"""),"")</f>
        <v/>
      </c>
      <c r="H105" t="str">
        <f>IFERROR(__xludf.DUMMYFUNCTION("""COMPUTED_VALUE"""),"SDG 3.b.1")</f>
        <v>SDG 3.b.1</v>
      </c>
      <c r="I10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5" t="str">
        <f>IFERROR(__xludf.DUMMYFUNCTION("""COMPUTED_VALUE"""),"")</f>
        <v/>
      </c>
      <c r="K105" t="str">
        <f>IFERROR(__xludf.DUMMYFUNCTION("""COMPUTED_VALUE"""),"")</f>
        <v/>
      </c>
      <c r="L105" t="str">
        <f>IFERROR(__xludf.DUMMYFUNCTION("""COMPUTED_VALUE"""),"")</f>
        <v/>
      </c>
      <c r="M105" t="str">
        <f>IFERROR(__xludf.DUMMYFUNCTION("""COMPUTED_VALUE"""),"")</f>
        <v/>
      </c>
      <c r="N105" t="str">
        <f>IFERROR(__xludf.DUMMYFUNCTION("""COMPUTED_VALUE"""),"")</f>
        <v/>
      </c>
      <c r="O105" t="str">
        <f>IFERROR(__xludf.DUMMYFUNCTION("""COMPUTED_VALUE"""),"")</f>
        <v/>
      </c>
      <c r="P105" t="str">
        <f>IFERROR(__xludf.DUMMYFUNCTION("""COMPUTED_VALUE"""),"BWHP-4")</f>
        <v>BWHP-4</v>
      </c>
      <c r="Q105" t="str">
        <f>IFERROR(__xludf.DUMMYFUNCTION("""COMPUTED_VALUE"""),"")</f>
        <v/>
      </c>
      <c r="R105" t="str">
        <f>IFERROR(__xludf.DUMMYFUNCTION("""COMPUTED_VALUE"""),"")</f>
        <v/>
      </c>
      <c r="S105" t="str">
        <f>IFERROR(__xludf.DUMMYFUNCTION("""COMPUTED_VALUE"""),"BWHP-4, BWHP-34")</f>
        <v>BWHP-4, BWHP-34</v>
      </c>
      <c r="T105">
        <f>IFERROR(__xludf.DUMMYFUNCTION("""COMPUTED_VALUE"""),3.0)</f>
        <v>3</v>
      </c>
    </row>
    <row r="106">
      <c r="A106" t="str">
        <f>IFERROR(__xludf.DUMMYFUNCTION("""COMPUTED_VALUE"""),"Poor access to quality healthcare in rural areas harms and kills many patients")</f>
        <v>Poor access to quality healthcare in rural areas harms and kills many patients</v>
      </c>
      <c r="B106" t="str">
        <f>IFERROR(__xludf.DUMMYFUNCTION("""COMPUTED_VALUE"""),"")</f>
        <v/>
      </c>
      <c r="C106" t="str">
        <f>IFERROR(__xludf.DUMMYFUNCTION("""COMPUTED_VALUE"""),"")</f>
        <v/>
      </c>
      <c r="D106" t="str">
        <f>IFERROR(__xludf.DUMMYFUNCTION("""COMPUTED_VALUE"""),"")</f>
        <v/>
      </c>
      <c r="E106" t="str">
        <f>IFERROR(__xludf.DUMMYFUNCTION("""COMPUTED_VALUE"""),"")</f>
        <v/>
      </c>
      <c r="F106" t="str">
        <f>IFERROR(__xludf.DUMMYFUNCTION("""COMPUTED_VALUE"""),"")</f>
        <v/>
      </c>
      <c r="G106" t="str">
        <f>IFERROR(__xludf.DUMMYFUNCTION("""COMPUTED_VALUE"""),"Inadequate access, Rural health")</f>
        <v>Inadequate access, Rural health</v>
      </c>
      <c r="H106" t="str">
        <f>IFERROR(__xludf.DUMMYFUNCTION("""COMPUTED_VALUE"""),"")</f>
        <v/>
      </c>
      <c r="I106" t="str">
        <f>IFERROR(__xludf.DUMMYFUNCTION("""COMPUTED_VALUE"""),"")</f>
        <v/>
      </c>
      <c r="J106" t="str">
        <f>IFERROR(__xludf.DUMMYFUNCTION("""COMPUTED_VALUE"""),"")</f>
        <v/>
      </c>
      <c r="K106" t="str">
        <f>IFERROR(__xludf.DUMMYFUNCTION("""COMPUTED_VALUE"""),"")</f>
        <v/>
      </c>
      <c r="L106" t="str">
        <f>IFERROR(__xludf.DUMMYFUNCTION("""COMPUTED_VALUE"""),"")</f>
        <v/>
      </c>
      <c r="M106" t="str">
        <f>IFERROR(__xludf.DUMMYFUNCTION("""COMPUTED_VALUE"""),"")</f>
        <v/>
      </c>
      <c r="N106" t="str">
        <f>IFERROR(__xludf.DUMMYFUNCTION("""COMPUTED_VALUE"""),"")</f>
        <v/>
      </c>
      <c r="O106" t="str">
        <f>IFERROR(__xludf.DUMMYFUNCTION("""COMPUTED_VALUE"""),"")</f>
        <v/>
      </c>
      <c r="P106" t="str">
        <f>IFERROR(__xludf.DUMMYFUNCTION("""COMPUTED_VALUE"""),"https://www.cms.gov/about-cms/story-page/our-16-strategic-initiatives.html, BWHP-4")</f>
        <v>https://www.cms.gov/about-cms/story-page/our-16-strategic-initiatives.html, BWHP-4</v>
      </c>
      <c r="Q106" t="str">
        <f>IFERROR(__xludf.DUMMYFUNCTION("""COMPUTED_VALUE"""),"")</f>
        <v/>
      </c>
      <c r="R106" t="str">
        <f>IFERROR(__xludf.DUMMYFUNCTION("""COMPUTED_VALUE"""),"CHSI")</f>
        <v>CHSI</v>
      </c>
      <c r="S106" t="str">
        <f>IFERROR(__xludf.DUMMYFUNCTION("""COMPUTED_VALUE"""),"BWHP-4, BWHP-34")</f>
        <v>BWHP-4, BWHP-34</v>
      </c>
      <c r="T106">
        <f>IFERROR(__xludf.DUMMYFUNCTION("""COMPUTED_VALUE"""),3.0)</f>
        <v>3</v>
      </c>
    </row>
    <row r="107">
      <c r="A107" t="str">
        <f>IFERROR(__xludf.DUMMYFUNCTION("""COMPUTED_VALUE"""),"Average Annual Number of Physician Visits per Capita")</f>
        <v>Average Annual Number of Physician Visits per Capita</v>
      </c>
      <c r="B107" t="str">
        <f>IFERROR(__xludf.DUMMYFUNCTION("""COMPUTED_VALUE"""),"")</f>
        <v/>
      </c>
      <c r="C107" t="str">
        <f>IFERROR(__xludf.DUMMYFUNCTION("""COMPUTED_VALUE"""),"")</f>
        <v/>
      </c>
      <c r="D107" t="str">
        <f>IFERROR(__xludf.DUMMYFUNCTION("""COMPUTED_VALUE"""),"")</f>
        <v/>
      </c>
      <c r="E107" t="str">
        <f>IFERROR(__xludf.DUMMYFUNCTION("""COMPUTED_VALUE"""),"")</f>
        <v/>
      </c>
      <c r="F107" t="str">
        <f>IFERROR(__xludf.DUMMYFUNCTION("""COMPUTED_VALUE"""),"")</f>
        <v/>
      </c>
      <c r="G107" t="str">
        <f>IFERROR(__xludf.DUMMYFUNCTION("""COMPUTED_VALUE"""),"")</f>
        <v/>
      </c>
      <c r="H107" t="str">
        <f>IFERROR(__xludf.DUMMYFUNCTION("""COMPUTED_VALUE"""),"")</f>
        <v/>
      </c>
      <c r="I107" t="str">
        <f>IFERROR(__xludf.DUMMYFUNCTION("""COMPUTED_VALUE"""),"")</f>
        <v/>
      </c>
      <c r="J107" s="19" t="str">
        <f>IFERROR(__xludf.DUMMYFUNCTION("""COMPUTED_VALUE"""),"https://international.commonwealthfund.org/stats/")</f>
        <v>https://international.commonwealthfund.org/stats/</v>
      </c>
      <c r="K107" s="19" t="str">
        <f>IFERROR(__xludf.DUMMYFUNCTION("""COMPUTED_VALUE"""),"https://stats.oecd.org/index.aspx?DataSetCode=HEALTH_STAT")</f>
        <v>https://stats.oecd.org/index.aspx?DataSetCode=HEALTH_STAT</v>
      </c>
      <c r="L107" s="19" t="str">
        <f>IFERROR(__xludf.DUMMYFUNCTION("""COMPUTED_VALUE"""),"https://usafacts.org/missions/promote-welfare/12")</f>
        <v>https://usafacts.org/missions/promote-welfare/12</v>
      </c>
      <c r="M107" t="str">
        <f>IFERROR(__xludf.DUMMYFUNCTION("""COMPUTED_VALUE"""),"")</f>
        <v/>
      </c>
      <c r="N107" t="str">
        <f>IFERROR(__xludf.DUMMYFUNCTION("""COMPUTED_VALUE"""),"")</f>
        <v/>
      </c>
      <c r="O107" t="str">
        <f>IFERROR(__xludf.DUMMYFUNCTION("""COMPUTED_VALUE"""),"")</f>
        <v/>
      </c>
      <c r="P107" t="str">
        <f>IFERROR(__xludf.DUMMYFUNCTION("""COMPUTED_VALUE"""),"")</f>
        <v/>
      </c>
      <c r="Q107" t="str">
        <f>IFERROR(__xludf.DUMMYFUNCTION("""COMPUTED_VALUE"""),"")</f>
        <v/>
      </c>
      <c r="R107" t="str">
        <f>IFERROR(__xludf.DUMMYFUNCTION("""COMPUTED_VALUE"""),"")</f>
        <v/>
      </c>
      <c r="S107" t="str">
        <f>IFERROR(__xludf.DUMMYFUNCTION("""COMPUTED_VALUE"""),"")</f>
        <v/>
      </c>
      <c r="T107">
        <f>IFERROR(__xludf.DUMMYFUNCTION("""COMPUTED_VALUE"""),3.0)</f>
        <v>3</v>
      </c>
    </row>
    <row r="108">
      <c r="A108" t="str">
        <f>IFERROR(__xludf.DUMMYFUNCTION("""COMPUTED_VALUE"""),"Completeness of reporting by facilities")</f>
        <v>Completeness of reporting by facilities</v>
      </c>
      <c r="B108" t="str">
        <f>IFERROR(__xludf.DUMMYFUNCTION("""COMPUTED_VALUE"""),"")</f>
        <v/>
      </c>
      <c r="C108" t="str">
        <f>IFERROR(__xludf.DUMMYFUNCTION("""COMPUTED_VALUE"""),"")</f>
        <v/>
      </c>
      <c r="D108" t="str">
        <f>IFERROR(__xludf.DUMMYFUNCTION("""COMPUTED_VALUE"""),"")</f>
        <v/>
      </c>
      <c r="E108" t="str">
        <f>IFERROR(__xludf.DUMMYFUNCTION("""COMPUTED_VALUE"""),"")</f>
        <v/>
      </c>
      <c r="F108" t="str">
        <f>IFERROR(__xludf.DUMMYFUNCTION("""COMPUTED_VALUE"""),"")</f>
        <v/>
      </c>
      <c r="G108" t="str">
        <f>IFERROR(__xludf.DUMMYFUNCTION("""COMPUTED_VALUE"""),"")</f>
        <v/>
      </c>
      <c r="H108" t="str">
        <f>IFERROR(__xludf.DUMMYFUNCTION("""COMPUTED_VALUE"""),"CHSI: data on infectious diseases")</f>
        <v>CHSI: data on infectious diseases</v>
      </c>
      <c r="I10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8" t="str">
        <f>IFERROR(__xludf.DUMMYFUNCTION("""COMPUTED_VALUE"""),"")</f>
        <v/>
      </c>
      <c r="K108" t="str">
        <f>IFERROR(__xludf.DUMMYFUNCTION("""COMPUTED_VALUE"""),"")</f>
        <v/>
      </c>
      <c r="L108" t="str">
        <f>IFERROR(__xludf.DUMMYFUNCTION("""COMPUTED_VALUE"""),"")</f>
        <v/>
      </c>
      <c r="M108" t="str">
        <f>IFERROR(__xludf.DUMMYFUNCTION("""COMPUTED_VALUE"""),"")</f>
        <v/>
      </c>
      <c r="N108" t="str">
        <f>IFERROR(__xludf.DUMMYFUNCTION("""COMPUTED_VALUE"""),"")</f>
        <v/>
      </c>
      <c r="O108" s="19" t="str">
        <f>IFERROR(__xludf.DUMMYFUNCTION("""COMPUTED_VALUE"""),"https://data.worldbank.org/indicator/#health")</f>
        <v>https://data.worldbank.org/indicator/#health</v>
      </c>
      <c r="P108" t="str">
        <f>IFERROR(__xludf.DUMMYFUNCTION("""COMPUTED_VALUE"""),"")</f>
        <v/>
      </c>
      <c r="Q108" t="str">
        <f>IFERROR(__xludf.DUMMYFUNCTION("""COMPUTED_VALUE"""),"")</f>
        <v/>
      </c>
      <c r="R108" t="str">
        <f>IFERROR(__xludf.DUMMYFUNCTION("""COMPUTED_VALUE"""),"CHSI")</f>
        <v>CHSI</v>
      </c>
      <c r="S108" t="str">
        <f>IFERROR(__xludf.DUMMYFUNCTION("""COMPUTED_VALUE"""),"")</f>
        <v/>
      </c>
      <c r="T108">
        <f>IFERROR(__xludf.DUMMYFUNCTION("""COMPUTED_VALUE"""),3.0)</f>
        <v>3</v>
      </c>
    </row>
    <row r="109">
      <c r="A109" t="str">
        <f>IFERROR(__xludf.DUMMYFUNCTION("""COMPUTED_VALUE"""),"Completeness and timeliness for notifiable diseases")</f>
        <v>Completeness and timeliness for notifiable diseases</v>
      </c>
      <c r="B109" t="str">
        <f>IFERROR(__xludf.DUMMYFUNCTION("""COMPUTED_VALUE"""),"")</f>
        <v/>
      </c>
      <c r="C109" t="str">
        <f>IFERROR(__xludf.DUMMYFUNCTION("""COMPUTED_VALUE"""),"")</f>
        <v/>
      </c>
      <c r="D109" t="str">
        <f>IFERROR(__xludf.DUMMYFUNCTION("""COMPUTED_VALUE"""),"")</f>
        <v/>
      </c>
      <c r="E109" t="str">
        <f>IFERROR(__xludf.DUMMYFUNCTION("""COMPUTED_VALUE"""),"")</f>
        <v/>
      </c>
      <c r="F109" t="str">
        <f>IFERROR(__xludf.DUMMYFUNCTION("""COMPUTED_VALUE"""),"")</f>
        <v/>
      </c>
      <c r="G109" t="str">
        <f>IFERROR(__xludf.DUMMYFUNCTION("""COMPUTED_VALUE"""),"")</f>
        <v/>
      </c>
      <c r="H109" t="str">
        <f>IFERROR(__xludf.DUMMYFUNCTION("""COMPUTED_VALUE"""),"CHSI: data on infectious diseases")</f>
        <v>CHSI: data on infectious diseases</v>
      </c>
      <c r="I10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09" t="str">
        <f>IFERROR(__xludf.DUMMYFUNCTION("""COMPUTED_VALUE"""),"")</f>
        <v/>
      </c>
      <c r="K109" t="str">
        <f>IFERROR(__xludf.DUMMYFUNCTION("""COMPUTED_VALUE"""),"")</f>
        <v/>
      </c>
      <c r="L109" t="str">
        <f>IFERROR(__xludf.DUMMYFUNCTION("""COMPUTED_VALUE"""),"")</f>
        <v/>
      </c>
      <c r="M109" t="str">
        <f>IFERROR(__xludf.DUMMYFUNCTION("""COMPUTED_VALUE"""),"")</f>
        <v/>
      </c>
      <c r="N109" t="str">
        <f>IFERROR(__xludf.DUMMYFUNCTION("""COMPUTED_VALUE"""),"")</f>
        <v/>
      </c>
      <c r="O109" s="19" t="str">
        <f>IFERROR(__xludf.DUMMYFUNCTION("""COMPUTED_VALUE"""),"https://data.worldbank.org/indicator/#health")</f>
        <v>https://data.worldbank.org/indicator/#health</v>
      </c>
      <c r="P109" t="str">
        <f>IFERROR(__xludf.DUMMYFUNCTION("""COMPUTED_VALUE"""),"")</f>
        <v/>
      </c>
      <c r="Q109" t="str">
        <f>IFERROR(__xludf.DUMMYFUNCTION("""COMPUTED_VALUE"""),"")</f>
        <v/>
      </c>
      <c r="R109" t="str">
        <f>IFERROR(__xludf.DUMMYFUNCTION("""COMPUTED_VALUE"""),"CHSI")</f>
        <v>CHSI</v>
      </c>
      <c r="S109" t="str">
        <f>IFERROR(__xludf.DUMMYFUNCTION("""COMPUTED_VALUE"""),"")</f>
        <v/>
      </c>
      <c r="T109">
        <f>IFERROR(__xludf.DUMMYFUNCTION("""COMPUTED_VALUE"""),3.0)</f>
        <v>3</v>
      </c>
    </row>
    <row r="110">
      <c r="A110" t="str">
        <f>IFERROR(__xludf.DUMMYFUNCTION("""COMPUTED_VALUE"""),"Out-of-pocket health care spending per capita")</f>
        <v>Out-of-pocket health care spending per capita</v>
      </c>
      <c r="B110" t="str">
        <f>IFERROR(__xludf.DUMMYFUNCTION("""COMPUTED_VALUE"""),"")</f>
        <v/>
      </c>
      <c r="C110" t="str">
        <f>IFERROR(__xludf.DUMMYFUNCTION("""COMPUTED_VALUE"""),"")</f>
        <v/>
      </c>
      <c r="D110" t="str">
        <f>IFERROR(__xludf.DUMMYFUNCTION("""COMPUTED_VALUE"""),"")</f>
        <v/>
      </c>
      <c r="E110" t="str">
        <f>IFERROR(__xludf.DUMMYFUNCTION("""COMPUTED_VALUE"""),"")</f>
        <v/>
      </c>
      <c r="F110" t="str">
        <f>IFERROR(__xludf.DUMMYFUNCTION("""COMPUTED_VALUE"""),"")</f>
        <v/>
      </c>
      <c r="G110" t="str">
        <f>IFERROR(__xludf.DUMMYFUNCTION("""COMPUTED_VALUE"""),"")</f>
        <v/>
      </c>
      <c r="H110" t="str">
        <f>IFERROR(__xludf.DUMMYFUNCTION("""COMPUTED_VALUE"""),"")</f>
        <v/>
      </c>
      <c r="I110" t="str">
        <f>IFERROR(__xludf.DUMMYFUNCTION("""COMPUTED_VALUE"""),"")</f>
        <v/>
      </c>
      <c r="J110" s="19" t="str">
        <f>IFERROR(__xludf.DUMMYFUNCTION("""COMPUTED_VALUE"""),"https://international.commonwealthfund.org/stats/")</f>
        <v>https://international.commonwealthfund.org/stats/</v>
      </c>
      <c r="K110" s="19" t="str">
        <f>IFERROR(__xludf.DUMMYFUNCTION("""COMPUTED_VALUE"""),"https://www.oecd-ilibrary.org/social-issues-migration-health/health-at-a-glance-2017_health_glance-2017-en")</f>
        <v>https://www.oecd-ilibrary.org/social-issues-migration-health/health-at-a-glance-2017_health_glance-2017-en</v>
      </c>
      <c r="L110" t="str">
        <f>IFERROR(__xludf.DUMMYFUNCTION("""COMPUTED_VALUE"""),"")</f>
        <v/>
      </c>
      <c r="M110" s="19" t="str">
        <f>IFERROR(__xludf.DUMMYFUNCTION("""COMPUTED_VALUE"""),"https://www.gapminder.org/data/")</f>
        <v>https://www.gapminder.org/data/</v>
      </c>
      <c r="N110" t="str">
        <f>IFERROR(__xludf.DUMMYFUNCTION("""COMPUTED_VALUE"""),"")</f>
        <v/>
      </c>
      <c r="O110" t="str">
        <f>IFERROR(__xludf.DUMMYFUNCTION("""COMPUTED_VALUE"""),"")</f>
        <v/>
      </c>
      <c r="P110" t="str">
        <f>IFERROR(__xludf.DUMMYFUNCTION("""COMPUTED_VALUE"""),"")</f>
        <v/>
      </c>
      <c r="Q110" t="str">
        <f>IFERROR(__xludf.DUMMYFUNCTION("""COMPUTED_VALUE"""),"")</f>
        <v/>
      </c>
      <c r="R110" t="str">
        <f>IFERROR(__xludf.DUMMYFUNCTION("""COMPUTED_VALUE"""),"")</f>
        <v/>
      </c>
      <c r="S110" t="str">
        <f>IFERROR(__xludf.DUMMYFUNCTION("""COMPUTED_VALUE"""),"")</f>
        <v/>
      </c>
      <c r="T110">
        <f>IFERROR(__xludf.DUMMYFUNCTION("""COMPUTED_VALUE"""),3.0)</f>
        <v>3</v>
      </c>
    </row>
    <row r="111">
      <c r="A111" t="str">
        <f>IFERROR(__xludf.DUMMYFUNCTION("""COMPUTED_VALUE"""),"Patient out of pocket costs are too high")</f>
        <v>Patient out of pocket costs are too high</v>
      </c>
      <c r="B111" t="str">
        <f>IFERROR(__xludf.DUMMYFUNCTION("""COMPUTED_VALUE"""),"")</f>
        <v/>
      </c>
      <c r="C111" t="str">
        <f>IFERROR(__xludf.DUMMYFUNCTION("""COMPUTED_VALUE"""),"")</f>
        <v/>
      </c>
      <c r="D111" t="str">
        <f>IFERROR(__xludf.DUMMYFUNCTION("""COMPUTED_VALUE"""),"")</f>
        <v/>
      </c>
      <c r="E111" t="str">
        <f>IFERROR(__xludf.DUMMYFUNCTION("""COMPUTED_VALUE"""),"")</f>
        <v/>
      </c>
      <c r="F111" t="str">
        <f>IFERROR(__xludf.DUMMYFUNCTION("""COMPUTED_VALUE"""),"")</f>
        <v/>
      </c>
      <c r="G111" t="str">
        <f>IFERROR(__xludf.DUMMYFUNCTION("""COMPUTED_VALUE"""),"Cost")</f>
        <v>Cost</v>
      </c>
      <c r="H111" t="str">
        <f>IFERROR(__xludf.DUMMYFUNCTION("""COMPUTED_VALUE"""),"")</f>
        <v/>
      </c>
      <c r="I111" t="str">
        <f>IFERROR(__xludf.DUMMYFUNCTION("""COMPUTED_VALUE"""),"")</f>
        <v/>
      </c>
      <c r="J111"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111" s="19" t="str">
        <f>IFERROR(__xludf.DUMMYFUNCTION("""COMPUTED_VALUE"""),"https://www.oecd-ilibrary.org/social-issues-migration-health/health-at-a-glance-2017_health_glance-2017-en")</f>
        <v>https://www.oecd-ilibrary.org/social-issues-migration-health/health-at-a-glance-2017_health_glance-2017-en</v>
      </c>
      <c r="L111" t="str">
        <f>IFERROR(__xludf.DUMMYFUNCTION("""COMPUTED_VALUE"""),"")</f>
        <v/>
      </c>
      <c r="M111" t="str">
        <f>IFERROR(__xludf.DUMMYFUNCTION("""COMPUTED_VALUE"""),"")</f>
        <v/>
      </c>
      <c r="N111" t="str">
        <f>IFERROR(__xludf.DUMMYFUNCTION("""COMPUTED_VALUE"""),"")</f>
        <v/>
      </c>
      <c r="O111" t="str">
        <f>IFERROR(__xludf.DUMMYFUNCTION("""COMPUTED_VALUE"""),"")</f>
        <v/>
      </c>
      <c r="P111" t="str">
        <f>IFERROR(__xludf.DUMMYFUNCTION("""COMPUTED_VALUE"""),"")</f>
        <v/>
      </c>
      <c r="Q111" t="str">
        <f>IFERROR(__xludf.DUMMYFUNCTION("""COMPUTED_VALUE"""),"")</f>
        <v/>
      </c>
      <c r="R111" t="str">
        <f>IFERROR(__xludf.DUMMYFUNCTION("""COMPUTED_VALUE"""),"")</f>
        <v/>
      </c>
      <c r="S111" t="str">
        <f>IFERROR(__xludf.DUMMYFUNCTION("""COMPUTED_VALUE"""),"BWHP-5, BWHP-18")</f>
        <v>BWHP-5, BWHP-18</v>
      </c>
      <c r="T111">
        <f>IFERROR(__xludf.DUMMYFUNCTION("""COMPUTED_VALUE"""),3.0)</f>
        <v>3</v>
      </c>
    </row>
    <row r="112">
      <c r="A112" t="str">
        <f>IFERROR(__xludf.DUMMYFUNCTION("""COMPUTED_VALUE"""),"Prevalence of patients missing routine care due to cost")</f>
        <v>Prevalence of patients missing routine care due to cost</v>
      </c>
      <c r="B112" t="str">
        <f>IFERROR(__xludf.DUMMYFUNCTION("""COMPUTED_VALUE"""),"")</f>
        <v/>
      </c>
      <c r="C112" t="str">
        <f>IFERROR(__xludf.DUMMYFUNCTION("""COMPUTED_VALUE"""),"")</f>
        <v/>
      </c>
      <c r="D112" t="str">
        <f>IFERROR(__xludf.DUMMYFUNCTION("""COMPUTED_VALUE"""),"")</f>
        <v/>
      </c>
      <c r="E112" t="str">
        <f>IFERROR(__xludf.DUMMYFUNCTION("""COMPUTED_VALUE"""),"")</f>
        <v/>
      </c>
      <c r="F112" t="str">
        <f>IFERROR(__xludf.DUMMYFUNCTION("""COMPUTED_VALUE"""),"")</f>
        <v/>
      </c>
      <c r="G112" t="str">
        <f>IFERROR(__xludf.DUMMYFUNCTION("""COMPUTED_VALUE"""),"")</f>
        <v/>
      </c>
      <c r="H112" t="str">
        <f>IFERROR(__xludf.DUMMYFUNCTION("""COMPUTED_VALUE"""),"")</f>
        <v/>
      </c>
      <c r="I112" t="str">
        <f>IFERROR(__xludf.DUMMYFUNCTION("""COMPUTED_VALUE"""),"")</f>
        <v/>
      </c>
      <c r="J112"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112" s="19" t="str">
        <f>IFERROR(__xludf.DUMMYFUNCTION("""COMPUTED_VALUE"""),"https://www.oecd-ilibrary.org/social-issues-migration-health/health-at-a-glance-2017_health_glance-2017-en")</f>
        <v>https://www.oecd-ilibrary.org/social-issues-migration-health/health-at-a-glance-2017_health_glance-2017-en</v>
      </c>
      <c r="L112" t="str">
        <f>IFERROR(__xludf.DUMMYFUNCTION("""COMPUTED_VALUE"""),"")</f>
        <v/>
      </c>
      <c r="M112" t="str">
        <f>IFERROR(__xludf.DUMMYFUNCTION("""COMPUTED_VALUE"""),"")</f>
        <v/>
      </c>
      <c r="N112" t="str">
        <f>IFERROR(__xludf.DUMMYFUNCTION("""COMPUTED_VALUE"""),"")</f>
        <v/>
      </c>
      <c r="O112" t="str">
        <f>IFERROR(__xludf.DUMMYFUNCTION("""COMPUTED_VALUE"""),"")</f>
        <v/>
      </c>
      <c r="P112" t="str">
        <f>IFERROR(__xludf.DUMMYFUNCTION("""COMPUTED_VALUE"""),"")</f>
        <v/>
      </c>
      <c r="Q112" t="str">
        <f>IFERROR(__xludf.DUMMYFUNCTION("""COMPUTED_VALUE"""),"")</f>
        <v/>
      </c>
      <c r="R112" t="str">
        <f>IFERROR(__xludf.DUMMYFUNCTION("""COMPUTED_VALUE"""),"")</f>
        <v/>
      </c>
      <c r="S112" t="str">
        <f>IFERROR(__xludf.DUMMYFUNCTION("""COMPUTED_VALUE"""),"BWHP-5, BWHP-18")</f>
        <v>BWHP-5, BWHP-18</v>
      </c>
      <c r="T112">
        <f>IFERROR(__xludf.DUMMYFUNCTION("""COMPUTED_VALUE"""),3.0)</f>
        <v>3</v>
      </c>
    </row>
    <row r="113">
      <c r="A113" t="str">
        <f>IFERROR(__xludf.DUMMYFUNCTION("""COMPUTED_VALUE"""),"Prevalence of patients missing urgent/emergent care due to cost")</f>
        <v>Prevalence of patients missing urgent/emergent care due to cost</v>
      </c>
      <c r="B113" t="str">
        <f>IFERROR(__xludf.DUMMYFUNCTION("""COMPUTED_VALUE"""),"")</f>
        <v/>
      </c>
      <c r="C113" t="str">
        <f>IFERROR(__xludf.DUMMYFUNCTION("""COMPUTED_VALUE"""),"")</f>
        <v/>
      </c>
      <c r="D113" t="str">
        <f>IFERROR(__xludf.DUMMYFUNCTION("""COMPUTED_VALUE"""),"")</f>
        <v/>
      </c>
      <c r="E113" t="str">
        <f>IFERROR(__xludf.DUMMYFUNCTION("""COMPUTED_VALUE"""),"")</f>
        <v/>
      </c>
      <c r="F113" t="str">
        <f>IFERROR(__xludf.DUMMYFUNCTION("""COMPUTED_VALUE"""),"")</f>
        <v/>
      </c>
      <c r="G113" t="str">
        <f>IFERROR(__xludf.DUMMYFUNCTION("""COMPUTED_VALUE"""),"")</f>
        <v/>
      </c>
      <c r="H113" t="str">
        <f>IFERROR(__xludf.DUMMYFUNCTION("""COMPUTED_VALUE"""),"")</f>
        <v/>
      </c>
      <c r="I113" t="str">
        <f>IFERROR(__xludf.DUMMYFUNCTION("""COMPUTED_VALUE"""),"")</f>
        <v/>
      </c>
      <c r="J113"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113" s="19" t="str">
        <f>IFERROR(__xludf.DUMMYFUNCTION("""COMPUTED_VALUE"""),"https://www.oecd-ilibrary.org/social-issues-migration-health/health-at-a-glance-2017_health_glance-2017-en")</f>
        <v>https://www.oecd-ilibrary.org/social-issues-migration-health/health-at-a-glance-2017_health_glance-2017-en</v>
      </c>
      <c r="L113" t="str">
        <f>IFERROR(__xludf.DUMMYFUNCTION("""COMPUTED_VALUE"""),"")</f>
        <v/>
      </c>
      <c r="M113" t="str">
        <f>IFERROR(__xludf.DUMMYFUNCTION("""COMPUTED_VALUE"""),"")</f>
        <v/>
      </c>
      <c r="N113" t="str">
        <f>IFERROR(__xludf.DUMMYFUNCTION("""COMPUTED_VALUE"""),"")</f>
        <v/>
      </c>
      <c r="O113" t="str">
        <f>IFERROR(__xludf.DUMMYFUNCTION("""COMPUTED_VALUE"""),"")</f>
        <v/>
      </c>
      <c r="P113" t="str">
        <f>IFERROR(__xludf.DUMMYFUNCTION("""COMPUTED_VALUE"""),"")</f>
        <v/>
      </c>
      <c r="Q113" t="str">
        <f>IFERROR(__xludf.DUMMYFUNCTION("""COMPUTED_VALUE"""),"")</f>
        <v/>
      </c>
      <c r="R113" t="str">
        <f>IFERROR(__xludf.DUMMYFUNCTION("""COMPUTED_VALUE"""),"")</f>
        <v/>
      </c>
      <c r="S113" t="str">
        <f>IFERROR(__xludf.DUMMYFUNCTION("""COMPUTED_VALUE"""),"BWHP-5, BWHP-18")</f>
        <v>BWHP-5, BWHP-18</v>
      </c>
      <c r="T113">
        <f>IFERROR(__xludf.DUMMYFUNCTION("""COMPUTED_VALUE"""),3.0)</f>
        <v>3</v>
      </c>
    </row>
    <row r="114">
      <c r="A114" t="str">
        <f>IFERROR(__xludf.DUMMYFUNCTION("""COMPUTED_VALUE"""),"Population female")</f>
        <v>Population female</v>
      </c>
      <c r="B114" t="str">
        <f>IFERROR(__xludf.DUMMYFUNCTION("""COMPUTED_VALUE"""),"")</f>
        <v/>
      </c>
      <c r="C114" t="str">
        <f>IFERROR(__xludf.DUMMYFUNCTION("""COMPUTED_VALUE"""),"")</f>
        <v/>
      </c>
      <c r="D114" t="str">
        <f>IFERROR(__xludf.DUMMYFUNCTION("""COMPUTED_VALUE"""),"")</f>
        <v/>
      </c>
      <c r="E114" t="str">
        <f>IFERROR(__xludf.DUMMYFUNCTION("""COMPUTED_VALUE"""),"")</f>
        <v/>
      </c>
      <c r="F114" t="str">
        <f>IFERROR(__xludf.DUMMYFUNCTION("""COMPUTED_VALUE"""),"")</f>
        <v/>
      </c>
      <c r="G114" t="str">
        <f>IFERROR(__xludf.DUMMYFUNCTION("""COMPUTED_VALUE"""),"")</f>
        <v/>
      </c>
      <c r="H114" t="str">
        <f>IFERROR(__xludf.DUMMYFUNCTION("""COMPUTED_VALUE"""),"")</f>
        <v/>
      </c>
      <c r="I114" t="str">
        <f>IFERROR(__xludf.DUMMYFUNCTION("""COMPUTED_VALUE"""),"")</f>
        <v/>
      </c>
      <c r="J114" t="str">
        <f>IFERROR(__xludf.DUMMYFUNCTION("""COMPUTED_VALUE"""),"")</f>
        <v/>
      </c>
      <c r="K114" t="str">
        <f>IFERROR(__xludf.DUMMYFUNCTION("""COMPUTED_VALUE"""),"")</f>
        <v/>
      </c>
      <c r="L114" t="str">
        <f>IFERROR(__xludf.DUMMYFUNCTION("""COMPUTED_VALUE"""),"")</f>
        <v/>
      </c>
      <c r="M114" t="str">
        <f>IFERROR(__xludf.DUMMYFUNCTION("""COMPUTED_VALUE"""),"")</f>
        <v/>
      </c>
      <c r="N114" t="str">
        <f>IFERROR(__xludf.DUMMYFUNCTION("""COMPUTED_VALUE"""),"")</f>
        <v/>
      </c>
      <c r="O114" s="19" t="str">
        <f>IFERROR(__xludf.DUMMYFUNCTION("""COMPUTED_VALUE"""),"https://data.worldbank.org/indicator/#health")</f>
        <v>https://data.worldbank.org/indicator/#health</v>
      </c>
      <c r="P114" t="str">
        <f>IFERROR(__xludf.DUMMYFUNCTION("""COMPUTED_VALUE"""),"")</f>
        <v/>
      </c>
      <c r="Q114" t="str">
        <f>IFERROR(__xludf.DUMMYFUNCTION("""COMPUTED_VALUE"""),"")</f>
        <v/>
      </c>
      <c r="R114" t="str">
        <f>IFERROR(__xludf.DUMMYFUNCTION("""COMPUTED_VALUE"""),"CHSI")</f>
        <v>CHSI</v>
      </c>
      <c r="S114" t="str">
        <f>IFERROR(__xludf.DUMMYFUNCTION("""COMPUTED_VALUE"""),"")</f>
        <v/>
      </c>
      <c r="T114">
        <f>IFERROR(__xludf.DUMMYFUNCTION("""COMPUTED_VALUE"""),2.0)</f>
        <v>2</v>
      </c>
    </row>
    <row r="115">
      <c r="A115" t="str">
        <f>IFERROR(__xludf.DUMMYFUNCTION("""COMPUTED_VALUE"""),"Population growth rate (%)")</f>
        <v>Population growth rate (%)</v>
      </c>
      <c r="B115">
        <f>IFERROR(__xludf.DUMMYFUNCTION("""COMPUTED_VALUE"""),0.7)</f>
        <v>0.7</v>
      </c>
      <c r="C115" s="19" t="str">
        <f>IFERROR(__xludf.DUMMYFUNCTION("""COMPUTED_VALUE"""),"http://www.paho.org/data/index.php/en/indicators/visualization.html")</f>
        <v>http://www.paho.org/data/index.php/en/indicators/visualization.html</v>
      </c>
      <c r="D115" t="str">
        <f>IFERROR(__xludf.DUMMYFUNCTION("""COMPUTED_VALUE"""),"")</f>
        <v/>
      </c>
      <c r="E115" t="str">
        <f>IFERROR(__xludf.DUMMYFUNCTION("""COMPUTED_VALUE"""),"")</f>
        <v/>
      </c>
      <c r="F115">
        <f>IFERROR(__xludf.DUMMYFUNCTION("""COMPUTED_VALUE"""),2018.0)</f>
        <v>2018</v>
      </c>
      <c r="G115" t="str">
        <f>IFERROR(__xludf.DUMMYFUNCTION("""COMPUTED_VALUE"""),"demographics")</f>
        <v>demographics</v>
      </c>
      <c r="H115" t="str">
        <f>IFERROR(__xludf.DUMMYFUNCTION("""COMPUTED_VALUE"""),"")</f>
        <v/>
      </c>
      <c r="I115" s="19" t="str">
        <f>IFERROR(__xludf.DUMMYFUNCTION("""COMPUTED_VALUE"""),"http://www.paho.org/data/index.php/en/indicators/visualization.html")</f>
        <v>http://www.paho.org/data/index.php/en/indicators/visualization.html</v>
      </c>
      <c r="J115" t="str">
        <f>IFERROR(__xludf.DUMMYFUNCTION("""COMPUTED_VALUE"""),"")</f>
        <v/>
      </c>
      <c r="K115" t="str">
        <f>IFERROR(__xludf.DUMMYFUNCTION("""COMPUTED_VALUE"""),"")</f>
        <v/>
      </c>
      <c r="L115" t="str">
        <f>IFERROR(__xludf.DUMMYFUNCTION("""COMPUTED_VALUE"""),"")</f>
        <v/>
      </c>
      <c r="M115" t="str">
        <f>IFERROR(__xludf.DUMMYFUNCTION("""COMPUTED_VALUE"""),"")</f>
        <v/>
      </c>
      <c r="N115" t="str">
        <f>IFERROR(__xludf.DUMMYFUNCTION("""COMPUTED_VALUE"""),"")</f>
        <v/>
      </c>
      <c r="O115" s="19" t="str">
        <f>IFERROR(__xludf.DUMMYFUNCTION("""COMPUTED_VALUE"""),"https://data.worldbank.org/indicator/#health")</f>
        <v>https://data.worldbank.org/indicator/#health</v>
      </c>
      <c r="P115" t="str">
        <f>IFERROR(__xludf.DUMMYFUNCTION("""COMPUTED_VALUE"""),"")</f>
        <v/>
      </c>
      <c r="Q115" t="str">
        <f>IFERROR(__xludf.DUMMYFUNCTION("""COMPUTED_VALUE"""),"")</f>
        <v/>
      </c>
      <c r="R115" t="str">
        <f>IFERROR(__xludf.DUMMYFUNCTION("""COMPUTED_VALUE"""),"")</f>
        <v/>
      </c>
      <c r="S115" t="str">
        <f>IFERROR(__xludf.DUMMYFUNCTION("""COMPUTED_VALUE"""),"")</f>
        <v/>
      </c>
      <c r="T115">
        <f>IFERROR(__xludf.DUMMYFUNCTION("""COMPUTED_VALUE"""),2.0)</f>
        <v>2</v>
      </c>
    </row>
    <row r="116">
      <c r="A116" t="str">
        <f>IFERROR(__xludf.DUMMYFUNCTION("""COMPUTED_VALUE"""),"No high school diploma or equivalent")</f>
        <v>No high school diploma or equivalent</v>
      </c>
      <c r="B116" t="str">
        <f>IFERROR(__xludf.DUMMYFUNCTION("""COMPUTED_VALUE"""),"")</f>
        <v/>
      </c>
      <c r="C116" t="str">
        <f>IFERROR(__xludf.DUMMYFUNCTION("""COMPUTED_VALUE"""),"")</f>
        <v/>
      </c>
      <c r="D116" t="str">
        <f>IFERROR(__xludf.DUMMYFUNCTION("""COMPUTED_VALUE"""),"")</f>
        <v/>
      </c>
      <c r="E116" t="str">
        <f>IFERROR(__xludf.DUMMYFUNCTION("""COMPUTED_VALUE"""),"")</f>
        <v/>
      </c>
      <c r="F116" t="str">
        <f>IFERROR(__xludf.DUMMYFUNCTION("""COMPUTED_VALUE"""),"")</f>
        <v/>
      </c>
      <c r="G116" t="str">
        <f>IFERROR(__xludf.DUMMYFUNCTION("""COMPUTED_VALUE"""),"")</f>
        <v/>
      </c>
      <c r="H116" t="str">
        <f>IFERROR(__xludf.DUMMYFUNCTION("""COMPUTED_VALUE"""),"UnitedHealth measures high school graduation")</f>
        <v>UnitedHealth measures high school graduation</v>
      </c>
      <c r="I116" t="str">
        <f>IFERROR(__xludf.DUMMYFUNCTION("""COMPUTED_VALUE"""),"")</f>
        <v/>
      </c>
      <c r="J116" t="str">
        <f>IFERROR(__xludf.DUMMYFUNCTION("""COMPUTED_VALUE"""),"")</f>
        <v/>
      </c>
      <c r="K116" t="str">
        <f>IFERROR(__xludf.DUMMYFUNCTION("""COMPUTED_VALUE"""),"")</f>
        <v/>
      </c>
      <c r="L116" t="str">
        <f>IFERROR(__xludf.DUMMYFUNCTION("""COMPUTED_VALUE"""),"")</f>
        <v/>
      </c>
      <c r="M116" t="str">
        <f>IFERROR(__xludf.DUMMYFUNCTION("""COMPUTED_VALUE"""),"")</f>
        <v/>
      </c>
      <c r="N116" s="19" t="str">
        <f>IFERROR(__xludf.DUMMYFUNCTION("""COMPUTED_VALUE"""),"https://www.americashealthrankings.org/explore/annual")</f>
        <v>https://www.americashealthrankings.org/explore/annual</v>
      </c>
      <c r="O116" t="str">
        <f>IFERROR(__xludf.DUMMYFUNCTION("""COMPUTED_VALUE"""),"")</f>
        <v/>
      </c>
      <c r="P116" t="str">
        <f>IFERROR(__xludf.DUMMYFUNCTION("""COMPUTED_VALUE"""),"")</f>
        <v/>
      </c>
      <c r="Q116" t="str">
        <f>IFERROR(__xludf.DUMMYFUNCTION("""COMPUTED_VALUE"""),"")</f>
        <v/>
      </c>
      <c r="R116" t="str">
        <f>IFERROR(__xludf.DUMMYFUNCTION("""COMPUTED_VALUE"""),"CHSI")</f>
        <v>CHSI</v>
      </c>
      <c r="S116" t="str">
        <f>IFERROR(__xludf.DUMMYFUNCTION("""COMPUTED_VALUE"""),"")</f>
        <v/>
      </c>
      <c r="T116">
        <f>IFERROR(__xludf.DUMMYFUNCTION("""COMPUTED_VALUE"""),2.0)</f>
        <v>2</v>
      </c>
    </row>
    <row r="117">
      <c r="A117" t="str">
        <f>IFERROR(__xludf.DUMMYFUNCTION("""COMPUTED_VALUE"""),"Gross national income per capita")</f>
        <v>Gross national income per capita</v>
      </c>
      <c r="B117">
        <f>IFERROR(__xludf.DUMMYFUNCTION("""COMPUTED_VALUE"""),58270.0)</f>
        <v>58270</v>
      </c>
      <c r="C117" s="19" t="str">
        <f>IFERROR(__xludf.DUMMYFUNCTION("""COMPUTED_VALUE"""),"http://www.paho.org/data/index.php/en/indicators/visualization.html")</f>
        <v>http://www.paho.org/data/index.php/en/indicators/visualization.html</v>
      </c>
      <c r="D117" t="str">
        <f>IFERROR(__xludf.DUMMYFUNCTION("""COMPUTED_VALUE"""),"")</f>
        <v/>
      </c>
      <c r="E117" t="str">
        <f>IFERROR(__xludf.DUMMYFUNCTION("""COMPUTED_VALUE"""),"")</f>
        <v/>
      </c>
      <c r="F117">
        <f>IFERROR(__xludf.DUMMYFUNCTION("""COMPUTED_VALUE"""),2017.0)</f>
        <v>2017</v>
      </c>
      <c r="G117" t="str">
        <f>IFERROR(__xludf.DUMMYFUNCTION("""COMPUTED_VALUE"""),"demographics")</f>
        <v>demographics</v>
      </c>
      <c r="H117" t="str">
        <f>IFERROR(__xludf.DUMMYFUNCTION("""COMPUTED_VALUE"""),"Also median household income")</f>
        <v>Also median household income</v>
      </c>
      <c r="I117" s="19" t="str">
        <f>IFERROR(__xludf.DUMMYFUNCTION("""COMPUTED_VALUE"""),"http://www.paho.org/data/index.php/en/indicators/visualization.html")</f>
        <v>http://www.paho.org/data/index.php/en/indicators/visualization.html</v>
      </c>
      <c r="J117" t="str">
        <f>IFERROR(__xludf.DUMMYFUNCTION("""COMPUTED_VALUE"""),"")</f>
        <v/>
      </c>
      <c r="K117" t="str">
        <f>IFERROR(__xludf.DUMMYFUNCTION("""COMPUTED_VALUE"""),"")</f>
        <v/>
      </c>
      <c r="L117" t="str">
        <f>IFERROR(__xludf.DUMMYFUNCTION("""COMPUTED_VALUE"""),"")</f>
        <v/>
      </c>
      <c r="M117" t="str">
        <f>IFERROR(__xludf.DUMMYFUNCTION("""COMPUTED_VALUE"""),"")</f>
        <v/>
      </c>
      <c r="N117" s="19" t="str">
        <f>IFERROR(__xludf.DUMMYFUNCTION("""COMPUTED_VALUE"""),"https://www.americashealthrankings.org/explore/annual")</f>
        <v>https://www.americashealthrankings.org/explore/annual</v>
      </c>
      <c r="O117" t="str">
        <f>IFERROR(__xludf.DUMMYFUNCTION("""COMPUTED_VALUE"""),"")</f>
        <v/>
      </c>
      <c r="P117" t="str">
        <f>IFERROR(__xludf.DUMMYFUNCTION("""COMPUTED_VALUE"""),"")</f>
        <v/>
      </c>
      <c r="Q117" t="str">
        <f>IFERROR(__xludf.DUMMYFUNCTION("""COMPUTED_VALUE"""),"")</f>
        <v/>
      </c>
      <c r="R117" t="str">
        <f>IFERROR(__xludf.DUMMYFUNCTION("""COMPUTED_VALUE"""),"")</f>
        <v/>
      </c>
      <c r="S117" t="str">
        <f>IFERROR(__xludf.DUMMYFUNCTION("""COMPUTED_VALUE"""),"")</f>
        <v/>
      </c>
      <c r="T117">
        <f>IFERROR(__xludf.DUMMYFUNCTION("""COMPUTED_VALUE"""),2.0)</f>
        <v>2</v>
      </c>
    </row>
    <row r="118">
      <c r="A118" t="str">
        <f>IFERROR(__xludf.DUMMYFUNCTION("""COMPUTED_VALUE"""),"GINI Index")</f>
        <v>GINI Index</v>
      </c>
      <c r="B118">
        <f>IFERROR(__xludf.DUMMYFUNCTION("""COMPUTED_VALUE"""),41.5)</f>
        <v>41.5</v>
      </c>
      <c r="C118" s="19" t="str">
        <f>IFERROR(__xludf.DUMMYFUNCTION("""COMPUTED_VALUE"""),"http://www.paho.org/data/index.php/en/indicators/visualization.html")</f>
        <v>http://www.paho.org/data/index.php/en/indicators/visualization.html</v>
      </c>
      <c r="D118" t="str">
        <f>IFERROR(__xludf.DUMMYFUNCTION("""COMPUTED_VALUE"""),"")</f>
        <v/>
      </c>
      <c r="E118" t="str">
        <f>IFERROR(__xludf.DUMMYFUNCTION("""COMPUTED_VALUE"""),"")</f>
        <v/>
      </c>
      <c r="F118">
        <f>IFERROR(__xludf.DUMMYFUNCTION("""COMPUTED_VALUE"""),2016.0)</f>
        <v>2016</v>
      </c>
      <c r="G118" t="str">
        <f>IFERROR(__xludf.DUMMYFUNCTION("""COMPUTED_VALUE"""),"demographics")</f>
        <v>demographics</v>
      </c>
      <c r="H118" t="str">
        <f>IFERROR(__xludf.DUMMYFUNCTION("""COMPUTED_VALUE"""),"")</f>
        <v/>
      </c>
      <c r="I118" s="19" t="str">
        <f>IFERROR(__xludf.DUMMYFUNCTION("""COMPUTED_VALUE"""),"http://www.paho.org/data/index.php/en/indicators/visualization.html")</f>
        <v>http://www.paho.org/data/index.php/en/indicators/visualization.html</v>
      </c>
      <c r="J118" t="str">
        <f>IFERROR(__xludf.DUMMYFUNCTION("""COMPUTED_VALUE"""),"")</f>
        <v/>
      </c>
      <c r="K118" t="str">
        <f>IFERROR(__xludf.DUMMYFUNCTION("""COMPUTED_VALUE"""),"")</f>
        <v/>
      </c>
      <c r="L118" t="str">
        <f>IFERROR(__xludf.DUMMYFUNCTION("""COMPUTED_VALUE"""),"")</f>
        <v/>
      </c>
      <c r="M118" t="str">
        <f>IFERROR(__xludf.DUMMYFUNCTION("""COMPUTED_VALUE"""),"")</f>
        <v/>
      </c>
      <c r="N118" s="19" t="str">
        <f>IFERROR(__xludf.DUMMYFUNCTION("""COMPUTED_VALUE"""),"https://www.americashealthrankings.org/explore/annual")</f>
        <v>https://www.americashealthrankings.org/explore/annual</v>
      </c>
      <c r="O118" t="str">
        <f>IFERROR(__xludf.DUMMYFUNCTION("""COMPUTED_VALUE"""),"")</f>
        <v/>
      </c>
      <c r="P118" t="str">
        <f>IFERROR(__xludf.DUMMYFUNCTION("""COMPUTED_VALUE"""),"")</f>
        <v/>
      </c>
      <c r="Q118" t="str">
        <f>IFERROR(__xludf.DUMMYFUNCTION("""COMPUTED_VALUE"""),"")</f>
        <v/>
      </c>
      <c r="R118" t="str">
        <f>IFERROR(__xludf.DUMMYFUNCTION("""COMPUTED_VALUE"""),"")</f>
        <v/>
      </c>
      <c r="S118" t="str">
        <f>IFERROR(__xludf.DUMMYFUNCTION("""COMPUTED_VALUE"""),"")</f>
        <v/>
      </c>
      <c r="T118">
        <f>IFERROR(__xludf.DUMMYFUNCTION("""COMPUTED_VALUE"""),2.0)</f>
        <v>2</v>
      </c>
    </row>
    <row r="119">
      <c r="A119" t="str">
        <f>IFERROR(__xludf.DUMMYFUNCTION("""COMPUTED_VALUE"""),"Unemployed")</f>
        <v>Unemployed</v>
      </c>
      <c r="B119" t="str">
        <f>IFERROR(__xludf.DUMMYFUNCTION("""COMPUTED_VALUE"""),"")</f>
        <v/>
      </c>
      <c r="C119" t="str">
        <f>IFERROR(__xludf.DUMMYFUNCTION("""COMPUTED_VALUE"""),"")</f>
        <v/>
      </c>
      <c r="D119" t="str">
        <f>IFERROR(__xludf.DUMMYFUNCTION("""COMPUTED_VALUE"""),"")</f>
        <v/>
      </c>
      <c r="E119" t="str">
        <f>IFERROR(__xludf.DUMMYFUNCTION("""COMPUTED_VALUE"""),"")</f>
        <v/>
      </c>
      <c r="F119" t="str">
        <f>IFERROR(__xludf.DUMMYFUNCTION("""COMPUTED_VALUE"""),"")</f>
        <v/>
      </c>
      <c r="G119" t="str">
        <f>IFERROR(__xludf.DUMMYFUNCTION("""COMPUTED_VALUE"""),"")</f>
        <v/>
      </c>
      <c r="H119" t="str">
        <f>IFERROR(__xludf.DUMMYFUNCTION("""COMPUTED_VALUE"""),"Also underemployment")</f>
        <v>Also underemployment</v>
      </c>
      <c r="I119" t="str">
        <f>IFERROR(__xludf.DUMMYFUNCTION("""COMPUTED_VALUE"""),"")</f>
        <v/>
      </c>
      <c r="J119" t="str">
        <f>IFERROR(__xludf.DUMMYFUNCTION("""COMPUTED_VALUE"""),"")</f>
        <v/>
      </c>
      <c r="K119" t="str">
        <f>IFERROR(__xludf.DUMMYFUNCTION("""COMPUTED_VALUE"""),"")</f>
        <v/>
      </c>
      <c r="L119" t="str">
        <f>IFERROR(__xludf.DUMMYFUNCTION("""COMPUTED_VALUE"""),"")</f>
        <v/>
      </c>
      <c r="M119" t="str">
        <f>IFERROR(__xludf.DUMMYFUNCTION("""COMPUTED_VALUE"""),"")</f>
        <v/>
      </c>
      <c r="N119" s="19" t="str">
        <f>IFERROR(__xludf.DUMMYFUNCTION("""COMPUTED_VALUE"""),"https://www.americashealthrankings.org/explore/annual")</f>
        <v>https://www.americashealthrankings.org/explore/annual</v>
      </c>
      <c r="O119" t="str">
        <f>IFERROR(__xludf.DUMMYFUNCTION("""COMPUTED_VALUE"""),"")</f>
        <v/>
      </c>
      <c r="P119" t="str">
        <f>IFERROR(__xludf.DUMMYFUNCTION("""COMPUTED_VALUE"""),"")</f>
        <v/>
      </c>
      <c r="Q119" t="str">
        <f>IFERROR(__xludf.DUMMYFUNCTION("""COMPUTED_VALUE"""),"")</f>
        <v/>
      </c>
      <c r="R119" t="str">
        <f>IFERROR(__xludf.DUMMYFUNCTION("""COMPUTED_VALUE"""),"CHSI")</f>
        <v>CHSI</v>
      </c>
      <c r="S119" t="str">
        <f>IFERROR(__xludf.DUMMYFUNCTION("""COMPUTED_VALUE"""),"")</f>
        <v/>
      </c>
      <c r="T119">
        <f>IFERROR(__xludf.DUMMYFUNCTION("""COMPUTED_VALUE"""),2.0)</f>
        <v>2</v>
      </c>
    </row>
    <row r="120">
      <c r="A120" t="str">
        <f>IFERROR(__xludf.DUMMYFUNCTION("""COMPUTED_VALUE"""),"Severe work disability")</f>
        <v>Severe work disability</v>
      </c>
      <c r="B120" t="str">
        <f>IFERROR(__xludf.DUMMYFUNCTION("""COMPUTED_VALUE"""),"")</f>
        <v/>
      </c>
      <c r="C120" t="str">
        <f>IFERROR(__xludf.DUMMYFUNCTION("""COMPUTED_VALUE"""),"")</f>
        <v/>
      </c>
      <c r="D120" t="str">
        <f>IFERROR(__xludf.DUMMYFUNCTION("""COMPUTED_VALUE"""),"")</f>
        <v/>
      </c>
      <c r="E120" t="str">
        <f>IFERROR(__xludf.DUMMYFUNCTION("""COMPUTED_VALUE"""),"")</f>
        <v/>
      </c>
      <c r="F120" t="str">
        <f>IFERROR(__xludf.DUMMYFUNCTION("""COMPUTED_VALUE"""),"")</f>
        <v/>
      </c>
      <c r="G120" t="str">
        <f>IFERROR(__xludf.DUMMYFUNCTION("""COMPUTED_VALUE"""),"")</f>
        <v/>
      </c>
      <c r="H120" t="str">
        <f>IFERROR(__xludf.DUMMYFUNCTION("""COMPUTED_VALUE"""),"OECD: Absence from work due to illness")</f>
        <v>OECD: Absence from work due to illness</v>
      </c>
      <c r="I120" t="str">
        <f>IFERROR(__xludf.DUMMYFUNCTION("""COMPUTED_VALUE"""),"")</f>
        <v/>
      </c>
      <c r="J120" t="str">
        <f>IFERROR(__xludf.DUMMYFUNCTION("""COMPUTED_VALUE"""),"")</f>
        <v/>
      </c>
      <c r="K120" s="19" t="str">
        <f>IFERROR(__xludf.DUMMYFUNCTION("""COMPUTED_VALUE"""),"https://stats.oecd.org/index.aspx?DataSetCode=HEALTH_STAT")</f>
        <v>https://stats.oecd.org/index.aspx?DataSetCode=HEALTH_STAT</v>
      </c>
      <c r="L120" t="str">
        <f>IFERROR(__xludf.DUMMYFUNCTION("""COMPUTED_VALUE"""),"")</f>
        <v/>
      </c>
      <c r="M120" t="str">
        <f>IFERROR(__xludf.DUMMYFUNCTION("""COMPUTED_VALUE"""),"")</f>
        <v/>
      </c>
      <c r="N120" t="str">
        <f>IFERROR(__xludf.DUMMYFUNCTION("""COMPUTED_VALUE"""),"")</f>
        <v/>
      </c>
      <c r="O120" t="str">
        <f>IFERROR(__xludf.DUMMYFUNCTION("""COMPUTED_VALUE"""),"")</f>
        <v/>
      </c>
      <c r="P120" t="str">
        <f>IFERROR(__xludf.DUMMYFUNCTION("""COMPUTED_VALUE"""),"")</f>
        <v/>
      </c>
      <c r="Q120" t="str">
        <f>IFERROR(__xludf.DUMMYFUNCTION("""COMPUTED_VALUE"""),"")</f>
        <v/>
      </c>
      <c r="R120" t="str">
        <f>IFERROR(__xludf.DUMMYFUNCTION("""COMPUTED_VALUE"""),"CHSI")</f>
        <v>CHSI</v>
      </c>
      <c r="S120" t="str">
        <f>IFERROR(__xludf.DUMMYFUNCTION("""COMPUTED_VALUE"""),"")</f>
        <v/>
      </c>
      <c r="T120">
        <f>IFERROR(__xludf.DUMMYFUNCTION("""COMPUTED_VALUE"""),2.0)</f>
        <v>2</v>
      </c>
    </row>
    <row r="121">
      <c r="A121" t="str">
        <f>IFERROR(__xludf.DUMMYFUNCTION("""COMPUTED_VALUE"""),"Mortality from unintentional poisoning")</f>
        <v>Mortality from unintentional poisoning</v>
      </c>
      <c r="B121" t="str">
        <f>IFERROR(__xludf.DUMMYFUNCTION("""COMPUTED_VALUE"""),"")</f>
        <v/>
      </c>
      <c r="C121" t="str">
        <f>IFERROR(__xludf.DUMMYFUNCTION("""COMPUTED_VALUE"""),"")</f>
        <v/>
      </c>
      <c r="D121" t="str">
        <f>IFERROR(__xludf.DUMMYFUNCTION("""COMPUTED_VALUE"""),"")</f>
        <v/>
      </c>
      <c r="E121" t="str">
        <f>IFERROR(__xludf.DUMMYFUNCTION("""COMPUTED_VALUE"""),"")</f>
        <v/>
      </c>
      <c r="F121" t="str">
        <f>IFERROR(__xludf.DUMMYFUNCTION("""COMPUTED_VALUE"""),"")</f>
        <v/>
      </c>
      <c r="G121" t="str">
        <f>IFERROR(__xludf.DUMMYFUNCTION("""COMPUTED_VALUE"""),"")</f>
        <v/>
      </c>
      <c r="H121" t="str">
        <f>IFERROR(__xludf.DUMMYFUNCTION("""COMPUTED_VALUE"""),"SDG 3.9.3")</f>
        <v>SDG 3.9.3</v>
      </c>
      <c r="I12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21" t="str">
        <f>IFERROR(__xludf.DUMMYFUNCTION("""COMPUTED_VALUE"""),"")</f>
        <v/>
      </c>
      <c r="K121" s="19" t="str">
        <f>IFERROR(__xludf.DUMMYFUNCTION("""COMPUTED_VALUE"""),"https://stats.oecd.org/index.aspx?DataSetCode=HEALTH_STAT")</f>
        <v>https://stats.oecd.org/index.aspx?DataSetCode=HEALTH_STAT</v>
      </c>
      <c r="L121" t="str">
        <f>IFERROR(__xludf.DUMMYFUNCTION("""COMPUTED_VALUE"""),"")</f>
        <v/>
      </c>
      <c r="M121" t="str">
        <f>IFERROR(__xludf.DUMMYFUNCTION("""COMPUTED_VALUE"""),"")</f>
        <v/>
      </c>
      <c r="N121" t="str">
        <f>IFERROR(__xludf.DUMMYFUNCTION("""COMPUTED_VALUE"""),"")</f>
        <v/>
      </c>
      <c r="O121" t="str">
        <f>IFERROR(__xludf.DUMMYFUNCTION("""COMPUTED_VALUE"""),"")</f>
        <v/>
      </c>
      <c r="P121" t="str">
        <f>IFERROR(__xludf.DUMMYFUNCTION("""COMPUTED_VALUE"""),"")</f>
        <v/>
      </c>
      <c r="Q121" t="str">
        <f>IFERROR(__xludf.DUMMYFUNCTION("""COMPUTED_VALUE"""),"")</f>
        <v/>
      </c>
      <c r="R121" t="str">
        <f>IFERROR(__xludf.DUMMYFUNCTION("""COMPUTED_VALUE"""),"")</f>
        <v/>
      </c>
      <c r="S121" t="str">
        <f>IFERROR(__xludf.DUMMYFUNCTION("""COMPUTED_VALUE"""),"")</f>
        <v/>
      </c>
      <c r="T121">
        <f>IFERROR(__xludf.DUMMYFUNCTION("""COMPUTED_VALUE"""),2.0)</f>
        <v>2</v>
      </c>
    </row>
    <row r="122">
      <c r="A122" t="str">
        <f>IFERROR(__xludf.DUMMYFUNCTION("""COMPUTED_VALUE"""),"Number of deaths, missing persons, and persons affected by disaster per 100,000 people")</f>
        <v>Number of deaths, missing persons, and persons affected by disaster per 100,000 people</v>
      </c>
      <c r="B122" t="str">
        <f>IFERROR(__xludf.DUMMYFUNCTION("""COMPUTED_VALUE"""),"")</f>
        <v/>
      </c>
      <c r="C122" t="str">
        <f>IFERROR(__xludf.DUMMYFUNCTION("""COMPUTED_VALUE"""),"")</f>
        <v/>
      </c>
      <c r="D122" t="str">
        <f>IFERROR(__xludf.DUMMYFUNCTION("""COMPUTED_VALUE"""),"")</f>
        <v/>
      </c>
      <c r="E122" t="str">
        <f>IFERROR(__xludf.DUMMYFUNCTION("""COMPUTED_VALUE"""),"")</f>
        <v/>
      </c>
      <c r="F122" t="str">
        <f>IFERROR(__xludf.DUMMYFUNCTION("""COMPUTED_VALUE"""),"")</f>
        <v/>
      </c>
      <c r="G122" t="str">
        <f>IFERROR(__xludf.DUMMYFUNCTION("""COMPUTED_VALUE"""),"")</f>
        <v/>
      </c>
      <c r="H122" t="str">
        <f>IFERROR(__xludf.DUMMYFUNCTION("""COMPUTED_VALUE"""),"SDG 1.5.1, 11.5.1, 13.1.1")</f>
        <v>SDG 1.5.1, 11.5.1, 13.1.1</v>
      </c>
      <c r="I12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22" t="str">
        <f>IFERROR(__xludf.DUMMYFUNCTION("""COMPUTED_VALUE"""),"")</f>
        <v/>
      </c>
      <c r="K122" s="19" t="str">
        <f>IFERROR(__xludf.DUMMYFUNCTION("""COMPUTED_VALUE"""),"https://stats.oecd.org/index.aspx?DataSetCode=HEALTH_STAT")</f>
        <v>https://stats.oecd.org/index.aspx?DataSetCode=HEALTH_STAT</v>
      </c>
      <c r="L122" t="str">
        <f>IFERROR(__xludf.DUMMYFUNCTION("""COMPUTED_VALUE"""),"")</f>
        <v/>
      </c>
      <c r="M122" t="str">
        <f>IFERROR(__xludf.DUMMYFUNCTION("""COMPUTED_VALUE"""),"")</f>
        <v/>
      </c>
      <c r="N122" t="str">
        <f>IFERROR(__xludf.DUMMYFUNCTION("""COMPUTED_VALUE"""),"")</f>
        <v/>
      </c>
      <c r="O122" t="str">
        <f>IFERROR(__xludf.DUMMYFUNCTION("""COMPUTED_VALUE"""),"")</f>
        <v/>
      </c>
      <c r="P122" t="str">
        <f>IFERROR(__xludf.DUMMYFUNCTION("""COMPUTED_VALUE"""),"")</f>
        <v/>
      </c>
      <c r="Q122" t="str">
        <f>IFERROR(__xludf.DUMMYFUNCTION("""COMPUTED_VALUE"""),"")</f>
        <v/>
      </c>
      <c r="R122" t="str">
        <f>IFERROR(__xludf.DUMMYFUNCTION("""COMPUTED_VALUE"""),"")</f>
        <v/>
      </c>
      <c r="S122" t="str">
        <f>IFERROR(__xludf.DUMMYFUNCTION("""COMPUTED_VALUE"""),"")</f>
        <v/>
      </c>
      <c r="T122">
        <f>IFERROR(__xludf.DUMMYFUNCTION("""COMPUTED_VALUE"""),2.0)</f>
        <v>2</v>
      </c>
    </row>
    <row r="123">
      <c r="A123" t="str">
        <f>IFERROR(__xludf.DUMMYFUNCTION("""COMPUTED_VALUE"""),"Mortality from Alzheimer's disease")</f>
        <v>Mortality from Alzheimer's disease</v>
      </c>
      <c r="B123" t="str">
        <f>IFERROR(__xludf.DUMMYFUNCTION("""COMPUTED_VALUE"""),"")</f>
        <v/>
      </c>
      <c r="C123" t="str">
        <f>IFERROR(__xludf.DUMMYFUNCTION("""COMPUTED_VALUE"""),"")</f>
        <v/>
      </c>
      <c r="D123" t="str">
        <f>IFERROR(__xludf.DUMMYFUNCTION("""COMPUTED_VALUE"""),"")</f>
        <v/>
      </c>
      <c r="E123" t="str">
        <f>IFERROR(__xludf.DUMMYFUNCTION("""COMPUTED_VALUE"""),"")</f>
        <v/>
      </c>
      <c r="F123" t="str">
        <f>IFERROR(__xludf.DUMMYFUNCTION("""COMPUTED_VALUE"""),"")</f>
        <v/>
      </c>
      <c r="G123" t="str">
        <f>IFERROR(__xludf.DUMMYFUNCTION("""COMPUTED_VALUE"""),"")</f>
        <v/>
      </c>
      <c r="H123" t="str">
        <f>IFERROR(__xludf.DUMMYFUNCTION("""COMPUTED_VALUE"""),"")</f>
        <v/>
      </c>
      <c r="I123" t="str">
        <f>IFERROR(__xludf.DUMMYFUNCTION("""COMPUTED_VALUE"""),"")</f>
        <v/>
      </c>
      <c r="J123" t="str">
        <f>IFERROR(__xludf.DUMMYFUNCTION("""COMPUTED_VALUE"""),"")</f>
        <v/>
      </c>
      <c r="K123" s="19" t="str">
        <f>IFERROR(__xludf.DUMMYFUNCTION("""COMPUTED_VALUE"""),"https://stats.oecd.org/index.aspx?DataSetCode=HEALTH_STAT")</f>
        <v>https://stats.oecd.org/index.aspx?DataSetCode=HEALTH_STAT</v>
      </c>
      <c r="L123" t="str">
        <f>IFERROR(__xludf.DUMMYFUNCTION("""COMPUTED_VALUE"""),"")</f>
        <v/>
      </c>
      <c r="M123" t="str">
        <f>IFERROR(__xludf.DUMMYFUNCTION("""COMPUTED_VALUE"""),"")</f>
        <v/>
      </c>
      <c r="N123" t="str">
        <f>IFERROR(__xludf.DUMMYFUNCTION("""COMPUTED_VALUE"""),"")</f>
        <v/>
      </c>
      <c r="O123" t="str">
        <f>IFERROR(__xludf.DUMMYFUNCTION("""COMPUTED_VALUE"""),"")</f>
        <v/>
      </c>
      <c r="P123"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23" t="str">
        <f>IFERROR(__xludf.DUMMYFUNCTION("""COMPUTED_VALUE"""),"")</f>
        <v/>
      </c>
      <c r="R123" t="str">
        <f>IFERROR(__xludf.DUMMYFUNCTION("""COMPUTED_VALUE"""),"")</f>
        <v/>
      </c>
      <c r="S123" t="str">
        <f>IFERROR(__xludf.DUMMYFUNCTION("""COMPUTED_VALUE"""),"")</f>
        <v/>
      </c>
      <c r="T123">
        <f>IFERROR(__xludf.DUMMYFUNCTION("""COMPUTED_VALUE"""),2.0)</f>
        <v>2</v>
      </c>
    </row>
    <row r="124">
      <c r="A124" t="str">
        <f>IFERROR(__xludf.DUMMYFUNCTION("""COMPUTED_VALUE"""),"Mortality from kidney disease")</f>
        <v>Mortality from kidney disease</v>
      </c>
      <c r="B124" t="str">
        <f>IFERROR(__xludf.DUMMYFUNCTION("""COMPUTED_VALUE"""),"")</f>
        <v/>
      </c>
      <c r="C124" t="str">
        <f>IFERROR(__xludf.DUMMYFUNCTION("""COMPUTED_VALUE"""),"")</f>
        <v/>
      </c>
      <c r="D124" t="str">
        <f>IFERROR(__xludf.DUMMYFUNCTION("""COMPUTED_VALUE"""),"")</f>
        <v/>
      </c>
      <c r="E124" t="str">
        <f>IFERROR(__xludf.DUMMYFUNCTION("""COMPUTED_VALUE"""),"")</f>
        <v/>
      </c>
      <c r="F124" t="str">
        <f>IFERROR(__xludf.DUMMYFUNCTION("""COMPUTED_VALUE"""),"")</f>
        <v/>
      </c>
      <c r="G124" t="str">
        <f>IFERROR(__xludf.DUMMYFUNCTION("""COMPUTED_VALUE"""),"")</f>
        <v/>
      </c>
      <c r="H124" t="str">
        <f>IFERROR(__xludf.DUMMYFUNCTION("""COMPUTED_VALUE"""),"")</f>
        <v/>
      </c>
      <c r="I124" t="str">
        <f>IFERROR(__xludf.DUMMYFUNCTION("""COMPUTED_VALUE"""),"")</f>
        <v/>
      </c>
      <c r="J124" t="str">
        <f>IFERROR(__xludf.DUMMYFUNCTION("""COMPUTED_VALUE"""),"")</f>
        <v/>
      </c>
      <c r="K124" s="19" t="str">
        <f>IFERROR(__xludf.DUMMYFUNCTION("""COMPUTED_VALUE"""),"https://stats.oecd.org/index.aspx?DataSetCode=HEALTH_STAT")</f>
        <v>https://stats.oecd.org/index.aspx?DataSetCode=HEALTH_STAT</v>
      </c>
      <c r="L124" t="str">
        <f>IFERROR(__xludf.DUMMYFUNCTION("""COMPUTED_VALUE"""),"")</f>
        <v/>
      </c>
      <c r="M124" t="str">
        <f>IFERROR(__xludf.DUMMYFUNCTION("""COMPUTED_VALUE"""),"")</f>
        <v/>
      </c>
      <c r="N124" t="str">
        <f>IFERROR(__xludf.DUMMYFUNCTION("""COMPUTED_VALUE"""),"")</f>
        <v/>
      </c>
      <c r="O124" t="str">
        <f>IFERROR(__xludf.DUMMYFUNCTION("""COMPUTED_VALUE"""),"")</f>
        <v/>
      </c>
      <c r="P124"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24" t="str">
        <f>IFERROR(__xludf.DUMMYFUNCTION("""COMPUTED_VALUE"""),"")</f>
        <v/>
      </c>
      <c r="R124" t="str">
        <f>IFERROR(__xludf.DUMMYFUNCTION("""COMPUTED_VALUE"""),"")</f>
        <v/>
      </c>
      <c r="S124" t="str">
        <f>IFERROR(__xludf.DUMMYFUNCTION("""COMPUTED_VALUE"""),"")</f>
        <v/>
      </c>
      <c r="T124">
        <f>IFERROR(__xludf.DUMMYFUNCTION("""COMPUTED_VALUE"""),2.0)</f>
        <v>2</v>
      </c>
    </row>
    <row r="125">
      <c r="A125" t="str">
        <f>IFERROR(__xludf.DUMMYFUNCTION("""COMPUTED_VALUE"""),"Mortality by food safety issues")</f>
        <v>Mortality by food safety issues</v>
      </c>
      <c r="B125" t="str">
        <f>IFERROR(__xludf.DUMMYFUNCTION("""COMPUTED_VALUE"""),"")</f>
        <v/>
      </c>
      <c r="C125" t="str">
        <f>IFERROR(__xludf.DUMMYFUNCTION("""COMPUTED_VALUE"""),"")</f>
        <v/>
      </c>
      <c r="D125" t="str">
        <f>IFERROR(__xludf.DUMMYFUNCTION("""COMPUTED_VALUE"""),"")</f>
        <v/>
      </c>
      <c r="E125" t="str">
        <f>IFERROR(__xludf.DUMMYFUNCTION("""COMPUTED_VALUE"""),"")</f>
        <v/>
      </c>
      <c r="F125" t="str">
        <f>IFERROR(__xludf.DUMMYFUNCTION("""COMPUTED_VALUE"""),"")</f>
        <v/>
      </c>
      <c r="G125" t="str">
        <f>IFERROR(__xludf.DUMMYFUNCTION("""COMPUTED_VALUE"""),"")</f>
        <v/>
      </c>
      <c r="H125" t="str">
        <f>IFERROR(__xludf.DUMMYFUNCTION("""COMPUTED_VALUE"""),"")</f>
        <v/>
      </c>
      <c r="I125" t="str">
        <f>IFERROR(__xludf.DUMMYFUNCTION("""COMPUTED_VALUE"""),"")</f>
        <v/>
      </c>
      <c r="J125" t="str">
        <f>IFERROR(__xludf.DUMMYFUNCTION("""COMPUTED_VALUE"""),"")</f>
        <v/>
      </c>
      <c r="K125" s="19" t="str">
        <f>IFERROR(__xludf.DUMMYFUNCTION("""COMPUTED_VALUE"""),"https://stats.oecd.org/index.aspx?DataSetCode=HEALTH_STAT")</f>
        <v>https://stats.oecd.org/index.aspx?DataSetCode=HEALTH_STAT</v>
      </c>
      <c r="L125" t="str">
        <f>IFERROR(__xludf.DUMMYFUNCTION("""COMPUTED_VALUE"""),"")</f>
        <v/>
      </c>
      <c r="M125" t="str">
        <f>IFERROR(__xludf.DUMMYFUNCTION("""COMPUTED_VALUE"""),"")</f>
        <v/>
      </c>
      <c r="N125" t="str">
        <f>IFERROR(__xludf.DUMMYFUNCTION("""COMPUTED_VALUE"""),"")</f>
        <v/>
      </c>
      <c r="O125" t="str">
        <f>IFERROR(__xludf.DUMMYFUNCTION("""COMPUTED_VALUE"""),"")</f>
        <v/>
      </c>
      <c r="P125" t="str">
        <f>IFERROR(__xludf.DUMMYFUNCTION("""COMPUTED_VALUE"""),"")</f>
        <v/>
      </c>
      <c r="Q125" s="19" t="str">
        <f>IFERROR(__xludf.DUMMYFUNCTION("""COMPUTED_VALUE"""),"https://wwwn.cdc.gov/psr/NationalSummary/NationalSummary.aspx")</f>
        <v>https://wwwn.cdc.gov/psr/NationalSummary/NationalSummary.aspx</v>
      </c>
      <c r="R125" t="str">
        <f>IFERROR(__xludf.DUMMYFUNCTION("""COMPUTED_VALUE"""),"")</f>
        <v/>
      </c>
      <c r="S125" t="str">
        <f>IFERROR(__xludf.DUMMYFUNCTION("""COMPUTED_VALUE"""),"")</f>
        <v/>
      </c>
      <c r="T125">
        <f>IFERROR(__xludf.DUMMYFUNCTION("""COMPUTED_VALUE"""),2.0)</f>
        <v>2</v>
      </c>
    </row>
    <row r="126">
      <c r="A126" t="str">
        <f>IFERROR(__xludf.DUMMYFUNCTION("""COMPUTED_VALUE"""),"New cases of IHR-notifiable diseases and other notifiable diseases")</f>
        <v>New cases of IHR-notifiable diseases and other notifiable diseases</v>
      </c>
      <c r="B126" t="str">
        <f>IFERROR(__xludf.DUMMYFUNCTION("""COMPUTED_VALUE"""),"")</f>
        <v/>
      </c>
      <c r="C126" t="str">
        <f>IFERROR(__xludf.DUMMYFUNCTION("""COMPUTED_VALUE"""),"")</f>
        <v/>
      </c>
      <c r="D126" t="str">
        <f>IFERROR(__xludf.DUMMYFUNCTION("""COMPUTED_VALUE"""),"")</f>
        <v/>
      </c>
      <c r="E126" t="str">
        <f>IFERROR(__xludf.DUMMYFUNCTION("""COMPUTED_VALUE"""),"")</f>
        <v/>
      </c>
      <c r="F126" t="str">
        <f>IFERROR(__xludf.DUMMYFUNCTION("""COMPUTED_VALUE"""),"")</f>
        <v/>
      </c>
      <c r="G126" t="str">
        <f>IFERROR(__xludf.DUMMYFUNCTION("""COMPUTED_VALUE"""),"")</f>
        <v/>
      </c>
      <c r="H126" t="str">
        <f>IFERROR(__xludf.DUMMYFUNCTION("""COMPUTED_VALUE"""),"")</f>
        <v/>
      </c>
      <c r="I12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26" t="str">
        <f>IFERROR(__xludf.DUMMYFUNCTION("""COMPUTED_VALUE"""),"")</f>
        <v/>
      </c>
      <c r="K126" s="19" t="str">
        <f>IFERROR(__xludf.DUMMYFUNCTION("""COMPUTED_VALUE"""),"https://stats.oecd.org/index.aspx?DataSetCode=HEALTH_STAT")</f>
        <v>https://stats.oecd.org/index.aspx?DataSetCode=HEALTH_STAT</v>
      </c>
      <c r="L126" t="str">
        <f>IFERROR(__xludf.DUMMYFUNCTION("""COMPUTED_VALUE"""),"")</f>
        <v/>
      </c>
      <c r="M126" t="str">
        <f>IFERROR(__xludf.DUMMYFUNCTION("""COMPUTED_VALUE"""),"")</f>
        <v/>
      </c>
      <c r="N126" t="str">
        <f>IFERROR(__xludf.DUMMYFUNCTION("""COMPUTED_VALUE"""),"")</f>
        <v/>
      </c>
      <c r="O126" t="str">
        <f>IFERROR(__xludf.DUMMYFUNCTION("""COMPUTED_VALUE"""),"")</f>
        <v/>
      </c>
      <c r="P126" t="str">
        <f>IFERROR(__xludf.DUMMYFUNCTION("""COMPUTED_VALUE"""),"")</f>
        <v/>
      </c>
      <c r="Q126" t="str">
        <f>IFERROR(__xludf.DUMMYFUNCTION("""COMPUTED_VALUE"""),"")</f>
        <v/>
      </c>
      <c r="R126" t="str">
        <f>IFERROR(__xludf.DUMMYFUNCTION("""COMPUTED_VALUE"""),"")</f>
        <v/>
      </c>
      <c r="S126" t="str">
        <f>IFERROR(__xludf.DUMMYFUNCTION("""COMPUTED_VALUE"""),"")</f>
        <v/>
      </c>
      <c r="T126">
        <f>IFERROR(__xludf.DUMMYFUNCTION("""COMPUTED_VALUE"""),2.0)</f>
        <v>2</v>
      </c>
    </row>
    <row r="127">
      <c r="A127" t="str">
        <f>IFERROR(__xludf.DUMMYFUNCTION("""COMPUTED_VALUE"""),"Heptitis B surface antigen prevalence")</f>
        <v>Heptitis B surface antigen prevalence</v>
      </c>
      <c r="B127" t="str">
        <f>IFERROR(__xludf.DUMMYFUNCTION("""COMPUTED_VALUE"""),"")</f>
        <v/>
      </c>
      <c r="C127" t="str">
        <f>IFERROR(__xludf.DUMMYFUNCTION("""COMPUTED_VALUE"""),"")</f>
        <v/>
      </c>
      <c r="D127" t="str">
        <f>IFERROR(__xludf.DUMMYFUNCTION("""COMPUTED_VALUE"""),"")</f>
        <v/>
      </c>
      <c r="E127" t="str">
        <f>IFERROR(__xludf.DUMMYFUNCTION("""COMPUTED_VALUE"""),"")</f>
        <v/>
      </c>
      <c r="F127" t="str">
        <f>IFERROR(__xludf.DUMMYFUNCTION("""COMPUTED_VALUE"""),"")</f>
        <v/>
      </c>
      <c r="G127" t="str">
        <f>IFERROR(__xludf.DUMMYFUNCTION("""COMPUTED_VALUE"""),"")</f>
        <v/>
      </c>
      <c r="H127" t="str">
        <f>IFERROR(__xludf.DUMMYFUNCTION("""COMPUTED_VALUE"""),"")</f>
        <v/>
      </c>
      <c r="I12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27" t="str">
        <f>IFERROR(__xludf.DUMMYFUNCTION("""COMPUTED_VALUE"""),"")</f>
        <v/>
      </c>
      <c r="K127" s="19" t="str">
        <f>IFERROR(__xludf.DUMMYFUNCTION("""COMPUTED_VALUE"""),"https://stats.oecd.org/index.aspx?DataSetCode=HEALTH_STAT")</f>
        <v>https://stats.oecd.org/index.aspx?DataSetCode=HEALTH_STAT</v>
      </c>
      <c r="L127" t="str">
        <f>IFERROR(__xludf.DUMMYFUNCTION("""COMPUTED_VALUE"""),"")</f>
        <v/>
      </c>
      <c r="M127" t="str">
        <f>IFERROR(__xludf.DUMMYFUNCTION("""COMPUTED_VALUE"""),"")</f>
        <v/>
      </c>
      <c r="N127" t="str">
        <f>IFERROR(__xludf.DUMMYFUNCTION("""COMPUTED_VALUE"""),"")</f>
        <v/>
      </c>
      <c r="O127" t="str">
        <f>IFERROR(__xludf.DUMMYFUNCTION("""COMPUTED_VALUE"""),"")</f>
        <v/>
      </c>
      <c r="P127" t="str">
        <f>IFERROR(__xludf.DUMMYFUNCTION("""COMPUTED_VALUE"""),"")</f>
        <v/>
      </c>
      <c r="Q127" t="str">
        <f>IFERROR(__xludf.DUMMYFUNCTION("""COMPUTED_VALUE"""),"")</f>
        <v/>
      </c>
      <c r="R127" t="str">
        <f>IFERROR(__xludf.DUMMYFUNCTION("""COMPUTED_VALUE"""),"")</f>
        <v/>
      </c>
      <c r="S127" t="str">
        <f>IFERROR(__xludf.DUMMYFUNCTION("""COMPUTED_VALUE"""),"")</f>
        <v/>
      </c>
      <c r="T127">
        <f>IFERROR(__xludf.DUMMYFUNCTION("""COMPUTED_VALUE"""),2.0)</f>
        <v>2</v>
      </c>
    </row>
    <row r="128">
      <c r="A128" t="str">
        <f>IFERROR(__xludf.DUMMYFUNCTION("""COMPUTED_VALUE"""),"Hepatitis B incidence")</f>
        <v>Hepatitis B incidence</v>
      </c>
      <c r="B128" t="str">
        <f>IFERROR(__xludf.DUMMYFUNCTION("""COMPUTED_VALUE"""),"")</f>
        <v/>
      </c>
      <c r="C128" t="str">
        <f>IFERROR(__xludf.DUMMYFUNCTION("""COMPUTED_VALUE"""),"")</f>
        <v/>
      </c>
      <c r="D128" t="str">
        <f>IFERROR(__xludf.DUMMYFUNCTION("""COMPUTED_VALUE"""),"")</f>
        <v/>
      </c>
      <c r="E128" t="str">
        <f>IFERROR(__xludf.DUMMYFUNCTION("""COMPUTED_VALUE"""),"")</f>
        <v/>
      </c>
      <c r="F128" t="str">
        <f>IFERROR(__xludf.DUMMYFUNCTION("""COMPUTED_VALUE"""),"")</f>
        <v/>
      </c>
      <c r="G128" t="str">
        <f>IFERROR(__xludf.DUMMYFUNCTION("""COMPUTED_VALUE"""),"")</f>
        <v/>
      </c>
      <c r="H128" t="str">
        <f>IFERROR(__xludf.DUMMYFUNCTION("""COMPUTED_VALUE"""),"SDG 3.3.4")</f>
        <v>SDG 3.3.4</v>
      </c>
      <c r="I12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28" t="str">
        <f>IFERROR(__xludf.DUMMYFUNCTION("""COMPUTED_VALUE"""),"")</f>
        <v/>
      </c>
      <c r="K128" s="19" t="str">
        <f>IFERROR(__xludf.DUMMYFUNCTION("""COMPUTED_VALUE"""),"https://stats.oecd.org/index.aspx?DataSetCode=HEALTH_STAT")</f>
        <v>https://stats.oecd.org/index.aspx?DataSetCode=HEALTH_STAT</v>
      </c>
      <c r="L128" t="str">
        <f>IFERROR(__xludf.DUMMYFUNCTION("""COMPUTED_VALUE"""),"")</f>
        <v/>
      </c>
      <c r="M128" t="str">
        <f>IFERROR(__xludf.DUMMYFUNCTION("""COMPUTED_VALUE"""),"")</f>
        <v/>
      </c>
      <c r="N128" t="str">
        <f>IFERROR(__xludf.DUMMYFUNCTION("""COMPUTED_VALUE"""),"")</f>
        <v/>
      </c>
      <c r="O128" t="str">
        <f>IFERROR(__xludf.DUMMYFUNCTION("""COMPUTED_VALUE"""),"")</f>
        <v/>
      </c>
      <c r="P128" t="str">
        <f>IFERROR(__xludf.DUMMYFUNCTION("""COMPUTED_VALUE"""),"")</f>
        <v/>
      </c>
      <c r="Q128" t="str">
        <f>IFERROR(__xludf.DUMMYFUNCTION("""COMPUTED_VALUE"""),"")</f>
        <v/>
      </c>
      <c r="R128" t="str">
        <f>IFERROR(__xludf.DUMMYFUNCTION("""COMPUTED_VALUE"""),"")</f>
        <v/>
      </c>
      <c r="S128" t="str">
        <f>IFERROR(__xludf.DUMMYFUNCTION("""COMPUTED_VALUE"""),"")</f>
        <v/>
      </c>
      <c r="T128">
        <f>IFERROR(__xludf.DUMMYFUNCTION("""COMPUTED_VALUE"""),2.0)</f>
        <v>2</v>
      </c>
    </row>
    <row r="129">
      <c r="A129" t="str">
        <f>IFERROR(__xludf.DUMMYFUNCTION("""COMPUTED_VALUE"""),"Sexually transmitted infections (STIs) incidence rate")</f>
        <v>Sexually transmitted infections (STIs) incidence rate</v>
      </c>
      <c r="B129" t="str">
        <f>IFERROR(__xludf.DUMMYFUNCTION("""COMPUTED_VALUE"""),"")</f>
        <v/>
      </c>
      <c r="C129" t="str">
        <f>IFERROR(__xludf.DUMMYFUNCTION("""COMPUTED_VALUE"""),"")</f>
        <v/>
      </c>
      <c r="D129" t="str">
        <f>IFERROR(__xludf.DUMMYFUNCTION("""COMPUTED_VALUE"""),"")</f>
        <v/>
      </c>
      <c r="E129" t="str">
        <f>IFERROR(__xludf.DUMMYFUNCTION("""COMPUTED_VALUE"""),"")</f>
        <v/>
      </c>
      <c r="F129" t="str">
        <f>IFERROR(__xludf.DUMMYFUNCTION("""COMPUTED_VALUE"""),"")</f>
        <v/>
      </c>
      <c r="G129" t="str">
        <f>IFERROR(__xludf.DUMMYFUNCTION("""COMPUTED_VALUE"""),"")</f>
        <v/>
      </c>
      <c r="H129" t="str">
        <f>IFERROR(__xludf.DUMMYFUNCTION("""COMPUTED_VALUE"""),"")</f>
        <v/>
      </c>
      <c r="I12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29" t="str">
        <f>IFERROR(__xludf.DUMMYFUNCTION("""COMPUTED_VALUE"""),"")</f>
        <v/>
      </c>
      <c r="K129" s="19" t="str">
        <f>IFERROR(__xludf.DUMMYFUNCTION("""COMPUTED_VALUE"""),"https://stats.oecd.org/index.aspx?DataSetCode=HEALTH_STAT")</f>
        <v>https://stats.oecd.org/index.aspx?DataSetCode=HEALTH_STAT</v>
      </c>
      <c r="L129" t="str">
        <f>IFERROR(__xludf.DUMMYFUNCTION("""COMPUTED_VALUE"""),"")</f>
        <v/>
      </c>
      <c r="M129" t="str">
        <f>IFERROR(__xludf.DUMMYFUNCTION("""COMPUTED_VALUE"""),"")</f>
        <v/>
      </c>
      <c r="N129" t="str">
        <f>IFERROR(__xludf.DUMMYFUNCTION("""COMPUTED_VALUE"""),"")</f>
        <v/>
      </c>
      <c r="O129" t="str">
        <f>IFERROR(__xludf.DUMMYFUNCTION("""COMPUTED_VALUE"""),"")</f>
        <v/>
      </c>
      <c r="P129" t="str">
        <f>IFERROR(__xludf.DUMMYFUNCTION("""COMPUTED_VALUE"""),"")</f>
        <v/>
      </c>
      <c r="Q129" t="str">
        <f>IFERROR(__xludf.DUMMYFUNCTION("""COMPUTED_VALUE"""),"")</f>
        <v/>
      </c>
      <c r="R129" t="str">
        <f>IFERROR(__xludf.DUMMYFUNCTION("""COMPUTED_VALUE"""),"")</f>
        <v/>
      </c>
      <c r="S129" t="str">
        <f>IFERROR(__xludf.DUMMYFUNCTION("""COMPUTED_VALUE"""),"")</f>
        <v/>
      </c>
      <c r="T129">
        <f>IFERROR(__xludf.DUMMYFUNCTION("""COMPUTED_VALUE"""),2.0)</f>
        <v>2</v>
      </c>
    </row>
    <row r="130">
      <c r="A130" t="str">
        <f>IFERROR(__xludf.DUMMYFUNCTION("""COMPUTED_VALUE"""),"Congenital syphilis rate")</f>
        <v>Congenital syphilis rate</v>
      </c>
      <c r="B130" t="str">
        <f>IFERROR(__xludf.DUMMYFUNCTION("""COMPUTED_VALUE"""),"")</f>
        <v/>
      </c>
      <c r="C130" t="str">
        <f>IFERROR(__xludf.DUMMYFUNCTION("""COMPUTED_VALUE"""),"")</f>
        <v/>
      </c>
      <c r="D130" t="str">
        <f>IFERROR(__xludf.DUMMYFUNCTION("""COMPUTED_VALUE"""),"")</f>
        <v/>
      </c>
      <c r="E130" t="str">
        <f>IFERROR(__xludf.DUMMYFUNCTION("""COMPUTED_VALUE"""),"")</f>
        <v/>
      </c>
      <c r="F130" t="str">
        <f>IFERROR(__xludf.DUMMYFUNCTION("""COMPUTED_VALUE"""),"")</f>
        <v/>
      </c>
      <c r="G130" t="str">
        <f>IFERROR(__xludf.DUMMYFUNCTION("""COMPUTED_VALUE"""),"")</f>
        <v/>
      </c>
      <c r="H130" t="str">
        <f>IFERROR(__xludf.DUMMYFUNCTION("""COMPUTED_VALUE"""),"")</f>
        <v/>
      </c>
      <c r="I13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0" t="str">
        <f>IFERROR(__xludf.DUMMYFUNCTION("""COMPUTED_VALUE"""),"")</f>
        <v/>
      </c>
      <c r="K130" s="19" t="str">
        <f>IFERROR(__xludf.DUMMYFUNCTION("""COMPUTED_VALUE"""),"https://stats.oecd.org/index.aspx?DataSetCode=HEALTH_STAT")</f>
        <v>https://stats.oecd.org/index.aspx?DataSetCode=HEALTH_STAT</v>
      </c>
      <c r="L130" t="str">
        <f>IFERROR(__xludf.DUMMYFUNCTION("""COMPUTED_VALUE"""),"")</f>
        <v/>
      </c>
      <c r="M130" t="str">
        <f>IFERROR(__xludf.DUMMYFUNCTION("""COMPUTED_VALUE"""),"")</f>
        <v/>
      </c>
      <c r="N130" t="str">
        <f>IFERROR(__xludf.DUMMYFUNCTION("""COMPUTED_VALUE"""),"")</f>
        <v/>
      </c>
      <c r="O130" t="str">
        <f>IFERROR(__xludf.DUMMYFUNCTION("""COMPUTED_VALUE"""),"")</f>
        <v/>
      </c>
      <c r="P130" t="str">
        <f>IFERROR(__xludf.DUMMYFUNCTION("""COMPUTED_VALUE"""),"")</f>
        <v/>
      </c>
      <c r="Q130" t="str">
        <f>IFERROR(__xludf.DUMMYFUNCTION("""COMPUTED_VALUE"""),"")</f>
        <v/>
      </c>
      <c r="R130" t="str">
        <f>IFERROR(__xludf.DUMMYFUNCTION("""COMPUTED_VALUE"""),"")</f>
        <v/>
      </c>
      <c r="S130" t="str">
        <f>IFERROR(__xludf.DUMMYFUNCTION("""COMPUTED_VALUE"""),"")</f>
        <v/>
      </c>
      <c r="T130">
        <f>IFERROR(__xludf.DUMMYFUNCTION("""COMPUTED_VALUE"""),2.0)</f>
        <v>2</v>
      </c>
    </row>
    <row r="131">
      <c r="A131" t="str">
        <f>IFERROR(__xludf.DUMMYFUNCTION("""COMPUTED_VALUE"""),"TB incidence rate")</f>
        <v>TB incidence rate</v>
      </c>
      <c r="B131" t="str">
        <f>IFERROR(__xludf.DUMMYFUNCTION("""COMPUTED_VALUE"""),"")</f>
        <v/>
      </c>
      <c r="C131" t="str">
        <f>IFERROR(__xludf.DUMMYFUNCTION("""COMPUTED_VALUE"""),"")</f>
        <v/>
      </c>
      <c r="D131" t="str">
        <f>IFERROR(__xludf.DUMMYFUNCTION("""COMPUTED_VALUE"""),"")</f>
        <v/>
      </c>
      <c r="E131" t="str">
        <f>IFERROR(__xludf.DUMMYFUNCTION("""COMPUTED_VALUE"""),"")</f>
        <v/>
      </c>
      <c r="F131" t="str">
        <f>IFERROR(__xludf.DUMMYFUNCTION("""COMPUTED_VALUE"""),"")</f>
        <v/>
      </c>
      <c r="G131" t="str">
        <f>IFERROR(__xludf.DUMMYFUNCTION("""COMPUTED_VALUE"""),"")</f>
        <v/>
      </c>
      <c r="H131" t="str">
        <f>IFERROR(__xludf.DUMMYFUNCTION("""COMPUTED_VALUE"""),"SDG 3.3.2")</f>
        <v>SDG 3.3.2</v>
      </c>
      <c r="I13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1" t="str">
        <f>IFERROR(__xludf.DUMMYFUNCTION("""COMPUTED_VALUE"""),"")</f>
        <v/>
      </c>
      <c r="K131" s="19" t="str">
        <f>IFERROR(__xludf.DUMMYFUNCTION("""COMPUTED_VALUE"""),"https://stats.oecd.org/index.aspx?DataSetCode=HEALTH_STAT")</f>
        <v>https://stats.oecd.org/index.aspx?DataSetCode=HEALTH_STAT</v>
      </c>
      <c r="L131" t="str">
        <f>IFERROR(__xludf.DUMMYFUNCTION("""COMPUTED_VALUE"""),"")</f>
        <v/>
      </c>
      <c r="M131" t="str">
        <f>IFERROR(__xludf.DUMMYFUNCTION("""COMPUTED_VALUE"""),"")</f>
        <v/>
      </c>
      <c r="N131" t="str">
        <f>IFERROR(__xludf.DUMMYFUNCTION("""COMPUTED_VALUE"""),"")</f>
        <v/>
      </c>
      <c r="O131" t="str">
        <f>IFERROR(__xludf.DUMMYFUNCTION("""COMPUTED_VALUE"""),"")</f>
        <v/>
      </c>
      <c r="P131" t="str">
        <f>IFERROR(__xludf.DUMMYFUNCTION("""COMPUTED_VALUE"""),"")</f>
        <v/>
      </c>
      <c r="Q131" t="str">
        <f>IFERROR(__xludf.DUMMYFUNCTION("""COMPUTED_VALUE"""),"")</f>
        <v/>
      </c>
      <c r="R131" t="str">
        <f>IFERROR(__xludf.DUMMYFUNCTION("""COMPUTED_VALUE"""),"")</f>
        <v/>
      </c>
      <c r="S131" t="str">
        <f>IFERROR(__xludf.DUMMYFUNCTION("""COMPUTED_VALUE"""),"")</f>
        <v/>
      </c>
      <c r="T131">
        <f>IFERROR(__xludf.DUMMYFUNCTION("""COMPUTED_VALUE"""),2.0)</f>
        <v>2</v>
      </c>
    </row>
    <row r="132">
      <c r="A132" t="str">
        <f>IFERROR(__xludf.DUMMYFUNCTION("""COMPUTED_VALUE"""),"TB notification rate")</f>
        <v>TB notification rate</v>
      </c>
      <c r="B132" t="str">
        <f>IFERROR(__xludf.DUMMYFUNCTION("""COMPUTED_VALUE"""),"")</f>
        <v/>
      </c>
      <c r="C132" t="str">
        <f>IFERROR(__xludf.DUMMYFUNCTION("""COMPUTED_VALUE"""),"")</f>
        <v/>
      </c>
      <c r="D132" t="str">
        <f>IFERROR(__xludf.DUMMYFUNCTION("""COMPUTED_VALUE"""),"")</f>
        <v/>
      </c>
      <c r="E132" t="str">
        <f>IFERROR(__xludf.DUMMYFUNCTION("""COMPUTED_VALUE"""),"")</f>
        <v/>
      </c>
      <c r="F132" t="str">
        <f>IFERROR(__xludf.DUMMYFUNCTION("""COMPUTED_VALUE"""),"")</f>
        <v/>
      </c>
      <c r="G132" t="str">
        <f>IFERROR(__xludf.DUMMYFUNCTION("""COMPUTED_VALUE"""),"")</f>
        <v/>
      </c>
      <c r="H132" t="str">
        <f>IFERROR(__xludf.DUMMYFUNCTION("""COMPUTED_VALUE"""),"")</f>
        <v/>
      </c>
      <c r="I13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2" t="str">
        <f>IFERROR(__xludf.DUMMYFUNCTION("""COMPUTED_VALUE"""),"")</f>
        <v/>
      </c>
      <c r="K132" s="19" t="str">
        <f>IFERROR(__xludf.DUMMYFUNCTION("""COMPUTED_VALUE"""),"https://stats.oecd.org/index.aspx?DataSetCode=HEALTH_STAT")</f>
        <v>https://stats.oecd.org/index.aspx?DataSetCode=HEALTH_STAT</v>
      </c>
      <c r="L132" t="str">
        <f>IFERROR(__xludf.DUMMYFUNCTION("""COMPUTED_VALUE"""),"")</f>
        <v/>
      </c>
      <c r="M132" t="str">
        <f>IFERROR(__xludf.DUMMYFUNCTION("""COMPUTED_VALUE"""),"")</f>
        <v/>
      </c>
      <c r="N132" t="str">
        <f>IFERROR(__xludf.DUMMYFUNCTION("""COMPUTED_VALUE"""),"")</f>
        <v/>
      </c>
      <c r="O132" t="str">
        <f>IFERROR(__xludf.DUMMYFUNCTION("""COMPUTED_VALUE"""),"")</f>
        <v/>
      </c>
      <c r="P132" t="str">
        <f>IFERROR(__xludf.DUMMYFUNCTION("""COMPUTED_VALUE"""),"")</f>
        <v/>
      </c>
      <c r="Q132" t="str">
        <f>IFERROR(__xludf.DUMMYFUNCTION("""COMPUTED_VALUE"""),"")</f>
        <v/>
      </c>
      <c r="R132" t="str">
        <f>IFERROR(__xludf.DUMMYFUNCTION("""COMPUTED_VALUE"""),"")</f>
        <v/>
      </c>
      <c r="S132" t="str">
        <f>IFERROR(__xludf.DUMMYFUNCTION("""COMPUTED_VALUE"""),"")</f>
        <v/>
      </c>
      <c r="T132">
        <f>IFERROR(__xludf.DUMMYFUNCTION("""COMPUTED_VALUE"""),2.0)</f>
        <v>2</v>
      </c>
    </row>
    <row r="133">
      <c r="A133" t="str">
        <f>IFERROR(__xludf.DUMMYFUNCTION("""COMPUTED_VALUE"""),"Malaria parasite prevalence among children aged 6-59 months")</f>
        <v>Malaria parasite prevalence among children aged 6-59 months</v>
      </c>
      <c r="B133" t="str">
        <f>IFERROR(__xludf.DUMMYFUNCTION("""COMPUTED_VALUE"""),"")</f>
        <v/>
      </c>
      <c r="C133" t="str">
        <f>IFERROR(__xludf.DUMMYFUNCTION("""COMPUTED_VALUE"""),"")</f>
        <v/>
      </c>
      <c r="D133" t="str">
        <f>IFERROR(__xludf.DUMMYFUNCTION("""COMPUTED_VALUE"""),"")</f>
        <v/>
      </c>
      <c r="E133" t="str">
        <f>IFERROR(__xludf.DUMMYFUNCTION("""COMPUTED_VALUE"""),"")</f>
        <v/>
      </c>
      <c r="F133" t="str">
        <f>IFERROR(__xludf.DUMMYFUNCTION("""COMPUTED_VALUE"""),"")</f>
        <v/>
      </c>
      <c r="G133" t="str">
        <f>IFERROR(__xludf.DUMMYFUNCTION("""COMPUTED_VALUE"""),"")</f>
        <v/>
      </c>
      <c r="H133" t="str">
        <f>IFERROR(__xludf.DUMMYFUNCTION("""COMPUTED_VALUE"""),"")</f>
        <v/>
      </c>
      <c r="I13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3" t="str">
        <f>IFERROR(__xludf.DUMMYFUNCTION("""COMPUTED_VALUE"""),"")</f>
        <v/>
      </c>
      <c r="K133" s="19" t="str">
        <f>IFERROR(__xludf.DUMMYFUNCTION("""COMPUTED_VALUE"""),"https://stats.oecd.org/index.aspx?DataSetCode=HEALTH_STAT")</f>
        <v>https://stats.oecd.org/index.aspx?DataSetCode=HEALTH_STAT</v>
      </c>
      <c r="L133" t="str">
        <f>IFERROR(__xludf.DUMMYFUNCTION("""COMPUTED_VALUE"""),"")</f>
        <v/>
      </c>
      <c r="M133" t="str">
        <f>IFERROR(__xludf.DUMMYFUNCTION("""COMPUTED_VALUE"""),"")</f>
        <v/>
      </c>
      <c r="N133" t="str">
        <f>IFERROR(__xludf.DUMMYFUNCTION("""COMPUTED_VALUE"""),"")</f>
        <v/>
      </c>
      <c r="O133" t="str">
        <f>IFERROR(__xludf.DUMMYFUNCTION("""COMPUTED_VALUE"""),"")</f>
        <v/>
      </c>
      <c r="P133" t="str">
        <f>IFERROR(__xludf.DUMMYFUNCTION("""COMPUTED_VALUE"""),"")</f>
        <v/>
      </c>
      <c r="Q133" t="str">
        <f>IFERROR(__xludf.DUMMYFUNCTION("""COMPUTED_VALUE"""),"")</f>
        <v/>
      </c>
      <c r="R133" t="str">
        <f>IFERROR(__xludf.DUMMYFUNCTION("""COMPUTED_VALUE"""),"")</f>
        <v/>
      </c>
      <c r="S133" t="str">
        <f>IFERROR(__xludf.DUMMYFUNCTION("""COMPUTED_VALUE"""),"")</f>
        <v/>
      </c>
      <c r="T133">
        <f>IFERROR(__xludf.DUMMYFUNCTION("""COMPUTED_VALUE"""),2.0)</f>
        <v>2</v>
      </c>
    </row>
    <row r="134">
      <c r="A134" t="str">
        <f>IFERROR(__xludf.DUMMYFUNCTION("""COMPUTED_VALUE"""),"Infectious disease")</f>
        <v>Infectious disease</v>
      </c>
      <c r="B134" t="str">
        <f>IFERROR(__xludf.DUMMYFUNCTION("""COMPUTED_VALUE"""),"")</f>
        <v/>
      </c>
      <c r="C134" t="str">
        <f>IFERROR(__xludf.DUMMYFUNCTION("""COMPUTED_VALUE"""),"")</f>
        <v/>
      </c>
      <c r="D134" t="str">
        <f>IFERROR(__xludf.DUMMYFUNCTION("""COMPUTED_VALUE"""),"")</f>
        <v/>
      </c>
      <c r="E134" t="str">
        <f>IFERROR(__xludf.DUMMYFUNCTION("""COMPUTED_VALUE"""),"")</f>
        <v/>
      </c>
      <c r="F134" t="str">
        <f>IFERROR(__xludf.DUMMYFUNCTION("""COMPUTED_VALUE"""),"")</f>
        <v/>
      </c>
      <c r="G134" t="str">
        <f>IFERROR(__xludf.DUMMYFUNCTION("""COMPUTED_VALUE"""),"")</f>
        <v/>
      </c>
      <c r="H134" t="str">
        <f>IFERROR(__xludf.DUMMYFUNCTION("""COMPUTED_VALUE"""),"Chlamydia, pertussis, salmonella")</f>
        <v>Chlamydia, pertussis, salmonella</v>
      </c>
      <c r="I134" t="str">
        <f>IFERROR(__xludf.DUMMYFUNCTION("""COMPUTED_VALUE"""),"")</f>
        <v/>
      </c>
      <c r="J134" t="str">
        <f>IFERROR(__xludf.DUMMYFUNCTION("""COMPUTED_VALUE"""),"")</f>
        <v/>
      </c>
      <c r="K134" s="19" t="str">
        <f>IFERROR(__xludf.DUMMYFUNCTION("""COMPUTED_VALUE"""),"https://stats.oecd.org/index.aspx?DataSetCode=HEALTH_STAT")</f>
        <v>https://stats.oecd.org/index.aspx?DataSetCode=HEALTH_STAT</v>
      </c>
      <c r="L134" t="str">
        <f>IFERROR(__xludf.DUMMYFUNCTION("""COMPUTED_VALUE"""),"")</f>
        <v/>
      </c>
      <c r="M134" t="str">
        <f>IFERROR(__xludf.DUMMYFUNCTION("""COMPUTED_VALUE"""),"")</f>
        <v/>
      </c>
      <c r="N134" s="19" t="str">
        <f>IFERROR(__xludf.DUMMYFUNCTION("""COMPUTED_VALUE"""),"https://www.americashealthrankings.org/explore/annual")</f>
        <v>https://www.americashealthrankings.org/explore/annual</v>
      </c>
      <c r="O134" t="str">
        <f>IFERROR(__xludf.DUMMYFUNCTION("""COMPUTED_VALUE"""),"")</f>
        <v/>
      </c>
      <c r="P134" t="str">
        <f>IFERROR(__xludf.DUMMYFUNCTION("""COMPUTED_VALUE"""),"")</f>
        <v/>
      </c>
      <c r="Q134" t="str">
        <f>IFERROR(__xludf.DUMMYFUNCTION("""COMPUTED_VALUE"""),"")</f>
        <v/>
      </c>
      <c r="R134" t="str">
        <f>IFERROR(__xludf.DUMMYFUNCTION("""COMPUTED_VALUE"""),"")</f>
        <v/>
      </c>
      <c r="S134" t="str">
        <f>IFERROR(__xludf.DUMMYFUNCTION("""COMPUTED_VALUE"""),"")</f>
        <v/>
      </c>
      <c r="T134">
        <f>IFERROR(__xludf.DUMMYFUNCTION("""COMPUTED_VALUE"""),2.0)</f>
        <v>2</v>
      </c>
    </row>
    <row r="135">
      <c r="A135" t="str">
        <f>IFERROR(__xludf.DUMMYFUNCTION("""COMPUTED_VALUE"""),"Health inequity harms and kills many patients")</f>
        <v>Health inequity harms and kills many patients</v>
      </c>
      <c r="B135" t="str">
        <f>IFERROR(__xludf.DUMMYFUNCTION("""COMPUTED_VALUE"""),"")</f>
        <v/>
      </c>
      <c r="C135" t="str">
        <f>IFERROR(__xludf.DUMMYFUNCTION("""COMPUTED_VALUE"""),"")</f>
        <v/>
      </c>
      <c r="D135" t="str">
        <f>IFERROR(__xludf.DUMMYFUNCTION("""COMPUTED_VALUE"""),"")</f>
        <v/>
      </c>
      <c r="E135" t="str">
        <f>IFERROR(__xludf.DUMMYFUNCTION("""COMPUTED_VALUE"""),"")</f>
        <v/>
      </c>
      <c r="F135" t="str">
        <f>IFERROR(__xludf.DUMMYFUNCTION("""COMPUTED_VALUE"""),"")</f>
        <v/>
      </c>
      <c r="G135" t="str">
        <f>IFERROR(__xludf.DUMMYFUNCTION("""COMPUTED_VALUE"""),"Inequity")</f>
        <v>Inequity</v>
      </c>
      <c r="H135" t="str">
        <f>IFERROR(__xludf.DUMMYFUNCTION("""COMPUTED_VALUE"""),"")</f>
        <v/>
      </c>
      <c r="I135" t="str">
        <f>IFERROR(__xludf.DUMMYFUNCTION("""COMPUTED_VALUE"""),"")</f>
        <v/>
      </c>
      <c r="J135" t="str">
        <f>IFERROR(__xludf.DUMMYFUNCTION("""COMPUTED_VALUE"""),"")</f>
        <v/>
      </c>
      <c r="K135" t="str">
        <f>IFERROR(__xludf.DUMMYFUNCTION("""COMPUTED_VALUE"""),"")</f>
        <v/>
      </c>
      <c r="L135" t="str">
        <f>IFERROR(__xludf.DUMMYFUNCTION("""COMPUTED_VALUE"""),"")</f>
        <v/>
      </c>
      <c r="M135" t="str">
        <f>IFERROR(__xludf.DUMMYFUNCTION("""COMPUTED_VALUE"""),"")</f>
        <v/>
      </c>
      <c r="N135" t="str">
        <f>IFERROR(__xludf.DUMMYFUNCTION("""COMPUTED_VALUE"""),"")</f>
        <v/>
      </c>
      <c r="O135" t="str">
        <f>IFERROR(__xludf.DUMMYFUNCTION("""COMPUTED_VALUE"""),"")</f>
        <v/>
      </c>
      <c r="P135"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35" t="str">
        <f>IFERROR(__xludf.DUMMYFUNCTION("""COMPUTED_VALUE"""),"")</f>
        <v/>
      </c>
      <c r="R135" t="str">
        <f>IFERROR(__xludf.DUMMYFUNCTION("""COMPUTED_VALUE"""),"")</f>
        <v/>
      </c>
      <c r="S135" t="str">
        <f>IFERROR(__xludf.DUMMYFUNCTION("""COMPUTED_VALUE"""),"BWHP-15")</f>
        <v>BWHP-15</v>
      </c>
      <c r="T135">
        <f>IFERROR(__xludf.DUMMYFUNCTION("""COMPUTED_VALUE"""),2.0)</f>
        <v>2</v>
      </c>
    </row>
    <row r="136">
      <c r="A136" t="str">
        <f>IFERROR(__xludf.DUMMYFUNCTION("""COMPUTED_VALUE"""),"Children under 5 years who are stunted")</f>
        <v>Children under 5 years who are stunted</v>
      </c>
      <c r="B136" t="str">
        <f>IFERROR(__xludf.DUMMYFUNCTION("""COMPUTED_VALUE"""),"")</f>
        <v/>
      </c>
      <c r="C136" t="str">
        <f>IFERROR(__xludf.DUMMYFUNCTION("""COMPUTED_VALUE"""),"")</f>
        <v/>
      </c>
      <c r="D136" t="str">
        <f>IFERROR(__xludf.DUMMYFUNCTION("""COMPUTED_VALUE"""),"")</f>
        <v/>
      </c>
      <c r="E136" t="str">
        <f>IFERROR(__xludf.DUMMYFUNCTION("""COMPUTED_VALUE"""),"")</f>
        <v/>
      </c>
      <c r="F136" t="str">
        <f>IFERROR(__xludf.DUMMYFUNCTION("""COMPUTED_VALUE"""),"")</f>
        <v/>
      </c>
      <c r="G136" t="str">
        <f>IFERROR(__xludf.DUMMYFUNCTION("""COMPUTED_VALUE"""),"")</f>
        <v/>
      </c>
      <c r="H136" t="str">
        <f>IFERROR(__xludf.DUMMYFUNCTION("""COMPUTED_VALUE"""),"SDG 2.2.1")</f>
        <v>SDG 2.2.1</v>
      </c>
      <c r="I13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6" t="str">
        <f>IFERROR(__xludf.DUMMYFUNCTION("""COMPUTED_VALUE"""),"")</f>
        <v/>
      </c>
      <c r="K136" t="str">
        <f>IFERROR(__xludf.DUMMYFUNCTION("""COMPUTED_VALUE"""),"")</f>
        <v/>
      </c>
      <c r="L136" t="str">
        <f>IFERROR(__xludf.DUMMYFUNCTION("""COMPUTED_VALUE"""),"")</f>
        <v/>
      </c>
      <c r="M136" t="str">
        <f>IFERROR(__xludf.DUMMYFUNCTION("""COMPUTED_VALUE"""),"")</f>
        <v/>
      </c>
      <c r="N136" t="str">
        <f>IFERROR(__xludf.DUMMYFUNCTION("""COMPUTED_VALUE"""),"")</f>
        <v/>
      </c>
      <c r="O136" s="19" t="str">
        <f>IFERROR(__xludf.DUMMYFUNCTION("""COMPUTED_VALUE"""),"https://data.worldbank.org/indicator/#health")</f>
        <v>https://data.worldbank.org/indicator/#health</v>
      </c>
      <c r="P136" t="str">
        <f>IFERROR(__xludf.DUMMYFUNCTION("""COMPUTED_VALUE"""),"")</f>
        <v/>
      </c>
      <c r="Q136" t="str">
        <f>IFERROR(__xludf.DUMMYFUNCTION("""COMPUTED_VALUE"""),"")</f>
        <v/>
      </c>
      <c r="R136" t="str">
        <f>IFERROR(__xludf.DUMMYFUNCTION("""COMPUTED_VALUE"""),"")</f>
        <v/>
      </c>
      <c r="S136" t="str">
        <f>IFERROR(__xludf.DUMMYFUNCTION("""COMPUTED_VALUE"""),"")</f>
        <v/>
      </c>
      <c r="T136">
        <f>IFERROR(__xludf.DUMMYFUNCTION("""COMPUTED_VALUE"""),2.0)</f>
        <v>2</v>
      </c>
    </row>
    <row r="137">
      <c r="A137" t="str">
        <f>IFERROR(__xludf.DUMMYFUNCTION("""COMPUTED_VALUE"""),"Children under 5 years who are wasted")</f>
        <v>Children under 5 years who are wasted</v>
      </c>
      <c r="B137" t="str">
        <f>IFERROR(__xludf.DUMMYFUNCTION("""COMPUTED_VALUE"""),"")</f>
        <v/>
      </c>
      <c r="C137" t="str">
        <f>IFERROR(__xludf.DUMMYFUNCTION("""COMPUTED_VALUE"""),"")</f>
        <v/>
      </c>
      <c r="D137" t="str">
        <f>IFERROR(__xludf.DUMMYFUNCTION("""COMPUTED_VALUE"""),"")</f>
        <v/>
      </c>
      <c r="E137" t="str">
        <f>IFERROR(__xludf.DUMMYFUNCTION("""COMPUTED_VALUE"""),"")</f>
        <v/>
      </c>
      <c r="F137" t="str">
        <f>IFERROR(__xludf.DUMMYFUNCTION("""COMPUTED_VALUE"""),"")</f>
        <v/>
      </c>
      <c r="G137" t="str">
        <f>IFERROR(__xludf.DUMMYFUNCTION("""COMPUTED_VALUE"""),"")</f>
        <v/>
      </c>
      <c r="H137" t="str">
        <f>IFERROR(__xludf.DUMMYFUNCTION("""COMPUTED_VALUE"""),"SDG 2.2.2")</f>
        <v>SDG 2.2.2</v>
      </c>
      <c r="I13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7" t="str">
        <f>IFERROR(__xludf.DUMMYFUNCTION("""COMPUTED_VALUE"""),"")</f>
        <v/>
      </c>
      <c r="K137" t="str">
        <f>IFERROR(__xludf.DUMMYFUNCTION("""COMPUTED_VALUE"""),"")</f>
        <v/>
      </c>
      <c r="L137" t="str">
        <f>IFERROR(__xludf.DUMMYFUNCTION("""COMPUTED_VALUE"""),"")</f>
        <v/>
      </c>
      <c r="M137" t="str">
        <f>IFERROR(__xludf.DUMMYFUNCTION("""COMPUTED_VALUE"""),"")</f>
        <v/>
      </c>
      <c r="N137" t="str">
        <f>IFERROR(__xludf.DUMMYFUNCTION("""COMPUTED_VALUE"""),"")</f>
        <v/>
      </c>
      <c r="O137" s="19" t="str">
        <f>IFERROR(__xludf.DUMMYFUNCTION("""COMPUTED_VALUE"""),"https://data.worldbank.org/indicator/#health")</f>
        <v>https://data.worldbank.org/indicator/#health</v>
      </c>
      <c r="P137" t="str">
        <f>IFERROR(__xludf.DUMMYFUNCTION("""COMPUTED_VALUE"""),"")</f>
        <v/>
      </c>
      <c r="Q137" t="str">
        <f>IFERROR(__xludf.DUMMYFUNCTION("""COMPUTED_VALUE"""),"")</f>
        <v/>
      </c>
      <c r="R137" t="str">
        <f>IFERROR(__xludf.DUMMYFUNCTION("""COMPUTED_VALUE"""),"")</f>
        <v/>
      </c>
      <c r="S137" t="str">
        <f>IFERROR(__xludf.DUMMYFUNCTION("""COMPUTED_VALUE"""),"")</f>
        <v/>
      </c>
      <c r="T137">
        <f>IFERROR(__xludf.DUMMYFUNCTION("""COMPUTED_VALUE"""),2.0)</f>
        <v>2</v>
      </c>
    </row>
    <row r="138">
      <c r="A138" t="str">
        <f>IFERROR(__xludf.DUMMYFUNCTION("""COMPUTED_VALUE"""),"Anemia prevalence in children")</f>
        <v>Anemia prevalence in children</v>
      </c>
      <c r="B138" t="str">
        <f>IFERROR(__xludf.DUMMYFUNCTION("""COMPUTED_VALUE"""),"")</f>
        <v/>
      </c>
      <c r="C138" t="str">
        <f>IFERROR(__xludf.DUMMYFUNCTION("""COMPUTED_VALUE"""),"")</f>
        <v/>
      </c>
      <c r="D138" t="str">
        <f>IFERROR(__xludf.DUMMYFUNCTION("""COMPUTED_VALUE"""),"")</f>
        <v/>
      </c>
      <c r="E138" t="str">
        <f>IFERROR(__xludf.DUMMYFUNCTION("""COMPUTED_VALUE"""),"")</f>
        <v/>
      </c>
      <c r="F138" t="str">
        <f>IFERROR(__xludf.DUMMYFUNCTION("""COMPUTED_VALUE"""),"")</f>
        <v/>
      </c>
      <c r="G138" t="str">
        <f>IFERROR(__xludf.DUMMYFUNCTION("""COMPUTED_VALUE"""),"")</f>
        <v/>
      </c>
      <c r="H138" t="str">
        <f>IFERROR(__xludf.DUMMYFUNCTION("""COMPUTED_VALUE"""),"")</f>
        <v/>
      </c>
      <c r="I13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8" t="str">
        <f>IFERROR(__xludf.DUMMYFUNCTION("""COMPUTED_VALUE"""),"")</f>
        <v/>
      </c>
      <c r="K138" t="str">
        <f>IFERROR(__xludf.DUMMYFUNCTION("""COMPUTED_VALUE"""),"")</f>
        <v/>
      </c>
      <c r="L138" t="str">
        <f>IFERROR(__xludf.DUMMYFUNCTION("""COMPUTED_VALUE"""),"")</f>
        <v/>
      </c>
      <c r="M138" t="str">
        <f>IFERROR(__xludf.DUMMYFUNCTION("""COMPUTED_VALUE"""),"")</f>
        <v/>
      </c>
      <c r="N138" t="str">
        <f>IFERROR(__xludf.DUMMYFUNCTION("""COMPUTED_VALUE"""),"")</f>
        <v/>
      </c>
      <c r="O138" s="19" t="str">
        <f>IFERROR(__xludf.DUMMYFUNCTION("""COMPUTED_VALUE"""),"https://data.worldbank.org/indicator/#health")</f>
        <v>https://data.worldbank.org/indicator/#health</v>
      </c>
      <c r="P138" t="str">
        <f>IFERROR(__xludf.DUMMYFUNCTION("""COMPUTED_VALUE"""),"")</f>
        <v/>
      </c>
      <c r="Q138" t="str">
        <f>IFERROR(__xludf.DUMMYFUNCTION("""COMPUTED_VALUE"""),"")</f>
        <v/>
      </c>
      <c r="R138" t="str">
        <f>IFERROR(__xludf.DUMMYFUNCTION("""COMPUTED_VALUE"""),"")</f>
        <v/>
      </c>
      <c r="S138" t="str">
        <f>IFERROR(__xludf.DUMMYFUNCTION("""COMPUTED_VALUE"""),"")</f>
        <v/>
      </c>
      <c r="T138">
        <f>IFERROR(__xludf.DUMMYFUNCTION("""COMPUTED_VALUE"""),2.0)</f>
        <v>2</v>
      </c>
    </row>
    <row r="139">
      <c r="A139" t="str">
        <f>IFERROR(__xludf.DUMMYFUNCTION("""COMPUTED_VALUE"""),"Prevention of HIV in key populations")</f>
        <v>Prevention of HIV in key populations</v>
      </c>
      <c r="B139" t="str">
        <f>IFERROR(__xludf.DUMMYFUNCTION("""COMPUTED_VALUE"""),"")</f>
        <v/>
      </c>
      <c r="C139" t="str">
        <f>IFERROR(__xludf.DUMMYFUNCTION("""COMPUTED_VALUE"""),"")</f>
        <v/>
      </c>
      <c r="D139" t="str">
        <f>IFERROR(__xludf.DUMMYFUNCTION("""COMPUTED_VALUE"""),"")</f>
        <v/>
      </c>
      <c r="E139" t="str">
        <f>IFERROR(__xludf.DUMMYFUNCTION("""COMPUTED_VALUE"""),"")</f>
        <v/>
      </c>
      <c r="F139" t="str">
        <f>IFERROR(__xludf.DUMMYFUNCTION("""COMPUTED_VALUE"""),"")</f>
        <v/>
      </c>
      <c r="G139" t="str">
        <f>IFERROR(__xludf.DUMMYFUNCTION("""COMPUTED_VALUE"""),"")</f>
        <v/>
      </c>
      <c r="H139" t="str">
        <f>IFERROR(__xludf.DUMMYFUNCTION("""COMPUTED_VALUE"""),"")</f>
        <v/>
      </c>
      <c r="I13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39" t="str">
        <f>IFERROR(__xludf.DUMMYFUNCTION("""COMPUTED_VALUE"""),"")</f>
        <v/>
      </c>
      <c r="K139" t="str">
        <f>IFERROR(__xludf.DUMMYFUNCTION("""COMPUTED_VALUE"""),"")</f>
        <v/>
      </c>
      <c r="L139" t="str">
        <f>IFERROR(__xludf.DUMMYFUNCTION("""COMPUTED_VALUE"""),"")</f>
        <v/>
      </c>
      <c r="M139" t="str">
        <f>IFERROR(__xludf.DUMMYFUNCTION("""COMPUTED_VALUE"""),"")</f>
        <v/>
      </c>
      <c r="N139" t="str">
        <f>IFERROR(__xludf.DUMMYFUNCTION("""COMPUTED_VALUE"""),"")</f>
        <v/>
      </c>
      <c r="O139" t="str">
        <f>IFERROR(__xludf.DUMMYFUNCTION("""COMPUTED_VALUE"""),"")</f>
        <v/>
      </c>
      <c r="P139" t="str">
        <f>IFERROR(__xludf.DUMMYFUNCTION("""COMPUTED_VALUE"""),"")</f>
        <v/>
      </c>
      <c r="Q139" s="19" t="str">
        <f>IFERROR(__xludf.DUMMYFUNCTION("""COMPUTED_VALUE"""),"https://wwwn.cdc.gov/psr/NationalSummary/NationalSummary.aspx")</f>
        <v>https://wwwn.cdc.gov/psr/NationalSummary/NationalSummary.aspx</v>
      </c>
      <c r="R139" t="str">
        <f>IFERROR(__xludf.DUMMYFUNCTION("""COMPUTED_VALUE"""),"")</f>
        <v/>
      </c>
      <c r="S139" t="str">
        <f>IFERROR(__xludf.DUMMYFUNCTION("""COMPUTED_VALUE"""),"")</f>
        <v/>
      </c>
      <c r="T139">
        <f>IFERROR(__xludf.DUMMYFUNCTION("""COMPUTED_VALUE"""),2.0)</f>
        <v>2</v>
      </c>
    </row>
    <row r="140">
      <c r="A140" t="str">
        <f>IFERROR(__xludf.DUMMYFUNCTION("""COMPUTED_VALUE"""),"Population using safely managed sanitation services")</f>
        <v>Population using safely managed sanitation services</v>
      </c>
      <c r="B140" t="str">
        <f>IFERROR(__xludf.DUMMYFUNCTION("""COMPUTED_VALUE"""),"")</f>
        <v/>
      </c>
      <c r="C140" t="str">
        <f>IFERROR(__xludf.DUMMYFUNCTION("""COMPUTED_VALUE"""),"")</f>
        <v/>
      </c>
      <c r="D140" t="str">
        <f>IFERROR(__xludf.DUMMYFUNCTION("""COMPUTED_VALUE"""),"")</f>
        <v/>
      </c>
      <c r="E140" t="str">
        <f>IFERROR(__xludf.DUMMYFUNCTION("""COMPUTED_VALUE"""),"")</f>
        <v/>
      </c>
      <c r="F140" t="str">
        <f>IFERROR(__xludf.DUMMYFUNCTION("""COMPUTED_VALUE"""),"")</f>
        <v/>
      </c>
      <c r="G140" t="str">
        <f>IFERROR(__xludf.DUMMYFUNCTION("""COMPUTED_VALUE"""),"")</f>
        <v/>
      </c>
      <c r="H140" t="str">
        <f>IFERROR(__xludf.DUMMYFUNCTION("""COMPUTED_VALUE"""),"SDG 6.2.1a/6.2.1b")</f>
        <v>SDG 6.2.1a/6.2.1b</v>
      </c>
      <c r="I14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0" t="str">
        <f>IFERROR(__xludf.DUMMYFUNCTION("""COMPUTED_VALUE"""),"")</f>
        <v/>
      </c>
      <c r="K140" t="str">
        <f>IFERROR(__xludf.DUMMYFUNCTION("""COMPUTED_VALUE"""),"")</f>
        <v/>
      </c>
      <c r="L140" t="str">
        <f>IFERROR(__xludf.DUMMYFUNCTION("""COMPUTED_VALUE"""),"")</f>
        <v/>
      </c>
      <c r="M140" t="str">
        <f>IFERROR(__xludf.DUMMYFUNCTION("""COMPUTED_VALUE"""),"")</f>
        <v/>
      </c>
      <c r="N140" t="str">
        <f>IFERROR(__xludf.DUMMYFUNCTION("""COMPUTED_VALUE"""),"")</f>
        <v/>
      </c>
      <c r="O140" t="str">
        <f>IFERROR(__xludf.DUMMYFUNCTION("""COMPUTED_VALUE"""),"")</f>
        <v/>
      </c>
      <c r="P140" t="str">
        <f>IFERROR(__xludf.DUMMYFUNCTION("""COMPUTED_VALUE"""),"")</f>
        <v/>
      </c>
      <c r="Q140" t="str">
        <f>IFERROR(__xludf.DUMMYFUNCTION("""COMPUTED_VALUE"""),"")</f>
        <v/>
      </c>
      <c r="R140" t="str">
        <f>IFERROR(__xludf.DUMMYFUNCTION("""COMPUTED_VALUE"""),"CHSI")</f>
        <v>CHSI</v>
      </c>
      <c r="S140" t="str">
        <f>IFERROR(__xludf.DUMMYFUNCTION("""COMPUTED_VALUE"""),"")</f>
        <v/>
      </c>
      <c r="T140">
        <f>IFERROR(__xludf.DUMMYFUNCTION("""COMPUTED_VALUE"""),2.0)</f>
        <v>2</v>
      </c>
    </row>
    <row r="141">
      <c r="A141" t="str">
        <f>IFERROR(__xludf.DUMMYFUNCTION("""COMPUTED_VALUE"""),"Hospital admissions for pediatric asthma, per 100,000 children")</f>
        <v>Hospital admissions for pediatric asthma, per 100,000 children</v>
      </c>
      <c r="B141" t="str">
        <f>IFERROR(__xludf.DUMMYFUNCTION("""COMPUTED_VALUE"""),"")</f>
        <v/>
      </c>
      <c r="C141" t="str">
        <f>IFERROR(__xludf.DUMMYFUNCTION("""COMPUTED_VALUE"""),"")</f>
        <v/>
      </c>
      <c r="D141" t="str">
        <f>IFERROR(__xludf.DUMMYFUNCTION("""COMPUTED_VALUE"""),"")</f>
        <v/>
      </c>
      <c r="E141" t="str">
        <f>IFERROR(__xludf.DUMMYFUNCTION("""COMPUTED_VALUE"""),"")</f>
        <v/>
      </c>
      <c r="F141" t="str">
        <f>IFERROR(__xludf.DUMMYFUNCTION("""COMPUTED_VALUE"""),"")</f>
        <v/>
      </c>
      <c r="G141" t="str">
        <f>IFERROR(__xludf.DUMMYFUNCTION("""COMPUTED_VALUE"""),"")</f>
        <v/>
      </c>
      <c r="H141" t="str">
        <f>IFERROR(__xludf.DUMMYFUNCTION("""COMPUTED_VALUE"""),"USAFacts just tracks asthma in population")</f>
        <v>USAFacts just tracks asthma in population</v>
      </c>
      <c r="I141" t="str">
        <f>IFERROR(__xludf.DUMMYFUNCTION("""COMPUTED_VALUE"""),"")</f>
        <v/>
      </c>
      <c r="J141" s="19" t="str">
        <f>IFERROR(__xludf.DUMMYFUNCTION("""COMPUTED_VALUE"""),"https://interactives.commonwealthfund.org/2018/state-scorecard/files/Radley_State_Scorecard_2018.pdf")</f>
        <v>https://interactives.commonwealthfund.org/2018/state-scorecard/files/Radley_State_Scorecard_2018.pdf</v>
      </c>
      <c r="K141" t="str">
        <f>IFERROR(__xludf.DUMMYFUNCTION("""COMPUTED_VALUE"""),"")</f>
        <v/>
      </c>
      <c r="L141" s="19" t="str">
        <f>IFERROR(__xludf.DUMMYFUNCTION("""COMPUTED_VALUE"""),"https://usafacts.org/missions/promote-welfare/12")</f>
        <v>https://usafacts.org/missions/promote-welfare/12</v>
      </c>
      <c r="M141" t="str">
        <f>IFERROR(__xludf.DUMMYFUNCTION("""COMPUTED_VALUE"""),"")</f>
        <v/>
      </c>
      <c r="N141" t="str">
        <f>IFERROR(__xludf.DUMMYFUNCTION("""COMPUTED_VALUE"""),"")</f>
        <v/>
      </c>
      <c r="O141" t="str">
        <f>IFERROR(__xludf.DUMMYFUNCTION("""COMPUTED_VALUE"""),"")</f>
        <v/>
      </c>
      <c r="P141" t="str">
        <f>IFERROR(__xludf.DUMMYFUNCTION("""COMPUTED_VALUE"""),"")</f>
        <v/>
      </c>
      <c r="Q141" t="str">
        <f>IFERROR(__xludf.DUMMYFUNCTION("""COMPUTED_VALUE"""),"")</f>
        <v/>
      </c>
      <c r="R141" t="str">
        <f>IFERROR(__xludf.DUMMYFUNCTION("""COMPUTED_VALUE"""),"")</f>
        <v/>
      </c>
      <c r="S141" t="str">
        <f>IFERROR(__xludf.DUMMYFUNCTION("""COMPUTED_VALUE"""),"")</f>
        <v/>
      </c>
      <c r="T141">
        <f>IFERROR(__xludf.DUMMYFUNCTION("""COMPUTED_VALUE"""),2.0)</f>
        <v>2</v>
      </c>
    </row>
    <row r="142">
      <c r="A142" t="str">
        <f>IFERROR(__xludf.DUMMYFUNCTION("""COMPUTED_VALUE"""),"Intimate partner violence prevalence")</f>
        <v>Intimate partner violence prevalence</v>
      </c>
      <c r="B142" t="str">
        <f>IFERROR(__xludf.DUMMYFUNCTION("""COMPUTED_VALUE"""),"")</f>
        <v/>
      </c>
      <c r="C142" t="str">
        <f>IFERROR(__xludf.DUMMYFUNCTION("""COMPUTED_VALUE"""),"")</f>
        <v/>
      </c>
      <c r="D142" t="str">
        <f>IFERROR(__xludf.DUMMYFUNCTION("""COMPUTED_VALUE"""),"")</f>
        <v/>
      </c>
      <c r="E142" t="str">
        <f>IFERROR(__xludf.DUMMYFUNCTION("""COMPUTED_VALUE"""),"")</f>
        <v/>
      </c>
      <c r="F142" t="str">
        <f>IFERROR(__xludf.DUMMYFUNCTION("""COMPUTED_VALUE"""),"")</f>
        <v/>
      </c>
      <c r="G142" t="str">
        <f>IFERROR(__xludf.DUMMYFUNCTION("""COMPUTED_VALUE"""),"")</f>
        <v/>
      </c>
      <c r="H142" t="str">
        <f>IFERROR(__xludf.DUMMYFUNCTION("""COMPUTED_VALUE"""),"SDG 5.2.1")</f>
        <v>SDG 5.2.1</v>
      </c>
      <c r="I14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2" t="str">
        <f>IFERROR(__xludf.DUMMYFUNCTION("""COMPUTED_VALUE"""),"")</f>
        <v/>
      </c>
      <c r="K142" t="str">
        <f>IFERROR(__xludf.DUMMYFUNCTION("""COMPUTED_VALUE"""),"")</f>
        <v/>
      </c>
      <c r="L142" t="str">
        <f>IFERROR(__xludf.DUMMYFUNCTION("""COMPUTED_VALUE"""),"")</f>
        <v/>
      </c>
      <c r="M142" t="str">
        <f>IFERROR(__xludf.DUMMYFUNCTION("""COMPUTED_VALUE"""),"")</f>
        <v/>
      </c>
      <c r="N142" s="19" t="str">
        <f>IFERROR(__xludf.DUMMYFUNCTION("""COMPUTED_VALUE"""),"https://www.americashealthrankings.org/explore/annual")</f>
        <v>https://www.americashealthrankings.org/explore/annual</v>
      </c>
      <c r="O142" t="str">
        <f>IFERROR(__xludf.DUMMYFUNCTION("""COMPUTED_VALUE"""),"")</f>
        <v/>
      </c>
      <c r="P142" t="str">
        <f>IFERROR(__xludf.DUMMYFUNCTION("""COMPUTED_VALUE"""),"")</f>
        <v/>
      </c>
      <c r="Q142" t="str">
        <f>IFERROR(__xludf.DUMMYFUNCTION("""COMPUTED_VALUE"""),"")</f>
        <v/>
      </c>
      <c r="R142" t="str">
        <f>IFERROR(__xludf.DUMMYFUNCTION("""COMPUTED_VALUE"""),"")</f>
        <v/>
      </c>
      <c r="S142" t="str">
        <f>IFERROR(__xludf.DUMMYFUNCTION("""COMPUTED_VALUE"""),"")</f>
        <v/>
      </c>
      <c r="T142">
        <f>IFERROR(__xludf.DUMMYFUNCTION("""COMPUTED_VALUE"""),2.0)</f>
        <v>2</v>
      </c>
    </row>
    <row r="143">
      <c r="A143" t="str">
        <f>IFERROR(__xludf.DUMMYFUNCTION("""COMPUTED_VALUE"""),"Non-partner sexual violence prevalence")</f>
        <v>Non-partner sexual violence prevalence</v>
      </c>
      <c r="B143" t="str">
        <f>IFERROR(__xludf.DUMMYFUNCTION("""COMPUTED_VALUE"""),"")</f>
        <v/>
      </c>
      <c r="C143" t="str">
        <f>IFERROR(__xludf.DUMMYFUNCTION("""COMPUTED_VALUE"""),"")</f>
        <v/>
      </c>
      <c r="D143" t="str">
        <f>IFERROR(__xludf.DUMMYFUNCTION("""COMPUTED_VALUE"""),"")</f>
        <v/>
      </c>
      <c r="E143" t="str">
        <f>IFERROR(__xludf.DUMMYFUNCTION("""COMPUTED_VALUE"""),"")</f>
        <v/>
      </c>
      <c r="F143" t="str">
        <f>IFERROR(__xludf.DUMMYFUNCTION("""COMPUTED_VALUE"""),"")</f>
        <v/>
      </c>
      <c r="G143" t="str">
        <f>IFERROR(__xludf.DUMMYFUNCTION("""COMPUTED_VALUE"""),"")</f>
        <v/>
      </c>
      <c r="H143" t="str">
        <f>IFERROR(__xludf.DUMMYFUNCTION("""COMPUTED_VALUE"""),"SDG 5.2.2")</f>
        <v>SDG 5.2.2</v>
      </c>
      <c r="I14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3" t="str">
        <f>IFERROR(__xludf.DUMMYFUNCTION("""COMPUTED_VALUE"""),"")</f>
        <v/>
      </c>
      <c r="K143" t="str">
        <f>IFERROR(__xludf.DUMMYFUNCTION("""COMPUTED_VALUE"""),"")</f>
        <v/>
      </c>
      <c r="L143" t="str">
        <f>IFERROR(__xludf.DUMMYFUNCTION("""COMPUTED_VALUE"""),"")</f>
        <v/>
      </c>
      <c r="M143" t="str">
        <f>IFERROR(__xludf.DUMMYFUNCTION("""COMPUTED_VALUE"""),"")</f>
        <v/>
      </c>
      <c r="N143" s="19" t="str">
        <f>IFERROR(__xludf.DUMMYFUNCTION("""COMPUTED_VALUE"""),"https://www.americashealthrankings.org/explore/annual")</f>
        <v>https://www.americashealthrankings.org/explore/annual</v>
      </c>
      <c r="O143" t="str">
        <f>IFERROR(__xludf.DUMMYFUNCTION("""COMPUTED_VALUE"""),"")</f>
        <v/>
      </c>
      <c r="P143" t="str">
        <f>IFERROR(__xludf.DUMMYFUNCTION("""COMPUTED_VALUE"""),"")</f>
        <v/>
      </c>
      <c r="Q143" t="str">
        <f>IFERROR(__xludf.DUMMYFUNCTION("""COMPUTED_VALUE"""),"")</f>
        <v/>
      </c>
      <c r="R143" t="str">
        <f>IFERROR(__xludf.DUMMYFUNCTION("""COMPUTED_VALUE"""),"")</f>
        <v/>
      </c>
      <c r="S143" t="str">
        <f>IFERROR(__xludf.DUMMYFUNCTION("""COMPUTED_VALUE"""),"")</f>
        <v/>
      </c>
      <c r="T143">
        <f>IFERROR(__xludf.DUMMYFUNCTION("""COMPUTED_VALUE"""),2.0)</f>
        <v>2</v>
      </c>
    </row>
    <row r="144">
      <c r="A144" t="str">
        <f>IFERROR(__xludf.DUMMYFUNCTION("""COMPUTED_VALUE"""),"Adults who have lost six or more teeth")</f>
        <v>Adults who have lost six or more teeth</v>
      </c>
      <c r="B144" t="str">
        <f>IFERROR(__xludf.DUMMYFUNCTION("""COMPUTED_VALUE"""),"")</f>
        <v/>
      </c>
      <c r="C144" t="str">
        <f>IFERROR(__xludf.DUMMYFUNCTION("""COMPUTED_VALUE"""),"")</f>
        <v/>
      </c>
      <c r="D144" t="str">
        <f>IFERROR(__xludf.DUMMYFUNCTION("""COMPUTED_VALUE"""),"")</f>
        <v/>
      </c>
      <c r="E144" t="str">
        <f>IFERROR(__xludf.DUMMYFUNCTION("""COMPUTED_VALUE"""),"")</f>
        <v/>
      </c>
      <c r="F144" t="str">
        <f>IFERROR(__xludf.DUMMYFUNCTION("""COMPUTED_VALUE"""),"")</f>
        <v/>
      </c>
      <c r="G144" t="str">
        <f>IFERROR(__xludf.DUMMYFUNCTION("""COMPUTED_VALUE"""),"")</f>
        <v/>
      </c>
      <c r="H144" t="str">
        <f>IFERROR(__xludf.DUMMYFUNCTION("""COMPUTED_VALUE"""),"")</f>
        <v/>
      </c>
      <c r="I144" t="str">
        <f>IFERROR(__xludf.DUMMYFUNCTION("""COMPUTED_VALUE"""),"")</f>
        <v/>
      </c>
      <c r="J144" s="19" t="str">
        <f>IFERROR(__xludf.DUMMYFUNCTION("""COMPUTED_VALUE"""),"https://interactives.commonwealthfund.org/2018/state-scorecard/files/Radley_State_Scorecard_2018.pdf")</f>
        <v>https://interactives.commonwealthfund.org/2018/state-scorecard/files/Radley_State_Scorecard_2018.pdf</v>
      </c>
      <c r="K144" t="str">
        <f>IFERROR(__xludf.DUMMYFUNCTION("""COMPUTED_VALUE"""),"")</f>
        <v/>
      </c>
      <c r="L144" t="str">
        <f>IFERROR(__xludf.DUMMYFUNCTION("""COMPUTED_VALUE"""),"")</f>
        <v/>
      </c>
      <c r="M144" t="str">
        <f>IFERROR(__xludf.DUMMYFUNCTION("""COMPUTED_VALUE"""),"")</f>
        <v/>
      </c>
      <c r="N144" s="19" t="str">
        <f>IFERROR(__xludf.DUMMYFUNCTION("""COMPUTED_VALUE"""),"https://www.americashealthrankings.org/explore/annual")</f>
        <v>https://www.americashealthrankings.org/explore/annual</v>
      </c>
      <c r="O144" t="str">
        <f>IFERROR(__xludf.DUMMYFUNCTION("""COMPUTED_VALUE"""),"")</f>
        <v/>
      </c>
      <c r="P144" t="str">
        <f>IFERROR(__xludf.DUMMYFUNCTION("""COMPUTED_VALUE"""),"")</f>
        <v/>
      </c>
      <c r="Q144" t="str">
        <f>IFERROR(__xludf.DUMMYFUNCTION("""COMPUTED_VALUE"""),"")</f>
        <v/>
      </c>
      <c r="R144" t="str">
        <f>IFERROR(__xludf.DUMMYFUNCTION("""COMPUTED_VALUE"""),"")</f>
        <v/>
      </c>
      <c r="S144" t="str">
        <f>IFERROR(__xludf.DUMMYFUNCTION("""COMPUTED_VALUE"""),"")</f>
        <v/>
      </c>
      <c r="T144">
        <f>IFERROR(__xludf.DUMMYFUNCTION("""COMPUTED_VALUE"""),2.0)</f>
        <v>2</v>
      </c>
    </row>
    <row r="145">
      <c r="A145" t="str">
        <f>IFERROR(__xludf.DUMMYFUNCTION("""COMPUTED_VALUE"""),"Antenatal (prenatal) care coverage")</f>
        <v>Antenatal (prenatal) care coverage</v>
      </c>
      <c r="B145" t="str">
        <f>IFERROR(__xludf.DUMMYFUNCTION("""COMPUTED_VALUE"""),"")</f>
        <v/>
      </c>
      <c r="C145" t="str">
        <f>IFERROR(__xludf.DUMMYFUNCTION("""COMPUTED_VALUE"""),"")</f>
        <v/>
      </c>
      <c r="D145" t="str">
        <f>IFERROR(__xludf.DUMMYFUNCTION("""COMPUTED_VALUE"""),"")</f>
        <v/>
      </c>
      <c r="E145" t="str">
        <f>IFERROR(__xludf.DUMMYFUNCTION("""COMPUTED_VALUE"""),"")</f>
        <v/>
      </c>
      <c r="F145" t="str">
        <f>IFERROR(__xludf.DUMMYFUNCTION("""COMPUTED_VALUE"""),"")</f>
        <v/>
      </c>
      <c r="G145" t="str">
        <f>IFERROR(__xludf.DUMMYFUNCTION("""COMPUTED_VALUE"""),"")</f>
        <v/>
      </c>
      <c r="H145" t="str">
        <f>IFERROR(__xludf.DUMMYFUNCTION("""COMPUTED_VALUE"""),"")</f>
        <v/>
      </c>
      <c r="I14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5" t="str">
        <f>IFERROR(__xludf.DUMMYFUNCTION("""COMPUTED_VALUE"""),"")</f>
        <v/>
      </c>
      <c r="K145" t="str">
        <f>IFERROR(__xludf.DUMMYFUNCTION("""COMPUTED_VALUE"""),"")</f>
        <v/>
      </c>
      <c r="L145" t="str">
        <f>IFERROR(__xludf.DUMMYFUNCTION("""COMPUTED_VALUE"""),"")</f>
        <v/>
      </c>
      <c r="M145" t="str">
        <f>IFERROR(__xludf.DUMMYFUNCTION("""COMPUTED_VALUE"""),"")</f>
        <v/>
      </c>
      <c r="N145" t="str">
        <f>IFERROR(__xludf.DUMMYFUNCTION("""COMPUTED_VALUE"""),"")</f>
        <v/>
      </c>
      <c r="O145" s="19" t="str">
        <f>IFERROR(__xludf.DUMMYFUNCTION("""COMPUTED_VALUE"""),"https://data.worldbank.org/indicator/#health")</f>
        <v>https://data.worldbank.org/indicator/#health</v>
      </c>
      <c r="P145" t="str">
        <f>IFERROR(__xludf.DUMMYFUNCTION("""COMPUTED_VALUE"""),"")</f>
        <v/>
      </c>
      <c r="Q145" t="str">
        <f>IFERROR(__xludf.DUMMYFUNCTION("""COMPUTED_VALUE"""),"")</f>
        <v/>
      </c>
      <c r="R145" t="str">
        <f>IFERROR(__xludf.DUMMYFUNCTION("""COMPUTED_VALUE"""),"")</f>
        <v/>
      </c>
      <c r="S145" t="str">
        <f>IFERROR(__xludf.DUMMYFUNCTION("""COMPUTED_VALUE"""),"")</f>
        <v/>
      </c>
      <c r="T145">
        <f>IFERROR(__xludf.DUMMYFUNCTION("""COMPUTED_VALUE"""),2.0)</f>
        <v>2</v>
      </c>
    </row>
    <row r="146">
      <c r="A146" t="str">
        <f>IFERROR(__xludf.DUMMYFUNCTION("""COMPUTED_VALUE"""),"Postpartum care coverage - women")</f>
        <v>Postpartum care coverage - women</v>
      </c>
      <c r="B146" t="str">
        <f>IFERROR(__xludf.DUMMYFUNCTION("""COMPUTED_VALUE"""),"")</f>
        <v/>
      </c>
      <c r="C146" t="str">
        <f>IFERROR(__xludf.DUMMYFUNCTION("""COMPUTED_VALUE"""),"")</f>
        <v/>
      </c>
      <c r="D146" t="str">
        <f>IFERROR(__xludf.DUMMYFUNCTION("""COMPUTED_VALUE"""),"")</f>
        <v/>
      </c>
      <c r="E146" t="str">
        <f>IFERROR(__xludf.DUMMYFUNCTION("""COMPUTED_VALUE"""),"")</f>
        <v/>
      </c>
      <c r="F146" t="str">
        <f>IFERROR(__xludf.DUMMYFUNCTION("""COMPUTED_VALUE"""),"")</f>
        <v/>
      </c>
      <c r="G146" t="str">
        <f>IFERROR(__xludf.DUMMYFUNCTION("""COMPUTED_VALUE"""),"")</f>
        <v/>
      </c>
      <c r="H146" t="str">
        <f>IFERROR(__xludf.DUMMYFUNCTION("""COMPUTED_VALUE"""),"")</f>
        <v/>
      </c>
      <c r="I14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6" t="str">
        <f>IFERROR(__xludf.DUMMYFUNCTION("""COMPUTED_VALUE"""),"")</f>
        <v/>
      </c>
      <c r="K146" t="str">
        <f>IFERROR(__xludf.DUMMYFUNCTION("""COMPUTED_VALUE"""),"")</f>
        <v/>
      </c>
      <c r="L146" t="str">
        <f>IFERROR(__xludf.DUMMYFUNCTION("""COMPUTED_VALUE"""),"")</f>
        <v/>
      </c>
      <c r="M146" t="str">
        <f>IFERROR(__xludf.DUMMYFUNCTION("""COMPUTED_VALUE"""),"")</f>
        <v/>
      </c>
      <c r="N146" s="19" t="str">
        <f>IFERROR(__xludf.DUMMYFUNCTION("""COMPUTED_VALUE"""),"https://www.americashealthrankings.org/explore/annual")</f>
        <v>https://www.americashealthrankings.org/explore/annual</v>
      </c>
      <c r="O146" t="str">
        <f>IFERROR(__xludf.DUMMYFUNCTION("""COMPUTED_VALUE"""),"")</f>
        <v/>
      </c>
      <c r="P146" t="str">
        <f>IFERROR(__xludf.DUMMYFUNCTION("""COMPUTED_VALUE"""),"")</f>
        <v/>
      </c>
      <c r="Q146" t="str">
        <f>IFERROR(__xludf.DUMMYFUNCTION("""COMPUTED_VALUE"""),"")</f>
        <v/>
      </c>
      <c r="R146" t="str">
        <f>IFERROR(__xludf.DUMMYFUNCTION("""COMPUTED_VALUE"""),"")</f>
        <v/>
      </c>
      <c r="S146" t="str">
        <f>IFERROR(__xludf.DUMMYFUNCTION("""COMPUTED_VALUE"""),"")</f>
        <v/>
      </c>
      <c r="T146">
        <f>IFERROR(__xludf.DUMMYFUNCTION("""COMPUTED_VALUE"""),2.0)</f>
        <v>2</v>
      </c>
    </row>
    <row r="147">
      <c r="A147" t="str">
        <f>IFERROR(__xludf.DUMMYFUNCTION("""COMPUTED_VALUE"""),"Prevention of mother-to-child transmission")</f>
        <v>Prevention of mother-to-child transmission</v>
      </c>
      <c r="B147" t="str">
        <f>IFERROR(__xludf.DUMMYFUNCTION("""COMPUTED_VALUE"""),"")</f>
        <v/>
      </c>
      <c r="C147" t="str">
        <f>IFERROR(__xludf.DUMMYFUNCTION("""COMPUTED_VALUE"""),"")</f>
        <v/>
      </c>
      <c r="D147" t="str">
        <f>IFERROR(__xludf.DUMMYFUNCTION("""COMPUTED_VALUE"""),"")</f>
        <v/>
      </c>
      <c r="E147" t="str">
        <f>IFERROR(__xludf.DUMMYFUNCTION("""COMPUTED_VALUE"""),"")</f>
        <v/>
      </c>
      <c r="F147" t="str">
        <f>IFERROR(__xludf.DUMMYFUNCTION("""COMPUTED_VALUE"""),"")</f>
        <v/>
      </c>
      <c r="G147" t="str">
        <f>IFERROR(__xludf.DUMMYFUNCTION("""COMPUTED_VALUE"""),"")</f>
        <v/>
      </c>
      <c r="H147" t="str">
        <f>IFERROR(__xludf.DUMMYFUNCTION("""COMPUTED_VALUE"""),"")</f>
        <v/>
      </c>
      <c r="I14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7" t="str">
        <f>IFERROR(__xludf.DUMMYFUNCTION("""COMPUTED_VALUE"""),"")</f>
        <v/>
      </c>
      <c r="K147" t="str">
        <f>IFERROR(__xludf.DUMMYFUNCTION("""COMPUTED_VALUE"""),"")</f>
        <v/>
      </c>
      <c r="L147" t="str">
        <f>IFERROR(__xludf.DUMMYFUNCTION("""COMPUTED_VALUE"""),"")</f>
        <v/>
      </c>
      <c r="M147" s="19" t="str">
        <f>IFERROR(__xludf.DUMMYFUNCTION("""COMPUTED_VALUE"""),"https://www.gapminder.org/data/")</f>
        <v>https://www.gapminder.org/data/</v>
      </c>
      <c r="N147" t="str">
        <f>IFERROR(__xludf.DUMMYFUNCTION("""COMPUTED_VALUE"""),"")</f>
        <v/>
      </c>
      <c r="O147" t="str">
        <f>IFERROR(__xludf.DUMMYFUNCTION("""COMPUTED_VALUE"""),"")</f>
        <v/>
      </c>
      <c r="P147" t="str">
        <f>IFERROR(__xludf.DUMMYFUNCTION("""COMPUTED_VALUE"""),"")</f>
        <v/>
      </c>
      <c r="Q147" t="str">
        <f>IFERROR(__xludf.DUMMYFUNCTION("""COMPUTED_VALUE"""),"")</f>
        <v/>
      </c>
      <c r="R147" t="str">
        <f>IFERROR(__xludf.DUMMYFUNCTION("""COMPUTED_VALUE"""),"")</f>
        <v/>
      </c>
      <c r="S147" t="str">
        <f>IFERROR(__xludf.DUMMYFUNCTION("""COMPUTED_VALUE"""),"")</f>
        <v/>
      </c>
      <c r="T147">
        <f>IFERROR(__xludf.DUMMYFUNCTION("""COMPUTED_VALUE"""),2.0)</f>
        <v>2</v>
      </c>
    </row>
    <row r="148">
      <c r="A148" t="str">
        <f>IFERROR(__xludf.DUMMYFUNCTION("""COMPUTED_VALUE"""),"HIV viral load suppression")</f>
        <v>HIV viral load suppression</v>
      </c>
      <c r="B148" t="str">
        <f>IFERROR(__xludf.DUMMYFUNCTION("""COMPUTED_VALUE"""),"")</f>
        <v/>
      </c>
      <c r="C148" t="str">
        <f>IFERROR(__xludf.DUMMYFUNCTION("""COMPUTED_VALUE"""),"")</f>
        <v/>
      </c>
      <c r="D148" t="str">
        <f>IFERROR(__xludf.DUMMYFUNCTION("""COMPUTED_VALUE"""),"")</f>
        <v/>
      </c>
      <c r="E148" t="str">
        <f>IFERROR(__xludf.DUMMYFUNCTION("""COMPUTED_VALUE"""),"")</f>
        <v/>
      </c>
      <c r="F148" t="str">
        <f>IFERROR(__xludf.DUMMYFUNCTION("""COMPUTED_VALUE"""),"")</f>
        <v/>
      </c>
      <c r="G148" t="str">
        <f>IFERROR(__xludf.DUMMYFUNCTION("""COMPUTED_VALUE"""),"")</f>
        <v/>
      </c>
      <c r="H148" t="str">
        <f>IFERROR(__xludf.DUMMYFUNCTION("""COMPUTED_VALUE"""),"")</f>
        <v/>
      </c>
      <c r="I14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48" t="str">
        <f>IFERROR(__xludf.DUMMYFUNCTION("""COMPUTED_VALUE"""),"")</f>
        <v/>
      </c>
      <c r="K148" t="str">
        <f>IFERROR(__xludf.DUMMYFUNCTION("""COMPUTED_VALUE"""),"")</f>
        <v/>
      </c>
      <c r="L148" t="str">
        <f>IFERROR(__xludf.DUMMYFUNCTION("""COMPUTED_VALUE"""),"")</f>
        <v/>
      </c>
      <c r="M148" t="str">
        <f>IFERROR(__xludf.DUMMYFUNCTION("""COMPUTED_VALUE"""),"")</f>
        <v/>
      </c>
      <c r="N148" t="str">
        <f>IFERROR(__xludf.DUMMYFUNCTION("""COMPUTED_VALUE"""),"")</f>
        <v/>
      </c>
      <c r="O148" t="str">
        <f>IFERROR(__xludf.DUMMYFUNCTION("""COMPUTED_VALUE"""),"")</f>
        <v/>
      </c>
      <c r="P148" t="str">
        <f>IFERROR(__xludf.DUMMYFUNCTION("""COMPUTED_VALUE"""),"")</f>
        <v/>
      </c>
      <c r="Q148" s="19" t="str">
        <f>IFERROR(__xludf.DUMMYFUNCTION("""COMPUTED_VALUE"""),"https://wwwn.cdc.gov/psr/NationalSummary/NationalSummary.aspx")</f>
        <v>https://wwwn.cdc.gov/psr/NationalSummary/NationalSummary.aspx</v>
      </c>
      <c r="R148" t="str">
        <f>IFERROR(__xludf.DUMMYFUNCTION("""COMPUTED_VALUE"""),"")</f>
        <v/>
      </c>
      <c r="S148" t="str">
        <f>IFERROR(__xludf.DUMMYFUNCTION("""COMPUTED_VALUE"""),"")</f>
        <v/>
      </c>
      <c r="T148">
        <f>IFERROR(__xludf.DUMMYFUNCTION("""COMPUTED_VALUE"""),2.0)</f>
        <v>2</v>
      </c>
    </row>
    <row r="149">
      <c r="A149" t="str">
        <f>IFERROR(__xludf.DUMMYFUNCTION("""COMPUTED_VALUE"""),"Adults with hypertension whose blood pressure is under control (HDS-12)")</f>
        <v>Adults with hypertension whose blood pressure is under control (HDS-12)</v>
      </c>
      <c r="B149" t="str">
        <f>IFERROR(__xludf.DUMMYFUNCTION("""COMPUTED_VALUE"""),"")</f>
        <v/>
      </c>
      <c r="C149" t="str">
        <f>IFERROR(__xludf.DUMMYFUNCTION("""COMPUTED_VALUE"""),"")</f>
        <v/>
      </c>
      <c r="D149" t="str">
        <f>IFERROR(__xludf.DUMMYFUNCTION("""COMPUTED_VALUE"""),"")</f>
        <v/>
      </c>
      <c r="E149" t="str">
        <f>IFERROR(__xludf.DUMMYFUNCTION("""COMPUTED_VALUE"""),"")</f>
        <v/>
      </c>
      <c r="F149" t="str">
        <f>IFERROR(__xludf.DUMMYFUNCTION("""COMPUTED_VALUE"""),"")</f>
        <v/>
      </c>
      <c r="G149" t="str">
        <f>IFERROR(__xludf.DUMMYFUNCTION("""COMPUTED_VALUE"""),"")</f>
        <v/>
      </c>
      <c r="H149" t="str">
        <f>IFERROR(__xludf.DUMMYFUNCTION("""COMPUTED_VALUE"""),"")</f>
        <v/>
      </c>
      <c r="I149" t="str">
        <f>IFERROR(__xludf.DUMMYFUNCTION("""COMPUTED_VALUE"""),"")</f>
        <v/>
      </c>
      <c r="J149" t="str">
        <f>IFERROR(__xludf.DUMMYFUNCTION("""COMPUTED_VALUE"""),"")</f>
        <v/>
      </c>
      <c r="K149" t="str">
        <f>IFERROR(__xludf.DUMMYFUNCTION("""COMPUTED_VALUE"""),"")</f>
        <v/>
      </c>
      <c r="L149" t="str">
        <f>IFERROR(__xludf.DUMMYFUNCTION("""COMPUTED_VALUE"""),"")</f>
        <v/>
      </c>
      <c r="M149" t="str">
        <f>IFERROR(__xludf.DUMMYFUNCTION("""COMPUTED_VALUE"""),"")</f>
        <v/>
      </c>
      <c r="N149" t="str">
        <f>IFERROR(__xludf.DUMMYFUNCTION("""COMPUTED_VALUE"""),"")</f>
        <v/>
      </c>
      <c r="O149" t="str">
        <f>IFERROR(__xludf.DUMMYFUNCTION("""COMPUTED_VALUE"""),"")</f>
        <v/>
      </c>
      <c r="P149"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49" s="19" t="str">
        <f>IFERROR(__xludf.DUMMYFUNCTION("""COMPUTED_VALUE"""),"https://www.cdc.gov/nchs/healthy_people/hp2020/hp2020_indicators.htm")</f>
        <v>https://www.cdc.gov/nchs/healthy_people/hp2020/hp2020_indicators.htm</v>
      </c>
      <c r="R149" t="str">
        <f>IFERROR(__xludf.DUMMYFUNCTION("""COMPUTED_VALUE"""),"")</f>
        <v/>
      </c>
      <c r="S149" t="str">
        <f>IFERROR(__xludf.DUMMYFUNCTION("""COMPUTED_VALUE"""),"")</f>
        <v/>
      </c>
      <c r="T149">
        <f>IFERROR(__xludf.DUMMYFUNCTION("""COMPUTED_VALUE"""),2.0)</f>
        <v>2</v>
      </c>
    </row>
    <row r="150">
      <c r="A150" t="str">
        <f>IFERROR(__xludf.DUMMYFUNCTION("""COMPUTED_VALUE"""),"Children without both a medical and dental preventive care visit in past year")</f>
        <v>Children without both a medical and dental preventive care visit in past year</v>
      </c>
      <c r="B150" t="str">
        <f>IFERROR(__xludf.DUMMYFUNCTION("""COMPUTED_VALUE"""),"")</f>
        <v/>
      </c>
      <c r="C150" t="str">
        <f>IFERROR(__xludf.DUMMYFUNCTION("""COMPUTED_VALUE"""),"")</f>
        <v/>
      </c>
      <c r="D150" t="str">
        <f>IFERROR(__xludf.DUMMYFUNCTION("""COMPUTED_VALUE"""),"")</f>
        <v/>
      </c>
      <c r="E150" t="str">
        <f>IFERROR(__xludf.DUMMYFUNCTION("""COMPUTED_VALUE"""),"")</f>
        <v/>
      </c>
      <c r="F150" t="str">
        <f>IFERROR(__xludf.DUMMYFUNCTION("""COMPUTED_VALUE"""),"")</f>
        <v/>
      </c>
      <c r="G150" t="str">
        <f>IFERROR(__xludf.DUMMYFUNCTION("""COMPUTED_VALUE"""),"")</f>
        <v/>
      </c>
      <c r="H150" t="str">
        <f>IFERROR(__xludf.DUMMYFUNCTION("""COMPUTED_VALUE"""),"")</f>
        <v/>
      </c>
      <c r="I150" t="str">
        <f>IFERROR(__xludf.DUMMYFUNCTION("""COMPUTED_VALUE"""),"")</f>
        <v/>
      </c>
      <c r="J150" s="19" t="str">
        <f>IFERROR(__xludf.DUMMYFUNCTION("""COMPUTED_VALUE"""),"https://interactives.commonwealthfund.org/2018/state-scorecard/files/Radley_State_Scorecard_2018.pdf")</f>
        <v>https://interactives.commonwealthfund.org/2018/state-scorecard/files/Radley_State_Scorecard_2018.pdf</v>
      </c>
      <c r="K150" s="19" t="str">
        <f>IFERROR(__xludf.DUMMYFUNCTION("""COMPUTED_VALUE"""),"https://stats.oecd.org/index.aspx?DataSetCode=HEALTH_STAT")</f>
        <v>https://stats.oecd.org/index.aspx?DataSetCode=HEALTH_STAT</v>
      </c>
      <c r="L150" t="str">
        <f>IFERROR(__xludf.DUMMYFUNCTION("""COMPUTED_VALUE"""),"")</f>
        <v/>
      </c>
      <c r="M150" t="str">
        <f>IFERROR(__xludf.DUMMYFUNCTION("""COMPUTED_VALUE"""),"")</f>
        <v/>
      </c>
      <c r="N150" t="str">
        <f>IFERROR(__xludf.DUMMYFUNCTION("""COMPUTED_VALUE"""),"")</f>
        <v/>
      </c>
      <c r="O150" t="str">
        <f>IFERROR(__xludf.DUMMYFUNCTION("""COMPUTED_VALUE"""),"")</f>
        <v/>
      </c>
      <c r="P150" t="str">
        <f>IFERROR(__xludf.DUMMYFUNCTION("""COMPUTED_VALUE"""),"")</f>
        <v/>
      </c>
      <c r="Q150" t="str">
        <f>IFERROR(__xludf.DUMMYFUNCTION("""COMPUTED_VALUE"""),"")</f>
        <v/>
      </c>
      <c r="R150" t="str">
        <f>IFERROR(__xludf.DUMMYFUNCTION("""COMPUTED_VALUE"""),"")</f>
        <v/>
      </c>
      <c r="S150" t="str">
        <f>IFERROR(__xludf.DUMMYFUNCTION("""COMPUTED_VALUE"""),"")</f>
        <v/>
      </c>
      <c r="T150">
        <f>IFERROR(__xludf.DUMMYFUNCTION("""COMPUTED_VALUE"""),2.0)</f>
        <v>2</v>
      </c>
    </row>
    <row r="151">
      <c r="A151" t="str">
        <f>IFERROR(__xludf.DUMMYFUNCTION("""COMPUTED_VALUE"""),"Coverage of essential health services")</f>
        <v>Coverage of essential health services</v>
      </c>
      <c r="B151" t="str">
        <f>IFERROR(__xludf.DUMMYFUNCTION("""COMPUTED_VALUE"""),"")</f>
        <v/>
      </c>
      <c r="C151" t="str">
        <f>IFERROR(__xludf.DUMMYFUNCTION("""COMPUTED_VALUE"""),"")</f>
        <v/>
      </c>
      <c r="D151" t="str">
        <f>IFERROR(__xludf.DUMMYFUNCTION("""COMPUTED_VALUE"""),"")</f>
        <v/>
      </c>
      <c r="E151" t="str">
        <f>IFERROR(__xludf.DUMMYFUNCTION("""COMPUTED_VALUE"""),"")</f>
        <v/>
      </c>
      <c r="F151" t="str">
        <f>IFERROR(__xludf.DUMMYFUNCTION("""COMPUTED_VALUE"""),"")</f>
        <v/>
      </c>
      <c r="G151" t="str">
        <f>IFERROR(__xludf.DUMMYFUNCTION("""COMPUTED_VALUE"""),"")</f>
        <v/>
      </c>
      <c r="H151" t="str">
        <f>IFERROR(__xludf.DUMMYFUNCTION("""COMPUTED_VALUE"""),"")</f>
        <v/>
      </c>
      <c r="I15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51" t="str">
        <f>IFERROR(__xludf.DUMMYFUNCTION("""COMPUTED_VALUE"""),"")</f>
        <v/>
      </c>
      <c r="K151" t="str">
        <f>IFERROR(__xludf.DUMMYFUNCTION("""COMPUTED_VALUE"""),"")</f>
        <v/>
      </c>
      <c r="L151" t="str">
        <f>IFERROR(__xludf.DUMMYFUNCTION("""COMPUTED_VALUE"""),"")</f>
        <v/>
      </c>
      <c r="M151" t="str">
        <f>IFERROR(__xludf.DUMMYFUNCTION("""COMPUTED_VALUE"""),"")</f>
        <v/>
      </c>
      <c r="N151" t="str">
        <f>IFERROR(__xludf.DUMMYFUNCTION("""COMPUTED_VALUE"""),"")</f>
        <v/>
      </c>
      <c r="O151" t="str">
        <f>IFERROR(__xludf.DUMMYFUNCTION("""COMPUTED_VALUE"""),"")</f>
        <v/>
      </c>
      <c r="P151" t="str">
        <f>IFERROR(__xludf.DUMMYFUNCTION("""COMPUTED_VALUE"""),"")</f>
        <v/>
      </c>
      <c r="Q151" t="str">
        <f>IFERROR(__xludf.DUMMYFUNCTION("""COMPUTED_VALUE"""),"")</f>
        <v/>
      </c>
      <c r="R151" t="str">
        <f>IFERROR(__xludf.DUMMYFUNCTION("""COMPUTED_VALUE"""),"")</f>
        <v/>
      </c>
      <c r="S151" t="str">
        <f>IFERROR(__xludf.DUMMYFUNCTION("""COMPUTED_VALUE"""),"BWHP-25")</f>
        <v>BWHP-25</v>
      </c>
      <c r="T151">
        <f>IFERROR(__xludf.DUMMYFUNCTION("""COMPUTED_VALUE"""),2.0)</f>
        <v>2</v>
      </c>
    </row>
    <row r="152">
      <c r="A152" t="str">
        <f>IFERROR(__xludf.DUMMYFUNCTION("""COMPUTED_VALUE"""),"Ensuring safety and quality")</f>
        <v>Ensuring safety and quality</v>
      </c>
      <c r="B152" t="str">
        <f>IFERROR(__xludf.DUMMYFUNCTION("""COMPUTED_VALUE"""),"")</f>
        <v/>
      </c>
      <c r="C152" t="str">
        <f>IFERROR(__xludf.DUMMYFUNCTION("""COMPUTED_VALUE"""),"")</f>
        <v/>
      </c>
      <c r="D152" t="str">
        <f>IFERROR(__xludf.DUMMYFUNCTION("""COMPUTED_VALUE"""),"")</f>
        <v/>
      </c>
      <c r="E152" t="str">
        <f>IFERROR(__xludf.DUMMYFUNCTION("""COMPUTED_VALUE"""),"")</f>
        <v/>
      </c>
      <c r="F152" t="str">
        <f>IFERROR(__xludf.DUMMYFUNCTION("""COMPUTED_VALUE"""),"")</f>
        <v/>
      </c>
      <c r="G152" t="str">
        <f>IFERROR(__xludf.DUMMYFUNCTION("""COMPUTED_VALUE"""),"")</f>
        <v/>
      </c>
      <c r="H152" t="str">
        <f>IFERROR(__xludf.DUMMYFUNCTION("""COMPUTED_VALUE"""),"Commonwealth Fund section ""Performance feedback""")</f>
        <v>Commonwealth Fund section "Performance feedback"</v>
      </c>
      <c r="I152" t="str">
        <f>IFERROR(__xludf.DUMMYFUNCTION("""COMPUTED_VALUE"""),"")</f>
        <v/>
      </c>
      <c r="J152" s="19" t="str">
        <f>IFERROR(__xludf.DUMMYFUNCTION("""COMPUTED_VALUE"""),"https://international.commonwealthfund.org/stats/")</f>
        <v>https://international.commonwealthfund.org/stats/</v>
      </c>
      <c r="K152" t="str">
        <f>IFERROR(__xludf.DUMMYFUNCTION("""COMPUTED_VALUE"""),"")</f>
        <v/>
      </c>
      <c r="L152" t="str">
        <f>IFERROR(__xludf.DUMMYFUNCTION("""COMPUTED_VALUE"""),"")</f>
        <v/>
      </c>
      <c r="M152" t="str">
        <f>IFERROR(__xludf.DUMMYFUNCTION("""COMPUTED_VALUE"""),"")</f>
        <v/>
      </c>
      <c r="N152" t="str">
        <f>IFERROR(__xludf.DUMMYFUNCTION("""COMPUTED_VALUE"""),"")</f>
        <v/>
      </c>
      <c r="O152" t="str">
        <f>IFERROR(__xludf.DUMMYFUNCTION("""COMPUTED_VALUE"""),"")</f>
        <v/>
      </c>
      <c r="P152" s="19" t="str">
        <f>IFERROR(__xludf.DUMMYFUNCTION("""COMPUTED_VALUE"""),"https://www.cms.gov/about-cms/story-page/our-16-strategic-initiatives.html")</f>
        <v>https://www.cms.gov/about-cms/story-page/our-16-strategic-initiatives.html</v>
      </c>
      <c r="Q152" t="str">
        <f>IFERROR(__xludf.DUMMYFUNCTION("""COMPUTED_VALUE"""),"")</f>
        <v/>
      </c>
      <c r="R152" t="str">
        <f>IFERROR(__xludf.DUMMYFUNCTION("""COMPUTED_VALUE"""),"")</f>
        <v/>
      </c>
      <c r="S152" t="str">
        <f>IFERROR(__xludf.DUMMYFUNCTION("""COMPUTED_VALUE"""),"")</f>
        <v/>
      </c>
      <c r="T152">
        <f>IFERROR(__xludf.DUMMYFUNCTION("""COMPUTED_VALUE"""),2.0)</f>
        <v>2</v>
      </c>
    </row>
    <row r="153">
      <c r="A153" t="str">
        <f>IFERROR(__xludf.DUMMYFUNCTION("""COMPUTED_VALUE"""),"Care is personalized and aligned with patient's goals")</f>
        <v>Care is personalized and aligned with patient's goals</v>
      </c>
      <c r="B153" t="str">
        <f>IFERROR(__xludf.DUMMYFUNCTION("""COMPUTED_VALUE"""),"")</f>
        <v/>
      </c>
      <c r="C153" t="str">
        <f>IFERROR(__xludf.DUMMYFUNCTION("""COMPUTED_VALUE"""),"")</f>
        <v/>
      </c>
      <c r="D153" t="str">
        <f>IFERROR(__xludf.DUMMYFUNCTION("""COMPUTED_VALUE"""),"")</f>
        <v/>
      </c>
      <c r="E153" t="str">
        <f>IFERROR(__xludf.DUMMYFUNCTION("""COMPUTED_VALUE"""),"")</f>
        <v/>
      </c>
      <c r="F153" t="str">
        <f>IFERROR(__xludf.DUMMYFUNCTION("""COMPUTED_VALUE"""),"")</f>
        <v/>
      </c>
      <c r="G153" t="str">
        <f>IFERROR(__xludf.DUMMYFUNCTION("""COMPUTED_VALUE"""),"")</f>
        <v/>
      </c>
      <c r="H153" t="str">
        <f>IFERROR(__xludf.DUMMYFUNCTION("""COMPUTED_VALUE"""),"Commonwealth Fund focuses on hospital care being patient-centered as well as patient goals for chronic conditions")</f>
        <v>Commonwealth Fund focuses on hospital care being patient-centered as well as patient goals for chronic conditions</v>
      </c>
      <c r="I153" t="str">
        <f>IFERROR(__xludf.DUMMYFUNCTION("""COMPUTED_VALUE"""),"")</f>
        <v/>
      </c>
      <c r="J153"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153" t="str">
        <f>IFERROR(__xludf.DUMMYFUNCTION("""COMPUTED_VALUE"""),"")</f>
        <v/>
      </c>
      <c r="L153" t="str">
        <f>IFERROR(__xludf.DUMMYFUNCTION("""COMPUTED_VALUE"""),"")</f>
        <v/>
      </c>
      <c r="M153" t="str">
        <f>IFERROR(__xludf.DUMMYFUNCTION("""COMPUTED_VALUE"""),"")</f>
        <v/>
      </c>
      <c r="N153" t="str">
        <f>IFERROR(__xludf.DUMMYFUNCTION("""COMPUTED_VALUE"""),"")</f>
        <v/>
      </c>
      <c r="O153" t="str">
        <f>IFERROR(__xludf.DUMMYFUNCTION("""COMPUTED_VALUE"""),"")</f>
        <v/>
      </c>
      <c r="P153"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53" t="str">
        <f>IFERROR(__xludf.DUMMYFUNCTION("""COMPUTED_VALUE"""),"")</f>
        <v/>
      </c>
      <c r="R153" t="str">
        <f>IFERROR(__xludf.DUMMYFUNCTION("""COMPUTED_VALUE"""),"")</f>
        <v/>
      </c>
      <c r="S153" t="str">
        <f>IFERROR(__xludf.DUMMYFUNCTION("""COMPUTED_VALUE"""),"")</f>
        <v/>
      </c>
      <c r="T153">
        <f>IFERROR(__xludf.DUMMYFUNCTION("""COMPUTED_VALUE"""),2.0)</f>
        <v>2</v>
      </c>
    </row>
    <row r="154">
      <c r="A154" t="str">
        <f>IFERROR(__xludf.DUMMYFUNCTION("""COMPUTED_VALUE"""),"End of life care according to preferences")</f>
        <v>End of life care according to preferences</v>
      </c>
      <c r="B154" t="str">
        <f>IFERROR(__xludf.DUMMYFUNCTION("""COMPUTED_VALUE"""),"")</f>
        <v/>
      </c>
      <c r="C154" t="str">
        <f>IFERROR(__xludf.DUMMYFUNCTION("""COMPUTED_VALUE"""),"")</f>
        <v/>
      </c>
      <c r="D154" t="str">
        <f>IFERROR(__xludf.DUMMYFUNCTION("""COMPUTED_VALUE"""),"")</f>
        <v/>
      </c>
      <c r="E154" t="str">
        <f>IFERROR(__xludf.DUMMYFUNCTION("""COMPUTED_VALUE"""),"")</f>
        <v/>
      </c>
      <c r="F154" t="str">
        <f>IFERROR(__xludf.DUMMYFUNCTION("""COMPUTED_VALUE"""),"")</f>
        <v/>
      </c>
      <c r="G154" t="str">
        <f>IFERROR(__xludf.DUMMYFUNCTION("""COMPUTED_VALUE"""),"")</f>
        <v/>
      </c>
      <c r="H154" t="str">
        <f>IFERROR(__xludf.DUMMYFUNCTION("""COMPUTED_VALUE"""),"Commonwealth Fund for ""chronic conditions""")</f>
        <v>Commonwealth Fund for "chronic conditions"</v>
      </c>
      <c r="I154" t="str">
        <f>IFERROR(__xludf.DUMMYFUNCTION("""COMPUTED_VALUE"""),"")</f>
        <v/>
      </c>
      <c r="J154" s="19" t="str">
        <f>IFERROR(__xludf.DUMMYFUNCTION("""COMPUTED_VALUE"""),"https://international.commonwealthfund.org/stats/")</f>
        <v>https://international.commonwealthfund.org/stats/</v>
      </c>
      <c r="K154" t="str">
        <f>IFERROR(__xludf.DUMMYFUNCTION("""COMPUTED_VALUE"""),"")</f>
        <v/>
      </c>
      <c r="L154" t="str">
        <f>IFERROR(__xludf.DUMMYFUNCTION("""COMPUTED_VALUE"""),"")</f>
        <v/>
      </c>
      <c r="M154" t="str">
        <f>IFERROR(__xludf.DUMMYFUNCTION("""COMPUTED_VALUE"""),"")</f>
        <v/>
      </c>
      <c r="N154" t="str">
        <f>IFERROR(__xludf.DUMMYFUNCTION("""COMPUTED_VALUE"""),"")</f>
        <v/>
      </c>
      <c r="O154" t="str">
        <f>IFERROR(__xludf.DUMMYFUNCTION("""COMPUTED_VALUE"""),"")</f>
        <v/>
      </c>
      <c r="P154"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54" t="str">
        <f>IFERROR(__xludf.DUMMYFUNCTION("""COMPUTED_VALUE"""),"")</f>
        <v/>
      </c>
      <c r="R154" t="str">
        <f>IFERROR(__xludf.DUMMYFUNCTION("""COMPUTED_VALUE"""),"")</f>
        <v/>
      </c>
      <c r="S154" t="str">
        <f>IFERROR(__xludf.DUMMYFUNCTION("""COMPUTED_VALUE"""),"")</f>
        <v/>
      </c>
      <c r="T154">
        <f>IFERROR(__xludf.DUMMYFUNCTION("""COMPUTED_VALUE"""),2.0)</f>
        <v>2</v>
      </c>
    </row>
    <row r="155">
      <c r="A155" t="str">
        <f>IFERROR(__xludf.DUMMYFUNCTION("""COMPUTED_VALUE"""),"Patient's experience of care")</f>
        <v>Patient's experience of care</v>
      </c>
      <c r="B155" t="str">
        <f>IFERROR(__xludf.DUMMYFUNCTION("""COMPUTED_VALUE"""),"")</f>
        <v/>
      </c>
      <c r="C155" t="str">
        <f>IFERROR(__xludf.DUMMYFUNCTION("""COMPUTED_VALUE"""),"")</f>
        <v/>
      </c>
      <c r="D155" t="str">
        <f>IFERROR(__xludf.DUMMYFUNCTION("""COMPUTED_VALUE"""),"")</f>
        <v/>
      </c>
      <c r="E155" t="str">
        <f>IFERROR(__xludf.DUMMYFUNCTION("""COMPUTED_VALUE"""),"")</f>
        <v/>
      </c>
      <c r="F155" t="str">
        <f>IFERROR(__xludf.DUMMYFUNCTION("""COMPUTED_VALUE"""),"")</f>
        <v/>
      </c>
      <c r="G155" t="str">
        <f>IFERROR(__xludf.DUMMYFUNCTION("""COMPUTED_VALUE"""),"")</f>
        <v/>
      </c>
      <c r="H155" t="str">
        <f>IFERROR(__xludf.DUMMYFUNCTION("""COMPUTED_VALUE"""),"Commonwealth Fund section ""Performance feedback""")</f>
        <v>Commonwealth Fund section "Performance feedback"</v>
      </c>
      <c r="I155" t="str">
        <f>IFERROR(__xludf.DUMMYFUNCTION("""COMPUTED_VALUE"""),"")</f>
        <v/>
      </c>
      <c r="J155" s="19" t="str">
        <f>IFERROR(__xludf.DUMMYFUNCTION("""COMPUTED_VALUE"""),"https://international.commonwealthfund.org/stats/")</f>
        <v>https://international.commonwealthfund.org/stats/</v>
      </c>
      <c r="K155" t="str">
        <f>IFERROR(__xludf.DUMMYFUNCTION("""COMPUTED_VALUE"""),"")</f>
        <v/>
      </c>
      <c r="L155" t="str">
        <f>IFERROR(__xludf.DUMMYFUNCTION("""COMPUTED_VALUE"""),"")</f>
        <v/>
      </c>
      <c r="M155" t="str">
        <f>IFERROR(__xludf.DUMMYFUNCTION("""COMPUTED_VALUE"""),"")</f>
        <v/>
      </c>
      <c r="N155" t="str">
        <f>IFERROR(__xludf.DUMMYFUNCTION("""COMPUTED_VALUE"""),"")</f>
        <v/>
      </c>
      <c r="O155" t="str">
        <f>IFERROR(__xludf.DUMMYFUNCTION("""COMPUTED_VALUE"""),"")</f>
        <v/>
      </c>
      <c r="P155"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55" t="str">
        <f>IFERROR(__xludf.DUMMYFUNCTION("""COMPUTED_VALUE"""),"")</f>
        <v/>
      </c>
      <c r="R155" t="str">
        <f>IFERROR(__xludf.DUMMYFUNCTION("""COMPUTED_VALUE"""),"")</f>
        <v/>
      </c>
      <c r="S155" t="str">
        <f>IFERROR(__xludf.DUMMYFUNCTION("""COMPUTED_VALUE"""),"")</f>
        <v/>
      </c>
      <c r="T155">
        <f>IFERROR(__xludf.DUMMYFUNCTION("""COMPUTED_VALUE"""),2.0)</f>
        <v>2</v>
      </c>
    </row>
    <row r="156">
      <c r="A156" t="str">
        <f>IFERROR(__xludf.DUMMYFUNCTION("""COMPUTED_VALUE"""),"Patient reported functional outcomes")</f>
        <v>Patient reported functional outcomes</v>
      </c>
      <c r="B156" t="str">
        <f>IFERROR(__xludf.DUMMYFUNCTION("""COMPUTED_VALUE"""),"")</f>
        <v/>
      </c>
      <c r="C156" t="str">
        <f>IFERROR(__xludf.DUMMYFUNCTION("""COMPUTED_VALUE"""),"")</f>
        <v/>
      </c>
      <c r="D156" t="str">
        <f>IFERROR(__xludf.DUMMYFUNCTION("""COMPUTED_VALUE"""),"")</f>
        <v/>
      </c>
      <c r="E156" t="str">
        <f>IFERROR(__xludf.DUMMYFUNCTION("""COMPUTED_VALUE"""),"")</f>
        <v/>
      </c>
      <c r="F156" t="str">
        <f>IFERROR(__xludf.DUMMYFUNCTION("""COMPUTED_VALUE"""),"")</f>
        <v/>
      </c>
      <c r="G156" t="str">
        <f>IFERROR(__xludf.DUMMYFUNCTION("""COMPUTED_VALUE"""),"")</f>
        <v/>
      </c>
      <c r="H156" t="str">
        <f>IFERROR(__xludf.DUMMYFUNCTION("""COMPUTED_VALUE"""),"Commonwealth Fund section ""Performance feedback""")</f>
        <v>Commonwealth Fund section "Performance feedback"</v>
      </c>
      <c r="I156" t="str">
        <f>IFERROR(__xludf.DUMMYFUNCTION("""COMPUTED_VALUE"""),"")</f>
        <v/>
      </c>
      <c r="J156" s="19" t="str">
        <f>IFERROR(__xludf.DUMMYFUNCTION("""COMPUTED_VALUE"""),"https://international.commonwealthfund.org/stats/")</f>
        <v>https://international.commonwealthfund.org/stats/</v>
      </c>
      <c r="K156" t="str">
        <f>IFERROR(__xludf.DUMMYFUNCTION("""COMPUTED_VALUE"""),"")</f>
        <v/>
      </c>
      <c r="L156" t="str">
        <f>IFERROR(__xludf.DUMMYFUNCTION("""COMPUTED_VALUE"""),"")</f>
        <v/>
      </c>
      <c r="M156" t="str">
        <f>IFERROR(__xludf.DUMMYFUNCTION("""COMPUTED_VALUE"""),"")</f>
        <v/>
      </c>
      <c r="N156" t="str">
        <f>IFERROR(__xludf.DUMMYFUNCTION("""COMPUTED_VALUE"""),"")</f>
        <v/>
      </c>
      <c r="O156" t="str">
        <f>IFERROR(__xludf.DUMMYFUNCTION("""COMPUTED_VALUE"""),"")</f>
        <v/>
      </c>
      <c r="P156"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56" t="str">
        <f>IFERROR(__xludf.DUMMYFUNCTION("""COMPUTED_VALUE"""),"")</f>
        <v/>
      </c>
      <c r="R156" t="str">
        <f>IFERROR(__xludf.DUMMYFUNCTION("""COMPUTED_VALUE"""),"")</f>
        <v/>
      </c>
      <c r="S156" t="str">
        <f>IFERROR(__xludf.DUMMYFUNCTION("""COMPUTED_VALUE"""),"")</f>
        <v/>
      </c>
      <c r="T156">
        <f>IFERROR(__xludf.DUMMYFUNCTION("""COMPUTED_VALUE"""),2.0)</f>
        <v>2</v>
      </c>
    </row>
    <row r="157">
      <c r="A157" t="str">
        <f>IFERROR(__xludf.DUMMYFUNCTION("""COMPUTED_VALUE"""),"Patient focused episode of care")</f>
        <v>Patient focused episode of care</v>
      </c>
      <c r="B157" t="str">
        <f>IFERROR(__xludf.DUMMYFUNCTION("""COMPUTED_VALUE"""),"")</f>
        <v/>
      </c>
      <c r="C157" t="str">
        <f>IFERROR(__xludf.DUMMYFUNCTION("""COMPUTED_VALUE"""),"")</f>
        <v/>
      </c>
      <c r="D157" t="str">
        <f>IFERROR(__xludf.DUMMYFUNCTION("""COMPUTED_VALUE"""),"")</f>
        <v/>
      </c>
      <c r="E157" t="str">
        <f>IFERROR(__xludf.DUMMYFUNCTION("""COMPUTED_VALUE"""),"")</f>
        <v/>
      </c>
      <c r="F157" t="str">
        <f>IFERROR(__xludf.DUMMYFUNCTION("""COMPUTED_VALUE"""),"")</f>
        <v/>
      </c>
      <c r="G157" t="str">
        <f>IFERROR(__xludf.DUMMYFUNCTION("""COMPUTED_VALUE"""),"")</f>
        <v/>
      </c>
      <c r="H157" t="str">
        <f>IFERROR(__xludf.DUMMYFUNCTION("""COMPUTED_VALUE"""),"")</f>
        <v/>
      </c>
      <c r="I157" t="str">
        <f>IFERROR(__xludf.DUMMYFUNCTION("""COMPUTED_VALUE"""),"")</f>
        <v/>
      </c>
      <c r="J157" s="19" t="str">
        <f>IFERROR(__xludf.DUMMYFUNCTION("""COMPUTED_VALUE"""),"https://international.commonwealthfund.org/stats/")</f>
        <v>https://international.commonwealthfund.org/stats/</v>
      </c>
      <c r="K157" t="str">
        <f>IFERROR(__xludf.DUMMYFUNCTION("""COMPUTED_VALUE"""),"")</f>
        <v/>
      </c>
      <c r="L157" t="str">
        <f>IFERROR(__xludf.DUMMYFUNCTION("""COMPUTED_VALUE"""),"")</f>
        <v/>
      </c>
      <c r="M157" t="str">
        <f>IFERROR(__xludf.DUMMYFUNCTION("""COMPUTED_VALUE"""),"")</f>
        <v/>
      </c>
      <c r="N157" t="str">
        <f>IFERROR(__xludf.DUMMYFUNCTION("""COMPUTED_VALUE"""),"")</f>
        <v/>
      </c>
      <c r="O157" t="str">
        <f>IFERROR(__xludf.DUMMYFUNCTION("""COMPUTED_VALUE"""),"")</f>
        <v/>
      </c>
      <c r="P157"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157" t="str">
        <f>IFERROR(__xludf.DUMMYFUNCTION("""COMPUTED_VALUE"""),"")</f>
        <v/>
      </c>
      <c r="R157" t="str">
        <f>IFERROR(__xludf.DUMMYFUNCTION("""COMPUTED_VALUE"""),"")</f>
        <v/>
      </c>
      <c r="S157" t="str">
        <f>IFERROR(__xludf.DUMMYFUNCTION("""COMPUTED_VALUE"""),"")</f>
        <v/>
      </c>
      <c r="T157">
        <f>IFERROR(__xludf.DUMMYFUNCTION("""COMPUTED_VALUE"""),2.0)</f>
        <v>2</v>
      </c>
    </row>
    <row r="158">
      <c r="A158" t="str">
        <f>IFERROR(__xludf.DUMMYFUNCTION("""COMPUTED_VALUE"""),"Short-stay nursing home residents with a 30-day readmission to the hospital")</f>
        <v>Short-stay nursing home residents with a 30-day readmission to the hospital</v>
      </c>
      <c r="B158" t="str">
        <f>IFERROR(__xludf.DUMMYFUNCTION("""COMPUTED_VALUE"""),"")</f>
        <v/>
      </c>
      <c r="C158" t="str">
        <f>IFERROR(__xludf.DUMMYFUNCTION("""COMPUTED_VALUE"""),"")</f>
        <v/>
      </c>
      <c r="D158" t="str">
        <f>IFERROR(__xludf.DUMMYFUNCTION("""COMPUTED_VALUE"""),"")</f>
        <v/>
      </c>
      <c r="E158" t="str">
        <f>IFERROR(__xludf.DUMMYFUNCTION("""COMPUTED_VALUE"""),"")</f>
        <v/>
      </c>
      <c r="F158" t="str">
        <f>IFERROR(__xludf.DUMMYFUNCTION("""COMPUTED_VALUE"""),"")</f>
        <v/>
      </c>
      <c r="G158" t="str">
        <f>IFERROR(__xludf.DUMMYFUNCTION("""COMPUTED_VALUE"""),"")</f>
        <v/>
      </c>
      <c r="H158" t="str">
        <f>IFERROR(__xludf.DUMMYFUNCTION("""COMPUTED_VALUE"""),"")</f>
        <v/>
      </c>
      <c r="I158" t="str">
        <f>IFERROR(__xludf.DUMMYFUNCTION("""COMPUTED_VALUE"""),"")</f>
        <v/>
      </c>
      <c r="J158" s="19" t="str">
        <f>IFERROR(__xludf.DUMMYFUNCTION("""COMPUTED_VALUE"""),"https://interactives.commonwealthfund.org/2018/state-scorecard/files/Radley_State_Scorecard_2018.pdf")</f>
        <v>https://interactives.commonwealthfund.org/2018/state-scorecard/files/Radley_State_Scorecard_2018.pdf</v>
      </c>
      <c r="K158" t="str">
        <f>IFERROR(__xludf.DUMMYFUNCTION("""COMPUTED_VALUE"""),"")</f>
        <v/>
      </c>
      <c r="L158" t="str">
        <f>IFERROR(__xludf.DUMMYFUNCTION("""COMPUTED_VALUE"""),"")</f>
        <v/>
      </c>
      <c r="M158" t="str">
        <f>IFERROR(__xludf.DUMMYFUNCTION("""COMPUTED_VALUE"""),"")</f>
        <v/>
      </c>
      <c r="N158" s="19" t="str">
        <f>IFERROR(__xludf.DUMMYFUNCTION("""COMPUTED_VALUE"""),"https://www.americashealthrankings.org/explore/annual")</f>
        <v>https://www.americashealthrankings.org/explore/annual</v>
      </c>
      <c r="O158" t="str">
        <f>IFERROR(__xludf.DUMMYFUNCTION("""COMPUTED_VALUE"""),"")</f>
        <v/>
      </c>
      <c r="P158" t="str">
        <f>IFERROR(__xludf.DUMMYFUNCTION("""COMPUTED_VALUE"""),"")</f>
        <v/>
      </c>
      <c r="Q158" t="str">
        <f>IFERROR(__xludf.DUMMYFUNCTION("""COMPUTED_VALUE"""),"")</f>
        <v/>
      </c>
      <c r="R158" t="str">
        <f>IFERROR(__xludf.DUMMYFUNCTION("""COMPUTED_VALUE"""),"")</f>
        <v/>
      </c>
      <c r="S158" t="str">
        <f>IFERROR(__xludf.DUMMYFUNCTION("""COMPUTED_VALUE"""),"")</f>
        <v/>
      </c>
      <c r="T158">
        <f>IFERROR(__xludf.DUMMYFUNCTION("""COMPUTED_VALUE"""),2.0)</f>
        <v>2</v>
      </c>
    </row>
    <row r="159">
      <c r="A159" t="str">
        <f>IFERROR(__xludf.DUMMYFUNCTION("""COMPUTED_VALUE"""),"Long-stay nursing home residents with a hospital admission")</f>
        <v>Long-stay nursing home residents with a hospital admission</v>
      </c>
      <c r="B159" t="str">
        <f>IFERROR(__xludf.DUMMYFUNCTION("""COMPUTED_VALUE"""),"")</f>
        <v/>
      </c>
      <c r="C159" t="str">
        <f>IFERROR(__xludf.DUMMYFUNCTION("""COMPUTED_VALUE"""),"")</f>
        <v/>
      </c>
      <c r="D159" t="str">
        <f>IFERROR(__xludf.DUMMYFUNCTION("""COMPUTED_VALUE"""),"")</f>
        <v/>
      </c>
      <c r="E159" t="str">
        <f>IFERROR(__xludf.DUMMYFUNCTION("""COMPUTED_VALUE"""),"")</f>
        <v/>
      </c>
      <c r="F159" t="str">
        <f>IFERROR(__xludf.DUMMYFUNCTION("""COMPUTED_VALUE"""),"")</f>
        <v/>
      </c>
      <c r="G159" t="str">
        <f>IFERROR(__xludf.DUMMYFUNCTION("""COMPUTED_VALUE"""),"")</f>
        <v/>
      </c>
      <c r="H159" t="str">
        <f>IFERROR(__xludf.DUMMYFUNCTION("""COMPUTED_VALUE"""),"")</f>
        <v/>
      </c>
      <c r="I159" t="str">
        <f>IFERROR(__xludf.DUMMYFUNCTION("""COMPUTED_VALUE"""),"")</f>
        <v/>
      </c>
      <c r="J159" s="19" t="str">
        <f>IFERROR(__xludf.DUMMYFUNCTION("""COMPUTED_VALUE"""),"https://interactives.commonwealthfund.org/2018/state-scorecard/files/Radley_State_Scorecard_2018.pdf")</f>
        <v>https://interactives.commonwealthfund.org/2018/state-scorecard/files/Radley_State_Scorecard_2018.pdf</v>
      </c>
      <c r="K159" t="str">
        <f>IFERROR(__xludf.DUMMYFUNCTION("""COMPUTED_VALUE"""),"")</f>
        <v/>
      </c>
      <c r="L159" t="str">
        <f>IFERROR(__xludf.DUMMYFUNCTION("""COMPUTED_VALUE"""),"")</f>
        <v/>
      </c>
      <c r="M159" t="str">
        <f>IFERROR(__xludf.DUMMYFUNCTION("""COMPUTED_VALUE"""),"")</f>
        <v/>
      </c>
      <c r="N159" s="19" t="str">
        <f>IFERROR(__xludf.DUMMYFUNCTION("""COMPUTED_VALUE"""),"https://www.americashealthrankings.org/explore/annual")</f>
        <v>https://www.americashealthrankings.org/explore/annual</v>
      </c>
      <c r="O159" t="str">
        <f>IFERROR(__xludf.DUMMYFUNCTION("""COMPUTED_VALUE"""),"")</f>
        <v/>
      </c>
      <c r="P159" t="str">
        <f>IFERROR(__xludf.DUMMYFUNCTION("""COMPUTED_VALUE"""),"")</f>
        <v/>
      </c>
      <c r="Q159" t="str">
        <f>IFERROR(__xludf.DUMMYFUNCTION("""COMPUTED_VALUE"""),"")</f>
        <v/>
      </c>
      <c r="R159" t="str">
        <f>IFERROR(__xludf.DUMMYFUNCTION("""COMPUTED_VALUE"""),"")</f>
        <v/>
      </c>
      <c r="S159" t="str">
        <f>IFERROR(__xludf.DUMMYFUNCTION("""COMPUTED_VALUE"""),"")</f>
        <v/>
      </c>
      <c r="T159">
        <f>IFERROR(__xludf.DUMMYFUNCTION("""COMPUTED_VALUE"""),2.0)</f>
        <v>2</v>
      </c>
    </row>
    <row r="160">
      <c r="A160" t="str">
        <f>IFERROR(__xludf.DUMMYFUNCTION("""COMPUTED_VALUE"""),"Many dual eligibles (Medicare-Medicaid beneficiaries) experience poor health and die prematurely")</f>
        <v>Many dual eligibles (Medicare-Medicaid beneficiaries) experience poor health and die prematurely</v>
      </c>
      <c r="B160" t="str">
        <f>IFERROR(__xludf.DUMMYFUNCTION("""COMPUTED_VALUE"""),"")</f>
        <v/>
      </c>
      <c r="C160" t="str">
        <f>IFERROR(__xludf.DUMMYFUNCTION("""COMPUTED_VALUE"""),"")</f>
        <v/>
      </c>
      <c r="D160" t="str">
        <f>IFERROR(__xludf.DUMMYFUNCTION("""COMPUTED_VALUE"""),"")</f>
        <v/>
      </c>
      <c r="E160" t="str">
        <f>IFERROR(__xludf.DUMMYFUNCTION("""COMPUTED_VALUE"""),"")</f>
        <v/>
      </c>
      <c r="F160" t="str">
        <f>IFERROR(__xludf.DUMMYFUNCTION("""COMPUTED_VALUE"""),"")</f>
        <v/>
      </c>
      <c r="G160" t="str">
        <f>IFERROR(__xludf.DUMMYFUNCTION("""COMPUTED_VALUE"""),"Poor dual eligible outcomes")</f>
        <v>Poor dual eligible outcomes</v>
      </c>
      <c r="H160" t="str">
        <f>IFERROR(__xludf.DUMMYFUNCTION("""COMPUTED_VALUE"""),"")</f>
        <v/>
      </c>
      <c r="I160" t="str">
        <f>IFERROR(__xludf.DUMMYFUNCTION("""COMPUTED_VALUE"""),"")</f>
        <v/>
      </c>
      <c r="J160" t="str">
        <f>IFERROR(__xludf.DUMMYFUNCTION("""COMPUTED_VALUE"""),"")</f>
        <v/>
      </c>
      <c r="K160" t="str">
        <f>IFERROR(__xludf.DUMMYFUNCTION("""COMPUTED_VALUE"""),"")</f>
        <v/>
      </c>
      <c r="L160" t="str">
        <f>IFERROR(__xludf.DUMMYFUNCTION("""COMPUTED_VALUE"""),"")</f>
        <v/>
      </c>
      <c r="M160" t="str">
        <f>IFERROR(__xludf.DUMMYFUNCTION("""COMPUTED_VALUE"""),"")</f>
        <v/>
      </c>
      <c r="N160" t="str">
        <f>IFERROR(__xludf.DUMMYFUNCTION("""COMPUTED_VALUE"""),"")</f>
        <v/>
      </c>
      <c r="O160" t="str">
        <f>IFERROR(__xludf.DUMMYFUNCTION("""COMPUTED_VALUE"""),"")</f>
        <v/>
      </c>
      <c r="P160" t="str">
        <f>IFERROR(__xludf.DUMMYFUNCTION("""COMPUTED_VALUE"""),"https://www.cms.gov/about-cms/story-page/our-16-strategic-initiatives.html, BWHP-7")</f>
        <v>https://www.cms.gov/about-cms/story-page/our-16-strategic-initiatives.html, BWHP-7</v>
      </c>
      <c r="Q160" t="str">
        <f>IFERROR(__xludf.DUMMYFUNCTION("""COMPUTED_VALUE"""),"")</f>
        <v/>
      </c>
      <c r="R160" t="str">
        <f>IFERROR(__xludf.DUMMYFUNCTION("""COMPUTED_VALUE"""),"")</f>
        <v/>
      </c>
      <c r="S160" t="str">
        <f>IFERROR(__xludf.DUMMYFUNCTION("""COMPUTED_VALUE"""),"BWHP-7")</f>
        <v>BWHP-7</v>
      </c>
      <c r="T160">
        <f>IFERROR(__xludf.DUMMYFUNCTION("""COMPUTED_VALUE"""),2.0)</f>
        <v>2</v>
      </c>
    </row>
    <row r="161">
      <c r="A161" t="str">
        <f>IFERROR(__xludf.DUMMYFUNCTION("""COMPUTED_VALUE"""),"The Medicare program is too complex for seniors to understand")</f>
        <v>The Medicare program is too complex for seniors to understand</v>
      </c>
      <c r="B161" t="str">
        <f>IFERROR(__xludf.DUMMYFUNCTION("""COMPUTED_VALUE"""),"")</f>
        <v/>
      </c>
      <c r="C161" t="str">
        <f>IFERROR(__xludf.DUMMYFUNCTION("""COMPUTED_VALUE"""),"")</f>
        <v/>
      </c>
      <c r="D161" t="str">
        <f>IFERROR(__xludf.DUMMYFUNCTION("""COMPUTED_VALUE"""),"")</f>
        <v/>
      </c>
      <c r="E161" t="str">
        <f>IFERROR(__xludf.DUMMYFUNCTION("""COMPUTED_VALUE"""),"")</f>
        <v/>
      </c>
      <c r="F161" t="str">
        <f>IFERROR(__xludf.DUMMYFUNCTION("""COMPUTED_VALUE"""),"")</f>
        <v/>
      </c>
      <c r="G161" t="str">
        <f>IFERROR(__xludf.DUMMYFUNCTION("""COMPUTED_VALUE"""),"Medicare complexity")</f>
        <v>Medicare complexity</v>
      </c>
      <c r="H161" t="str">
        <f>IFERROR(__xludf.DUMMYFUNCTION("""COMPUTED_VALUE"""),"")</f>
        <v/>
      </c>
      <c r="I161" t="str">
        <f>IFERROR(__xludf.DUMMYFUNCTION("""COMPUTED_VALUE"""),"")</f>
        <v/>
      </c>
      <c r="J161" t="str">
        <f>IFERROR(__xludf.DUMMYFUNCTION("""COMPUTED_VALUE"""),"")</f>
        <v/>
      </c>
      <c r="K161" t="str">
        <f>IFERROR(__xludf.DUMMYFUNCTION("""COMPUTED_VALUE"""),"")</f>
        <v/>
      </c>
      <c r="L161" t="str">
        <f>IFERROR(__xludf.DUMMYFUNCTION("""COMPUTED_VALUE"""),"")</f>
        <v/>
      </c>
      <c r="M161" t="str">
        <f>IFERROR(__xludf.DUMMYFUNCTION("""COMPUTED_VALUE"""),"")</f>
        <v/>
      </c>
      <c r="N161" t="str">
        <f>IFERROR(__xludf.DUMMYFUNCTION("""COMPUTED_VALUE"""),"")</f>
        <v/>
      </c>
      <c r="O161" t="str">
        <f>IFERROR(__xludf.DUMMYFUNCTION("""COMPUTED_VALUE"""),"")</f>
        <v/>
      </c>
      <c r="P161" t="str">
        <f>IFERROR(__xludf.DUMMYFUNCTION("""COMPUTED_VALUE"""),"BWHP-12")</f>
        <v>BWHP-12</v>
      </c>
      <c r="Q161" t="str">
        <f>IFERROR(__xludf.DUMMYFUNCTION("""COMPUTED_VALUE"""),"")</f>
        <v/>
      </c>
      <c r="R161" t="str">
        <f>IFERROR(__xludf.DUMMYFUNCTION("""COMPUTED_VALUE"""),"")</f>
        <v/>
      </c>
      <c r="S161" t="str">
        <f>IFERROR(__xludf.DUMMYFUNCTION("""COMPUTED_VALUE"""),"BWHP-12")</f>
        <v>BWHP-12</v>
      </c>
      <c r="T161">
        <f>IFERROR(__xludf.DUMMYFUNCTION("""COMPUTED_VALUE"""),2.0)</f>
        <v>2</v>
      </c>
    </row>
    <row r="162">
      <c r="A162" t="str">
        <f>IFERROR(__xludf.DUMMYFUNCTION("""COMPUTED_VALUE"""),"Lack of patient data ownership and access to their complete health record harms and kills patients")</f>
        <v>Lack of patient data ownership and access to their complete health record harms and kills patients</v>
      </c>
      <c r="B162" t="str">
        <f>IFERROR(__xludf.DUMMYFUNCTION("""COMPUTED_VALUE"""),"")</f>
        <v/>
      </c>
      <c r="C162" t="str">
        <f>IFERROR(__xludf.DUMMYFUNCTION("""COMPUTED_VALUE"""),"")</f>
        <v/>
      </c>
      <c r="D162" t="str">
        <f>IFERROR(__xludf.DUMMYFUNCTION("""COMPUTED_VALUE"""),"")</f>
        <v/>
      </c>
      <c r="E162" t="str">
        <f>IFERROR(__xludf.DUMMYFUNCTION("""COMPUTED_VALUE"""),"")</f>
        <v/>
      </c>
      <c r="F162" t="str">
        <f>IFERROR(__xludf.DUMMYFUNCTION("""COMPUTED_VALUE"""),"")</f>
        <v/>
      </c>
      <c r="G162" t="str">
        <f>IFERROR(__xludf.DUMMYFUNCTION("""COMPUTED_VALUE"""),"")</f>
        <v/>
      </c>
      <c r="H162" t="str">
        <f>IFERROR(__xludf.DUMMYFUNCTION("""COMPUTED_VALUE"""),"")</f>
        <v/>
      </c>
      <c r="I162" t="str">
        <f>IFERROR(__xludf.DUMMYFUNCTION("""COMPUTED_VALUE"""),"")</f>
        <v/>
      </c>
      <c r="J162" t="str">
        <f>IFERROR(__xludf.DUMMYFUNCTION("""COMPUTED_VALUE"""),"")</f>
        <v/>
      </c>
      <c r="K162" t="str">
        <f>IFERROR(__xludf.DUMMYFUNCTION("""COMPUTED_VALUE"""),"")</f>
        <v/>
      </c>
      <c r="L162" t="str">
        <f>IFERROR(__xludf.DUMMYFUNCTION("""COMPUTED_VALUE"""),"")</f>
        <v/>
      </c>
      <c r="M162" t="str">
        <f>IFERROR(__xludf.DUMMYFUNCTION("""COMPUTED_VALUE"""),"")</f>
        <v/>
      </c>
      <c r="N162" t="str">
        <f>IFERROR(__xludf.DUMMYFUNCTION("""COMPUTED_VALUE"""),"")</f>
        <v/>
      </c>
      <c r="O162" t="str">
        <f>IFERROR(__xludf.DUMMYFUNCTION("""COMPUTED_VALUE"""),"")</f>
        <v/>
      </c>
      <c r="P162" s="19" t="str">
        <f>IFERROR(__xludf.DUMMYFUNCTION("""COMPUTED_VALUE"""),"https://www.cms.gov/about-cms/story-page/our-16-strategic-initiatives.html")</f>
        <v>https://www.cms.gov/about-cms/story-page/our-16-strategic-initiatives.html</v>
      </c>
      <c r="Q162" t="str">
        <f>IFERROR(__xludf.DUMMYFUNCTION("""COMPUTED_VALUE"""),"")</f>
        <v/>
      </c>
      <c r="R162" t="str">
        <f>IFERROR(__xludf.DUMMYFUNCTION("""COMPUTED_VALUE"""),"")</f>
        <v/>
      </c>
      <c r="S162" t="str">
        <f>IFERROR(__xludf.DUMMYFUNCTION("""COMPUTED_VALUE"""),"BWHP-27")</f>
        <v>BWHP-27</v>
      </c>
      <c r="T162">
        <f>IFERROR(__xludf.DUMMYFUNCTION("""COMPUTED_VALUE"""),2.0)</f>
        <v>2</v>
      </c>
    </row>
    <row r="163">
      <c r="A163" t="str">
        <f>IFERROR(__xludf.DUMMYFUNCTION("""COMPUTED_VALUE"""),"Hospital discharges per 1,000 population")</f>
        <v>Hospital discharges per 1,000 population</v>
      </c>
      <c r="B163" t="str">
        <f>IFERROR(__xludf.DUMMYFUNCTION("""COMPUTED_VALUE"""),"")</f>
        <v/>
      </c>
      <c r="C163" t="str">
        <f>IFERROR(__xludf.DUMMYFUNCTION("""COMPUTED_VALUE"""),"")</f>
        <v/>
      </c>
      <c r="D163" t="str">
        <f>IFERROR(__xludf.DUMMYFUNCTION("""COMPUTED_VALUE"""),"")</f>
        <v/>
      </c>
      <c r="E163" t="str">
        <f>IFERROR(__xludf.DUMMYFUNCTION("""COMPUTED_VALUE"""),"")</f>
        <v/>
      </c>
      <c r="F163" t="str">
        <f>IFERROR(__xludf.DUMMYFUNCTION("""COMPUTED_VALUE"""),"")</f>
        <v/>
      </c>
      <c r="G163" t="str">
        <f>IFERROR(__xludf.DUMMYFUNCTION("""COMPUTED_VALUE"""),"")</f>
        <v/>
      </c>
      <c r="H163" t="str">
        <f>IFERROR(__xludf.DUMMYFUNCTION("""COMPUTED_VALUE"""),"")</f>
        <v/>
      </c>
      <c r="I163" t="str">
        <f>IFERROR(__xludf.DUMMYFUNCTION("""COMPUTED_VALUE"""),"")</f>
        <v/>
      </c>
      <c r="J163" s="19" t="str">
        <f>IFERROR(__xludf.DUMMYFUNCTION("""COMPUTED_VALUE"""),"https://international.commonwealthfund.org/stats/")</f>
        <v>https://international.commonwealthfund.org/stats/</v>
      </c>
      <c r="K163" s="19" t="str">
        <f>IFERROR(__xludf.DUMMYFUNCTION("""COMPUTED_VALUE"""),"https://stats.oecd.org/index.aspx?DataSetCode=HEALTH_STAT#")</f>
        <v>https://stats.oecd.org/index.aspx?DataSetCode=HEALTH_STAT#</v>
      </c>
      <c r="L163" t="str">
        <f>IFERROR(__xludf.DUMMYFUNCTION("""COMPUTED_VALUE"""),"")</f>
        <v/>
      </c>
      <c r="M163" t="str">
        <f>IFERROR(__xludf.DUMMYFUNCTION("""COMPUTED_VALUE"""),"")</f>
        <v/>
      </c>
      <c r="N163" t="str">
        <f>IFERROR(__xludf.DUMMYFUNCTION("""COMPUTED_VALUE"""),"")</f>
        <v/>
      </c>
      <c r="O163" t="str">
        <f>IFERROR(__xludf.DUMMYFUNCTION("""COMPUTED_VALUE"""),"")</f>
        <v/>
      </c>
      <c r="P163" t="str">
        <f>IFERROR(__xludf.DUMMYFUNCTION("""COMPUTED_VALUE"""),"")</f>
        <v/>
      </c>
      <c r="Q163" t="str">
        <f>IFERROR(__xludf.DUMMYFUNCTION("""COMPUTED_VALUE"""),"")</f>
        <v/>
      </c>
      <c r="R163" t="str">
        <f>IFERROR(__xludf.DUMMYFUNCTION("""COMPUTED_VALUE"""),"")</f>
        <v/>
      </c>
      <c r="S163" t="str">
        <f>IFERROR(__xludf.DUMMYFUNCTION("""COMPUTED_VALUE"""),"")</f>
        <v/>
      </c>
      <c r="T163">
        <f>IFERROR(__xludf.DUMMYFUNCTION("""COMPUTED_VALUE"""),2.0)</f>
        <v>2</v>
      </c>
    </row>
    <row r="164">
      <c r="A164" t="str">
        <f>IFERROR(__xludf.DUMMYFUNCTION("""COMPUTED_VALUE"""),"Magnetic Resonance Imaging (MRI) Machines per Million Population")</f>
        <v>Magnetic Resonance Imaging (MRI) Machines per Million Population</v>
      </c>
      <c r="B164" t="str">
        <f>IFERROR(__xludf.DUMMYFUNCTION("""COMPUTED_VALUE"""),"")</f>
        <v/>
      </c>
      <c r="C164" t="str">
        <f>IFERROR(__xludf.DUMMYFUNCTION("""COMPUTED_VALUE"""),"")</f>
        <v/>
      </c>
      <c r="D164" t="str">
        <f>IFERROR(__xludf.DUMMYFUNCTION("""COMPUTED_VALUE"""),"")</f>
        <v/>
      </c>
      <c r="E164" t="str">
        <f>IFERROR(__xludf.DUMMYFUNCTION("""COMPUTED_VALUE"""),"")</f>
        <v/>
      </c>
      <c r="F164" t="str">
        <f>IFERROR(__xludf.DUMMYFUNCTION("""COMPUTED_VALUE"""),"")</f>
        <v/>
      </c>
      <c r="G164" t="str">
        <f>IFERROR(__xludf.DUMMYFUNCTION("""COMPUTED_VALUE"""),"")</f>
        <v/>
      </c>
      <c r="H164" t="str">
        <f>IFERROR(__xludf.DUMMYFUNCTION("""COMPUTED_VALUE"""),"OECD: Med tech")</f>
        <v>OECD: Med tech</v>
      </c>
      <c r="I164" t="str">
        <f>IFERROR(__xludf.DUMMYFUNCTION("""COMPUTED_VALUE"""),"")</f>
        <v/>
      </c>
      <c r="J164" s="19" t="str">
        <f>IFERROR(__xludf.DUMMYFUNCTION("""COMPUTED_VALUE"""),"https://international.commonwealthfund.org/stats/")</f>
        <v>https://international.commonwealthfund.org/stats/</v>
      </c>
      <c r="K164" s="19" t="str">
        <f>IFERROR(__xludf.DUMMYFUNCTION("""COMPUTED_VALUE"""),"https://stats.oecd.org/index.aspx?DataSetCode=HEALTH_STAT#")</f>
        <v>https://stats.oecd.org/index.aspx?DataSetCode=HEALTH_STAT#</v>
      </c>
      <c r="L164" t="str">
        <f>IFERROR(__xludf.DUMMYFUNCTION("""COMPUTED_VALUE"""),"")</f>
        <v/>
      </c>
      <c r="M164" t="str">
        <f>IFERROR(__xludf.DUMMYFUNCTION("""COMPUTED_VALUE"""),"")</f>
        <v/>
      </c>
      <c r="N164" t="str">
        <f>IFERROR(__xludf.DUMMYFUNCTION("""COMPUTED_VALUE"""),"")</f>
        <v/>
      </c>
      <c r="O164" t="str">
        <f>IFERROR(__xludf.DUMMYFUNCTION("""COMPUTED_VALUE"""),"")</f>
        <v/>
      </c>
      <c r="P164" t="str">
        <f>IFERROR(__xludf.DUMMYFUNCTION("""COMPUTED_VALUE"""),"")</f>
        <v/>
      </c>
      <c r="Q164" t="str">
        <f>IFERROR(__xludf.DUMMYFUNCTION("""COMPUTED_VALUE"""),"")</f>
        <v/>
      </c>
      <c r="R164" t="str">
        <f>IFERROR(__xludf.DUMMYFUNCTION("""COMPUTED_VALUE"""),"")</f>
        <v/>
      </c>
      <c r="S164" t="str">
        <f>IFERROR(__xludf.DUMMYFUNCTION("""COMPUTED_VALUE"""),"")</f>
        <v/>
      </c>
      <c r="T164">
        <f>IFERROR(__xludf.DUMMYFUNCTION("""COMPUTED_VALUE"""),2.0)</f>
        <v>2</v>
      </c>
    </row>
    <row r="165">
      <c r="A165" t="str">
        <f>IFERROR(__xludf.DUMMYFUNCTION("""COMPUTED_VALUE"""),"Magnetic Resonance Imaging (MRI) Exams per 1,000 Population")</f>
        <v>Magnetic Resonance Imaging (MRI) Exams per 1,000 Population</v>
      </c>
      <c r="B165" t="str">
        <f>IFERROR(__xludf.DUMMYFUNCTION("""COMPUTED_VALUE"""),"")</f>
        <v/>
      </c>
      <c r="C165" t="str">
        <f>IFERROR(__xludf.DUMMYFUNCTION("""COMPUTED_VALUE"""),"")</f>
        <v/>
      </c>
      <c r="D165" t="str">
        <f>IFERROR(__xludf.DUMMYFUNCTION("""COMPUTED_VALUE"""),"")</f>
        <v/>
      </c>
      <c r="E165" t="str">
        <f>IFERROR(__xludf.DUMMYFUNCTION("""COMPUTED_VALUE"""),"")</f>
        <v/>
      </c>
      <c r="F165" t="str">
        <f>IFERROR(__xludf.DUMMYFUNCTION("""COMPUTED_VALUE"""),"")</f>
        <v/>
      </c>
      <c r="G165" t="str">
        <f>IFERROR(__xludf.DUMMYFUNCTION("""COMPUTED_VALUE"""),"")</f>
        <v/>
      </c>
      <c r="H165" t="str">
        <f>IFERROR(__xludf.DUMMYFUNCTION("""COMPUTED_VALUE"""),"OECD: Med tech")</f>
        <v>OECD: Med tech</v>
      </c>
      <c r="I165" t="str">
        <f>IFERROR(__xludf.DUMMYFUNCTION("""COMPUTED_VALUE"""),"")</f>
        <v/>
      </c>
      <c r="J165" s="19" t="str">
        <f>IFERROR(__xludf.DUMMYFUNCTION("""COMPUTED_VALUE"""),"https://international.commonwealthfund.org/stats/")</f>
        <v>https://international.commonwealthfund.org/stats/</v>
      </c>
      <c r="K165" s="19" t="str">
        <f>IFERROR(__xludf.DUMMYFUNCTION("""COMPUTED_VALUE"""),"https://stats.oecd.org/index.aspx?DataSetCode=HEALTH_STAT#")</f>
        <v>https://stats.oecd.org/index.aspx?DataSetCode=HEALTH_STAT#</v>
      </c>
      <c r="L165" t="str">
        <f>IFERROR(__xludf.DUMMYFUNCTION("""COMPUTED_VALUE"""),"")</f>
        <v/>
      </c>
      <c r="M165" t="str">
        <f>IFERROR(__xludf.DUMMYFUNCTION("""COMPUTED_VALUE"""),"")</f>
        <v/>
      </c>
      <c r="N165" t="str">
        <f>IFERROR(__xludf.DUMMYFUNCTION("""COMPUTED_VALUE"""),"")</f>
        <v/>
      </c>
      <c r="O165" t="str">
        <f>IFERROR(__xludf.DUMMYFUNCTION("""COMPUTED_VALUE"""),"")</f>
        <v/>
      </c>
      <c r="P165" t="str">
        <f>IFERROR(__xludf.DUMMYFUNCTION("""COMPUTED_VALUE"""),"")</f>
        <v/>
      </c>
      <c r="Q165" t="str">
        <f>IFERROR(__xludf.DUMMYFUNCTION("""COMPUTED_VALUE"""),"")</f>
        <v/>
      </c>
      <c r="R165" t="str">
        <f>IFERROR(__xludf.DUMMYFUNCTION("""COMPUTED_VALUE"""),"")</f>
        <v/>
      </c>
      <c r="S165" t="str">
        <f>IFERROR(__xludf.DUMMYFUNCTION("""COMPUTED_VALUE"""),"")</f>
        <v/>
      </c>
      <c r="T165">
        <f>IFERROR(__xludf.DUMMYFUNCTION("""COMPUTED_VALUE"""),2.0)</f>
        <v>2</v>
      </c>
    </row>
    <row r="166">
      <c r="A166" t="str">
        <f>IFERROR(__xludf.DUMMYFUNCTION("""COMPUTED_VALUE"""),"Able to Get Same-Day/Next-Day Appointment When Sick")</f>
        <v>Able to Get Same-Day/Next-Day Appointment When Sick</v>
      </c>
      <c r="B166" t="str">
        <f>IFERROR(__xludf.DUMMYFUNCTION("""COMPUTED_VALUE"""),"")</f>
        <v/>
      </c>
      <c r="C166" t="str">
        <f>IFERROR(__xludf.DUMMYFUNCTION("""COMPUTED_VALUE"""),"")</f>
        <v/>
      </c>
      <c r="D166" t="str">
        <f>IFERROR(__xludf.DUMMYFUNCTION("""COMPUTED_VALUE"""),"")</f>
        <v/>
      </c>
      <c r="E166" t="str">
        <f>IFERROR(__xludf.DUMMYFUNCTION("""COMPUTED_VALUE"""),"")</f>
        <v/>
      </c>
      <c r="F166" t="str">
        <f>IFERROR(__xludf.DUMMYFUNCTION("""COMPUTED_VALUE"""),"")</f>
        <v/>
      </c>
      <c r="G166" t="str">
        <f>IFERROR(__xludf.DUMMYFUNCTION("""COMPUTED_VALUE"""),"")</f>
        <v/>
      </c>
      <c r="H166" t="str">
        <f>IFERROR(__xludf.DUMMYFUNCTION("""COMPUTED_VALUE"""),"")</f>
        <v/>
      </c>
      <c r="I166" t="str">
        <f>IFERROR(__xludf.DUMMYFUNCTION("""COMPUTED_VALUE"""),"")</f>
        <v/>
      </c>
      <c r="J166" s="19" t="str">
        <f>IFERROR(__xludf.DUMMYFUNCTION("""COMPUTED_VALUE"""),"https://international.commonwealthfund.org/stats/")</f>
        <v>https://international.commonwealthfund.org/stats/</v>
      </c>
      <c r="K166" s="19" t="str">
        <f>IFERROR(__xludf.DUMMYFUNCTION("""COMPUTED_VALUE"""),"https://stats.oecd.org/index.aspx?DataSetCode=HEALTH_STAT#")</f>
        <v>https://stats.oecd.org/index.aspx?DataSetCode=HEALTH_STAT#</v>
      </c>
      <c r="L166" t="str">
        <f>IFERROR(__xludf.DUMMYFUNCTION("""COMPUTED_VALUE"""),"")</f>
        <v/>
      </c>
      <c r="M166" t="str">
        <f>IFERROR(__xludf.DUMMYFUNCTION("""COMPUTED_VALUE"""),"")</f>
        <v/>
      </c>
      <c r="N166" t="str">
        <f>IFERROR(__xludf.DUMMYFUNCTION("""COMPUTED_VALUE"""),"")</f>
        <v/>
      </c>
      <c r="O166" t="str">
        <f>IFERROR(__xludf.DUMMYFUNCTION("""COMPUTED_VALUE"""),"")</f>
        <v/>
      </c>
      <c r="P166" t="str">
        <f>IFERROR(__xludf.DUMMYFUNCTION("""COMPUTED_VALUE"""),"")</f>
        <v/>
      </c>
      <c r="Q166" t="str">
        <f>IFERROR(__xludf.DUMMYFUNCTION("""COMPUTED_VALUE"""),"")</f>
        <v/>
      </c>
      <c r="R166" t="str">
        <f>IFERROR(__xludf.DUMMYFUNCTION("""COMPUTED_VALUE"""),"")</f>
        <v/>
      </c>
      <c r="S166" t="str">
        <f>IFERROR(__xludf.DUMMYFUNCTION("""COMPUTED_VALUE"""),"")</f>
        <v/>
      </c>
      <c r="T166">
        <f>IFERROR(__xludf.DUMMYFUNCTION("""COMPUTED_VALUE"""),2.0)</f>
        <v>2</v>
      </c>
    </row>
    <row r="167">
      <c r="A167" t="str">
        <f>IFERROR(__xludf.DUMMYFUNCTION("""COMPUTED_VALUE"""),"Very/Somewhat Easy to Get Care After Hours")</f>
        <v>Very/Somewhat Easy to Get Care After Hours</v>
      </c>
      <c r="B167" t="str">
        <f>IFERROR(__xludf.DUMMYFUNCTION("""COMPUTED_VALUE"""),"")</f>
        <v/>
      </c>
      <c r="C167" t="str">
        <f>IFERROR(__xludf.DUMMYFUNCTION("""COMPUTED_VALUE"""),"")</f>
        <v/>
      </c>
      <c r="D167" t="str">
        <f>IFERROR(__xludf.DUMMYFUNCTION("""COMPUTED_VALUE"""),"")</f>
        <v/>
      </c>
      <c r="E167" t="str">
        <f>IFERROR(__xludf.DUMMYFUNCTION("""COMPUTED_VALUE"""),"")</f>
        <v/>
      </c>
      <c r="F167" t="str">
        <f>IFERROR(__xludf.DUMMYFUNCTION("""COMPUTED_VALUE"""),"")</f>
        <v/>
      </c>
      <c r="G167" t="str">
        <f>IFERROR(__xludf.DUMMYFUNCTION("""COMPUTED_VALUE"""),"")</f>
        <v/>
      </c>
      <c r="H167" t="str">
        <f>IFERROR(__xludf.DUMMYFUNCTION("""COMPUTED_VALUE"""),"")</f>
        <v/>
      </c>
      <c r="I167" t="str">
        <f>IFERROR(__xludf.DUMMYFUNCTION("""COMPUTED_VALUE"""),"")</f>
        <v/>
      </c>
      <c r="J167" s="19" t="str">
        <f>IFERROR(__xludf.DUMMYFUNCTION("""COMPUTED_VALUE"""),"https://international.commonwealthfund.org/stats/")</f>
        <v>https://international.commonwealthfund.org/stats/</v>
      </c>
      <c r="K167" s="19" t="str">
        <f>IFERROR(__xludf.DUMMYFUNCTION("""COMPUTED_VALUE"""),"https://stats.oecd.org/index.aspx?DataSetCode=HEALTH_STAT#")</f>
        <v>https://stats.oecd.org/index.aspx?DataSetCode=HEALTH_STAT#</v>
      </c>
      <c r="L167" t="str">
        <f>IFERROR(__xludf.DUMMYFUNCTION("""COMPUTED_VALUE"""),"")</f>
        <v/>
      </c>
      <c r="M167" t="str">
        <f>IFERROR(__xludf.DUMMYFUNCTION("""COMPUTED_VALUE"""),"")</f>
        <v/>
      </c>
      <c r="N167" t="str">
        <f>IFERROR(__xludf.DUMMYFUNCTION("""COMPUTED_VALUE"""),"")</f>
        <v/>
      </c>
      <c r="O167" t="str">
        <f>IFERROR(__xludf.DUMMYFUNCTION("""COMPUTED_VALUE"""),"")</f>
        <v/>
      </c>
      <c r="P167" t="str">
        <f>IFERROR(__xludf.DUMMYFUNCTION("""COMPUTED_VALUE"""),"")</f>
        <v/>
      </c>
      <c r="Q167" t="str">
        <f>IFERROR(__xludf.DUMMYFUNCTION("""COMPUTED_VALUE"""),"")</f>
        <v/>
      </c>
      <c r="R167" t="str">
        <f>IFERROR(__xludf.DUMMYFUNCTION("""COMPUTED_VALUE"""),"")</f>
        <v/>
      </c>
      <c r="S167" t="str">
        <f>IFERROR(__xludf.DUMMYFUNCTION("""COMPUTED_VALUE"""),"")</f>
        <v/>
      </c>
      <c r="T167">
        <f>IFERROR(__xludf.DUMMYFUNCTION("""COMPUTED_VALUE"""),2.0)</f>
        <v>2</v>
      </c>
    </row>
    <row r="168">
      <c r="A168" t="str">
        <f>IFERROR(__xludf.DUMMYFUNCTION("""COMPUTED_VALUE"""),"Waited Two Months or More for Specialist Appointment")</f>
        <v>Waited Two Months or More for Specialist Appointment</v>
      </c>
      <c r="B168" t="str">
        <f>IFERROR(__xludf.DUMMYFUNCTION("""COMPUTED_VALUE"""),"")</f>
        <v/>
      </c>
      <c r="C168" t="str">
        <f>IFERROR(__xludf.DUMMYFUNCTION("""COMPUTED_VALUE"""),"")</f>
        <v/>
      </c>
      <c r="D168" t="str">
        <f>IFERROR(__xludf.DUMMYFUNCTION("""COMPUTED_VALUE"""),"")</f>
        <v/>
      </c>
      <c r="E168" t="str">
        <f>IFERROR(__xludf.DUMMYFUNCTION("""COMPUTED_VALUE"""),"")</f>
        <v/>
      </c>
      <c r="F168" t="str">
        <f>IFERROR(__xludf.DUMMYFUNCTION("""COMPUTED_VALUE"""),"")</f>
        <v/>
      </c>
      <c r="G168" t="str">
        <f>IFERROR(__xludf.DUMMYFUNCTION("""COMPUTED_VALUE"""),"")</f>
        <v/>
      </c>
      <c r="H168" t="str">
        <f>IFERROR(__xludf.DUMMYFUNCTION("""COMPUTED_VALUE"""),"")</f>
        <v/>
      </c>
      <c r="I168" t="str">
        <f>IFERROR(__xludf.DUMMYFUNCTION("""COMPUTED_VALUE"""),"")</f>
        <v/>
      </c>
      <c r="J168" s="19" t="str">
        <f>IFERROR(__xludf.DUMMYFUNCTION("""COMPUTED_VALUE"""),"https://international.commonwealthfund.org/stats/")</f>
        <v>https://international.commonwealthfund.org/stats/</v>
      </c>
      <c r="K168" s="19" t="str">
        <f>IFERROR(__xludf.DUMMYFUNCTION("""COMPUTED_VALUE"""),"https://stats.oecd.org/index.aspx?DataSetCode=HEALTH_STAT#")</f>
        <v>https://stats.oecd.org/index.aspx?DataSetCode=HEALTH_STAT#</v>
      </c>
      <c r="L168" t="str">
        <f>IFERROR(__xludf.DUMMYFUNCTION("""COMPUTED_VALUE"""),"")</f>
        <v/>
      </c>
      <c r="M168" t="str">
        <f>IFERROR(__xludf.DUMMYFUNCTION("""COMPUTED_VALUE"""),"")</f>
        <v/>
      </c>
      <c r="N168" t="str">
        <f>IFERROR(__xludf.DUMMYFUNCTION("""COMPUTED_VALUE"""),"")</f>
        <v/>
      </c>
      <c r="O168" t="str">
        <f>IFERROR(__xludf.DUMMYFUNCTION("""COMPUTED_VALUE"""),"")</f>
        <v/>
      </c>
      <c r="P168" t="str">
        <f>IFERROR(__xludf.DUMMYFUNCTION("""COMPUTED_VALUE"""),"")</f>
        <v/>
      </c>
      <c r="Q168" t="str">
        <f>IFERROR(__xludf.DUMMYFUNCTION("""COMPUTED_VALUE"""),"")</f>
        <v/>
      </c>
      <c r="R168" t="str">
        <f>IFERROR(__xludf.DUMMYFUNCTION("""COMPUTED_VALUE"""),"")</f>
        <v/>
      </c>
      <c r="S168" t="str">
        <f>IFERROR(__xludf.DUMMYFUNCTION("""COMPUTED_VALUE"""),"")</f>
        <v/>
      </c>
      <c r="T168">
        <f>IFERROR(__xludf.DUMMYFUNCTION("""COMPUTED_VALUE"""),2.0)</f>
        <v>2</v>
      </c>
    </row>
    <row r="169">
      <c r="A169" t="str">
        <f>IFERROR(__xludf.DUMMYFUNCTION("""COMPUTED_VALUE"""),"Waited Four Months or More for Elective Surgery")</f>
        <v>Waited Four Months or More for Elective Surgery</v>
      </c>
      <c r="B169" t="str">
        <f>IFERROR(__xludf.DUMMYFUNCTION("""COMPUTED_VALUE"""),"")</f>
        <v/>
      </c>
      <c r="C169" t="str">
        <f>IFERROR(__xludf.DUMMYFUNCTION("""COMPUTED_VALUE"""),"")</f>
        <v/>
      </c>
      <c r="D169" t="str">
        <f>IFERROR(__xludf.DUMMYFUNCTION("""COMPUTED_VALUE"""),"")</f>
        <v/>
      </c>
      <c r="E169" t="str">
        <f>IFERROR(__xludf.DUMMYFUNCTION("""COMPUTED_VALUE"""),"")</f>
        <v/>
      </c>
      <c r="F169" t="str">
        <f>IFERROR(__xludf.DUMMYFUNCTION("""COMPUTED_VALUE"""),"")</f>
        <v/>
      </c>
      <c r="G169" t="str">
        <f>IFERROR(__xludf.DUMMYFUNCTION("""COMPUTED_VALUE"""),"")</f>
        <v/>
      </c>
      <c r="H169" t="str">
        <f>IFERROR(__xludf.DUMMYFUNCTION("""COMPUTED_VALUE"""),"")</f>
        <v/>
      </c>
      <c r="I169" t="str">
        <f>IFERROR(__xludf.DUMMYFUNCTION("""COMPUTED_VALUE"""),"")</f>
        <v/>
      </c>
      <c r="J169" s="19" t="str">
        <f>IFERROR(__xludf.DUMMYFUNCTION("""COMPUTED_VALUE"""),"https://international.commonwealthfund.org/stats/")</f>
        <v>https://international.commonwealthfund.org/stats/</v>
      </c>
      <c r="K169" s="19" t="str">
        <f>IFERROR(__xludf.DUMMYFUNCTION("""COMPUTED_VALUE"""),"https://stats.oecd.org/index.aspx?DataSetCode=HEALTH_STAT#")</f>
        <v>https://stats.oecd.org/index.aspx?DataSetCode=HEALTH_STAT#</v>
      </c>
      <c r="L169" t="str">
        <f>IFERROR(__xludf.DUMMYFUNCTION("""COMPUTED_VALUE"""),"")</f>
        <v/>
      </c>
      <c r="M169" t="str">
        <f>IFERROR(__xludf.DUMMYFUNCTION("""COMPUTED_VALUE"""),"")</f>
        <v/>
      </c>
      <c r="N169" t="str">
        <f>IFERROR(__xludf.DUMMYFUNCTION("""COMPUTED_VALUE"""),"")</f>
        <v/>
      </c>
      <c r="O169" t="str">
        <f>IFERROR(__xludf.DUMMYFUNCTION("""COMPUTED_VALUE"""),"")</f>
        <v/>
      </c>
      <c r="P169" t="str">
        <f>IFERROR(__xludf.DUMMYFUNCTION("""COMPUTED_VALUE"""),"")</f>
        <v/>
      </c>
      <c r="Q169" t="str">
        <f>IFERROR(__xludf.DUMMYFUNCTION("""COMPUTED_VALUE"""),"")</f>
        <v/>
      </c>
      <c r="R169" t="str">
        <f>IFERROR(__xludf.DUMMYFUNCTION("""COMPUTED_VALUE"""),"")</f>
        <v/>
      </c>
      <c r="S169" t="str">
        <f>IFERROR(__xludf.DUMMYFUNCTION("""COMPUTED_VALUE"""),"")</f>
        <v/>
      </c>
      <c r="T169">
        <f>IFERROR(__xludf.DUMMYFUNCTION("""COMPUTED_VALUE"""),2.0)</f>
        <v>2</v>
      </c>
    </row>
    <row r="170">
      <c r="A170" t="str">
        <f>IFERROR(__xludf.DUMMYFUNCTION("""COMPUTED_VALUE"""),"Healthcare regulations and healthcare IT cause excessive clinician burden")</f>
        <v>Healthcare regulations and healthcare IT cause excessive clinician burden</v>
      </c>
      <c r="B170" t="str">
        <f>IFERROR(__xludf.DUMMYFUNCTION("""COMPUTED_VALUE"""),"")</f>
        <v/>
      </c>
      <c r="C170" t="str">
        <f>IFERROR(__xludf.DUMMYFUNCTION("""COMPUTED_VALUE"""),"")</f>
        <v/>
      </c>
      <c r="D170" t="str">
        <f>IFERROR(__xludf.DUMMYFUNCTION("""COMPUTED_VALUE"""),"")</f>
        <v/>
      </c>
      <c r="E170" t="str">
        <f>IFERROR(__xludf.DUMMYFUNCTION("""COMPUTED_VALUE"""),"")</f>
        <v/>
      </c>
      <c r="F170" t="str">
        <f>IFERROR(__xludf.DUMMYFUNCTION("""COMPUTED_VALUE"""),"")</f>
        <v/>
      </c>
      <c r="G170" t="str">
        <f>IFERROR(__xludf.DUMMYFUNCTION("""COMPUTED_VALUE"""),"Regulatory burden, Health IT")</f>
        <v>Regulatory burden, Health IT</v>
      </c>
      <c r="H170" t="str">
        <f>IFERROR(__xludf.DUMMYFUNCTION("""COMPUTED_VALUE"""),"")</f>
        <v/>
      </c>
      <c r="I170" t="str">
        <f>IFERROR(__xludf.DUMMYFUNCTION("""COMPUTED_VALUE"""),"")</f>
        <v/>
      </c>
      <c r="J170" t="str">
        <f>IFERROR(__xludf.DUMMYFUNCTION("""COMPUTED_VALUE"""),"")</f>
        <v/>
      </c>
      <c r="K170" t="str">
        <f>IFERROR(__xludf.DUMMYFUNCTION("""COMPUTED_VALUE"""),"")</f>
        <v/>
      </c>
      <c r="L170" t="str">
        <f>IFERROR(__xludf.DUMMYFUNCTION("""COMPUTED_VALUE"""),"")</f>
        <v/>
      </c>
      <c r="M170" t="str">
        <f>IFERROR(__xludf.DUMMYFUNCTION("""COMPUTED_VALUE"""),"")</f>
        <v/>
      </c>
      <c r="N170" t="str">
        <f>IFERROR(__xludf.DUMMYFUNCTION("""COMPUTED_VALUE"""),"")</f>
        <v/>
      </c>
      <c r="O170" t="str">
        <f>IFERROR(__xludf.DUMMYFUNCTION("""COMPUTED_VALUE"""),"")</f>
        <v/>
      </c>
      <c r="P170" t="str">
        <f>IFERROR(__xludf.DUMMYFUNCTION("""COMPUTED_VALUE"""),"https://www.cms.gov/about-cms/story-page/our-16-strategic-initiatives.html, BWHP-8")</f>
        <v>https://www.cms.gov/about-cms/story-page/our-16-strategic-initiatives.html, BWHP-8</v>
      </c>
      <c r="Q170" t="str">
        <f>IFERROR(__xludf.DUMMYFUNCTION("""COMPUTED_VALUE"""),"")</f>
        <v/>
      </c>
      <c r="R170" t="str">
        <f>IFERROR(__xludf.DUMMYFUNCTION("""COMPUTED_VALUE"""),"")</f>
        <v/>
      </c>
      <c r="S170" t="str">
        <f>IFERROR(__xludf.DUMMYFUNCTION("""COMPUTED_VALUE"""),"BWHP-8")</f>
        <v>BWHP-8</v>
      </c>
      <c r="T170">
        <f>IFERROR(__xludf.DUMMYFUNCTION("""COMPUTED_VALUE"""),2.0)</f>
        <v>2</v>
      </c>
    </row>
    <row r="171">
      <c r="A171" t="str">
        <f>IFERROR(__xludf.DUMMYFUNCTION("""COMPUTED_VALUE"""),"Dentists per capita")</f>
        <v>Dentists per capita</v>
      </c>
      <c r="B171" t="str">
        <f>IFERROR(__xludf.DUMMYFUNCTION("""COMPUTED_VALUE"""),"")</f>
        <v/>
      </c>
      <c r="C171" t="str">
        <f>IFERROR(__xludf.DUMMYFUNCTION("""COMPUTED_VALUE"""),"")</f>
        <v/>
      </c>
      <c r="D171" t="str">
        <f>IFERROR(__xludf.DUMMYFUNCTION("""COMPUTED_VALUE"""),"")</f>
        <v/>
      </c>
      <c r="E171" t="str">
        <f>IFERROR(__xludf.DUMMYFUNCTION("""COMPUTED_VALUE"""),"")</f>
        <v/>
      </c>
      <c r="F171" t="str">
        <f>IFERROR(__xludf.DUMMYFUNCTION("""COMPUTED_VALUE"""),"")</f>
        <v/>
      </c>
      <c r="G171" t="str">
        <f>IFERROR(__xludf.DUMMYFUNCTION("""COMPUTED_VALUE"""),"")</f>
        <v/>
      </c>
      <c r="H171" t="str">
        <f>IFERROR(__xludf.DUMMYFUNCTION("""COMPUTED_VALUE"""),"")</f>
        <v/>
      </c>
      <c r="I171" t="str">
        <f>IFERROR(__xludf.DUMMYFUNCTION("""COMPUTED_VALUE"""),"")</f>
        <v/>
      </c>
      <c r="J171" t="str">
        <f>IFERROR(__xludf.DUMMYFUNCTION("""COMPUTED_VALUE"""),"")</f>
        <v/>
      </c>
      <c r="K171" s="19" t="str">
        <f>IFERROR(__xludf.DUMMYFUNCTION("""COMPUTED_VALUE"""),"https://stats.oecd.org/index.aspx?DataSetCode=HEALTH_STAT")</f>
        <v>https://stats.oecd.org/index.aspx?DataSetCode=HEALTH_STAT</v>
      </c>
      <c r="L171" t="str">
        <f>IFERROR(__xludf.DUMMYFUNCTION("""COMPUTED_VALUE"""),"")</f>
        <v/>
      </c>
      <c r="M171" t="str">
        <f>IFERROR(__xludf.DUMMYFUNCTION("""COMPUTED_VALUE"""),"")</f>
        <v/>
      </c>
      <c r="N171" s="19" t="str">
        <f>IFERROR(__xludf.DUMMYFUNCTION("""COMPUTED_VALUE"""),"https://www.americashealthrankings.org/explore/annual")</f>
        <v>https://www.americashealthrankings.org/explore/annual</v>
      </c>
      <c r="O171" t="str">
        <f>IFERROR(__xludf.DUMMYFUNCTION("""COMPUTED_VALUE"""),"")</f>
        <v/>
      </c>
      <c r="P171" t="str">
        <f>IFERROR(__xludf.DUMMYFUNCTION("""COMPUTED_VALUE"""),"")</f>
        <v/>
      </c>
      <c r="Q171" t="str">
        <f>IFERROR(__xludf.DUMMYFUNCTION("""COMPUTED_VALUE"""),"")</f>
        <v/>
      </c>
      <c r="R171" t="str">
        <f>IFERROR(__xludf.DUMMYFUNCTION("""COMPUTED_VALUE"""),"")</f>
        <v/>
      </c>
      <c r="S171" t="str">
        <f>IFERROR(__xludf.DUMMYFUNCTION("""COMPUTED_VALUE"""),"")</f>
        <v/>
      </c>
      <c r="T171">
        <f>IFERROR(__xludf.DUMMYFUNCTION("""COMPUTED_VALUE"""),2.0)</f>
        <v>2</v>
      </c>
    </row>
    <row r="172">
      <c r="A172" t="str">
        <f>IFERROR(__xludf.DUMMYFUNCTION("""COMPUTED_VALUE"""),"Mental health providers per capita")</f>
        <v>Mental health providers per capita</v>
      </c>
      <c r="B172" t="str">
        <f>IFERROR(__xludf.DUMMYFUNCTION("""COMPUTED_VALUE"""),"")</f>
        <v/>
      </c>
      <c r="C172" t="str">
        <f>IFERROR(__xludf.DUMMYFUNCTION("""COMPUTED_VALUE"""),"")</f>
        <v/>
      </c>
      <c r="D172" t="str">
        <f>IFERROR(__xludf.DUMMYFUNCTION("""COMPUTED_VALUE"""),"")</f>
        <v/>
      </c>
      <c r="E172" t="str">
        <f>IFERROR(__xludf.DUMMYFUNCTION("""COMPUTED_VALUE"""),"")</f>
        <v/>
      </c>
      <c r="F172" t="str">
        <f>IFERROR(__xludf.DUMMYFUNCTION("""COMPUTED_VALUE"""),"")</f>
        <v/>
      </c>
      <c r="G172" t="str">
        <f>IFERROR(__xludf.DUMMYFUNCTION("""COMPUTED_VALUE"""),"")</f>
        <v/>
      </c>
      <c r="H172" t="str">
        <f>IFERROR(__xludf.DUMMYFUNCTION("""COMPUTED_VALUE"""),"")</f>
        <v/>
      </c>
      <c r="I172" t="str">
        <f>IFERROR(__xludf.DUMMYFUNCTION("""COMPUTED_VALUE"""),"")</f>
        <v/>
      </c>
      <c r="J172" t="str">
        <f>IFERROR(__xludf.DUMMYFUNCTION("""COMPUTED_VALUE"""),"")</f>
        <v/>
      </c>
      <c r="K172" s="19" t="str">
        <f>IFERROR(__xludf.DUMMYFUNCTION("""COMPUTED_VALUE"""),"https://stats.oecd.org/index.aspx?DataSetCode=HEALTH_STAT")</f>
        <v>https://stats.oecd.org/index.aspx?DataSetCode=HEALTH_STAT</v>
      </c>
      <c r="L172" t="str">
        <f>IFERROR(__xludf.DUMMYFUNCTION("""COMPUTED_VALUE"""),"")</f>
        <v/>
      </c>
      <c r="M172" t="str">
        <f>IFERROR(__xludf.DUMMYFUNCTION("""COMPUTED_VALUE"""),"")</f>
        <v/>
      </c>
      <c r="N172" s="19" t="str">
        <f>IFERROR(__xludf.DUMMYFUNCTION("""COMPUTED_VALUE"""),"https://www.americashealthrankings.org/explore/annual")</f>
        <v>https://www.americashealthrankings.org/explore/annual</v>
      </c>
      <c r="O172" t="str">
        <f>IFERROR(__xludf.DUMMYFUNCTION("""COMPUTED_VALUE"""),"")</f>
        <v/>
      </c>
      <c r="P172" t="str">
        <f>IFERROR(__xludf.DUMMYFUNCTION("""COMPUTED_VALUE"""),"")</f>
        <v/>
      </c>
      <c r="Q172" t="str">
        <f>IFERROR(__xludf.DUMMYFUNCTION("""COMPUTED_VALUE"""),"")</f>
        <v/>
      </c>
      <c r="R172" t="str">
        <f>IFERROR(__xludf.DUMMYFUNCTION("""COMPUTED_VALUE"""),"")</f>
        <v/>
      </c>
      <c r="S172" t="str">
        <f>IFERROR(__xludf.DUMMYFUNCTION("""COMPUTED_VALUE"""),"")</f>
        <v/>
      </c>
      <c r="T172">
        <f>IFERROR(__xludf.DUMMYFUNCTION("""COMPUTED_VALUE"""),2.0)</f>
        <v>2</v>
      </c>
    </row>
    <row r="173">
      <c r="A173" t="str">
        <f>IFERROR(__xludf.DUMMYFUNCTION("""COMPUTED_VALUE"""),"PCP per capita")</f>
        <v>PCP per capita</v>
      </c>
      <c r="B173" t="str">
        <f>IFERROR(__xludf.DUMMYFUNCTION("""COMPUTED_VALUE"""),"")</f>
        <v/>
      </c>
      <c r="C173" t="str">
        <f>IFERROR(__xludf.DUMMYFUNCTION("""COMPUTED_VALUE"""),"")</f>
        <v/>
      </c>
      <c r="D173" t="str">
        <f>IFERROR(__xludf.DUMMYFUNCTION("""COMPUTED_VALUE"""),"")</f>
        <v/>
      </c>
      <c r="E173" t="str">
        <f>IFERROR(__xludf.DUMMYFUNCTION("""COMPUTED_VALUE"""),"")</f>
        <v/>
      </c>
      <c r="F173" t="str">
        <f>IFERROR(__xludf.DUMMYFUNCTION("""COMPUTED_VALUE"""),"")</f>
        <v/>
      </c>
      <c r="G173" t="str">
        <f>IFERROR(__xludf.DUMMYFUNCTION("""COMPUTED_VALUE"""),"")</f>
        <v/>
      </c>
      <c r="H173" t="str">
        <f>IFERROR(__xludf.DUMMYFUNCTION("""COMPUTED_VALUE"""),"")</f>
        <v/>
      </c>
      <c r="I173" t="str">
        <f>IFERROR(__xludf.DUMMYFUNCTION("""COMPUTED_VALUE"""),"")</f>
        <v/>
      </c>
      <c r="J173" t="str">
        <f>IFERROR(__xludf.DUMMYFUNCTION("""COMPUTED_VALUE"""),"")</f>
        <v/>
      </c>
      <c r="K173" s="19" t="str">
        <f>IFERROR(__xludf.DUMMYFUNCTION("""COMPUTED_VALUE"""),"https://stats.oecd.org/index.aspx?DataSetCode=HEALTH_STAT")</f>
        <v>https://stats.oecd.org/index.aspx?DataSetCode=HEALTH_STAT</v>
      </c>
      <c r="L173" t="str">
        <f>IFERROR(__xludf.DUMMYFUNCTION("""COMPUTED_VALUE"""),"")</f>
        <v/>
      </c>
      <c r="M173" t="str">
        <f>IFERROR(__xludf.DUMMYFUNCTION("""COMPUTED_VALUE"""),"")</f>
        <v/>
      </c>
      <c r="N173" s="19" t="str">
        <f>IFERROR(__xludf.DUMMYFUNCTION("""COMPUTED_VALUE"""),"https://www.americashealthrankings.org/explore/annual")</f>
        <v>https://www.americashealthrankings.org/explore/annual</v>
      </c>
      <c r="O173" t="str">
        <f>IFERROR(__xludf.DUMMYFUNCTION("""COMPUTED_VALUE"""),"")</f>
        <v/>
      </c>
      <c r="P173" t="str">
        <f>IFERROR(__xludf.DUMMYFUNCTION("""COMPUTED_VALUE"""),"")</f>
        <v/>
      </c>
      <c r="Q173" t="str">
        <f>IFERROR(__xludf.DUMMYFUNCTION("""COMPUTED_VALUE"""),"")</f>
        <v/>
      </c>
      <c r="R173" t="str">
        <f>IFERROR(__xludf.DUMMYFUNCTION("""COMPUTED_VALUE"""),"")</f>
        <v/>
      </c>
      <c r="S173" t="str">
        <f>IFERROR(__xludf.DUMMYFUNCTION("""COMPUTED_VALUE"""),"")</f>
        <v/>
      </c>
      <c r="T173">
        <f>IFERROR(__xludf.DUMMYFUNCTION("""COMPUTED_VALUE"""),2.0)</f>
        <v>2</v>
      </c>
    </row>
    <row r="174">
      <c r="A174" t="str">
        <f>IFERROR(__xludf.DUMMYFUNCTION("""COMPUTED_VALUE"""),"Birth registration")</f>
        <v>Birth registration</v>
      </c>
      <c r="B174" t="str">
        <f>IFERROR(__xludf.DUMMYFUNCTION("""COMPUTED_VALUE"""),"")</f>
        <v/>
      </c>
      <c r="C174" t="str">
        <f>IFERROR(__xludf.DUMMYFUNCTION("""COMPUTED_VALUE"""),"")</f>
        <v/>
      </c>
      <c r="D174" t="str">
        <f>IFERROR(__xludf.DUMMYFUNCTION("""COMPUTED_VALUE"""),"")</f>
        <v/>
      </c>
      <c r="E174" t="str">
        <f>IFERROR(__xludf.DUMMYFUNCTION("""COMPUTED_VALUE"""),"")</f>
        <v/>
      </c>
      <c r="F174" t="str">
        <f>IFERROR(__xludf.DUMMYFUNCTION("""COMPUTED_VALUE"""),"")</f>
        <v/>
      </c>
      <c r="G174" t="str">
        <f>IFERROR(__xludf.DUMMYFUNCTION("""COMPUTED_VALUE"""),"")</f>
        <v/>
      </c>
      <c r="H174" t="str">
        <f>IFERROR(__xludf.DUMMYFUNCTION("""COMPUTED_VALUE"""),"SDG 16.9.1")</f>
        <v>SDG 16.9.1</v>
      </c>
      <c r="I17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174" t="str">
        <f>IFERROR(__xludf.DUMMYFUNCTION("""COMPUTED_VALUE"""),"")</f>
        <v/>
      </c>
      <c r="K174" t="str">
        <f>IFERROR(__xludf.DUMMYFUNCTION("""COMPUTED_VALUE"""),"")</f>
        <v/>
      </c>
      <c r="L174" t="str">
        <f>IFERROR(__xludf.DUMMYFUNCTION("""COMPUTED_VALUE"""),"")</f>
        <v/>
      </c>
      <c r="M174" t="str">
        <f>IFERROR(__xludf.DUMMYFUNCTION("""COMPUTED_VALUE"""),"")</f>
        <v/>
      </c>
      <c r="N174" t="str">
        <f>IFERROR(__xludf.DUMMYFUNCTION("""COMPUTED_VALUE"""),"")</f>
        <v/>
      </c>
      <c r="O174" s="19" t="str">
        <f>IFERROR(__xludf.DUMMYFUNCTION("""COMPUTED_VALUE"""),"https://data.worldbank.org/indicator/#health")</f>
        <v>https://data.worldbank.org/indicator/#health</v>
      </c>
      <c r="P174" t="str">
        <f>IFERROR(__xludf.DUMMYFUNCTION("""COMPUTED_VALUE"""),"")</f>
        <v/>
      </c>
      <c r="Q174" t="str">
        <f>IFERROR(__xludf.DUMMYFUNCTION("""COMPUTED_VALUE"""),"")</f>
        <v/>
      </c>
      <c r="R174" t="str">
        <f>IFERROR(__xludf.DUMMYFUNCTION("""COMPUTED_VALUE"""),"")</f>
        <v/>
      </c>
      <c r="S174" t="str">
        <f>IFERROR(__xludf.DUMMYFUNCTION("""COMPUTED_VALUE"""),"")</f>
        <v/>
      </c>
      <c r="T174">
        <f>IFERROR(__xludf.DUMMYFUNCTION("""COMPUTED_VALUE"""),2.0)</f>
        <v>2</v>
      </c>
    </row>
    <row r="175">
      <c r="A175" t="str">
        <f>IFERROR(__xludf.DUMMYFUNCTION("""COMPUTED_VALUE"""),"Lack of health data interoperability harms and kills many patients")</f>
        <v>Lack of health data interoperability harms and kills many patients</v>
      </c>
      <c r="B175" t="str">
        <f>IFERROR(__xludf.DUMMYFUNCTION("""COMPUTED_VALUE"""),"")</f>
        <v/>
      </c>
      <c r="C175" t="str">
        <f>IFERROR(__xludf.DUMMYFUNCTION("""COMPUTED_VALUE"""),"")</f>
        <v/>
      </c>
      <c r="D175" t="str">
        <f>IFERROR(__xludf.DUMMYFUNCTION("""COMPUTED_VALUE"""),"")</f>
        <v/>
      </c>
      <c r="E175" t="str">
        <f>IFERROR(__xludf.DUMMYFUNCTION("""COMPUTED_VALUE"""),"")</f>
        <v/>
      </c>
      <c r="F175" t="str">
        <f>IFERROR(__xludf.DUMMYFUNCTION("""COMPUTED_VALUE"""),"")</f>
        <v/>
      </c>
      <c r="G175" t="str">
        <f>IFERROR(__xludf.DUMMYFUNCTION("""COMPUTED_VALUE"""),"VA, Lack of Standard Health Data, Health IT")</f>
        <v>VA, Lack of Standard Health Data, Health IT</v>
      </c>
      <c r="H175" t="str">
        <f>IFERROR(__xludf.DUMMYFUNCTION("""COMPUTED_VALUE"""),"")</f>
        <v/>
      </c>
      <c r="I175" t="str">
        <f>IFERROR(__xludf.DUMMYFUNCTION("""COMPUTED_VALUE"""),"")</f>
        <v/>
      </c>
      <c r="J175" t="str">
        <f>IFERROR(__xludf.DUMMYFUNCTION("""COMPUTED_VALUE"""),"")</f>
        <v/>
      </c>
      <c r="K175" t="str">
        <f>IFERROR(__xludf.DUMMYFUNCTION("""COMPUTED_VALUE"""),"")</f>
        <v/>
      </c>
      <c r="L175" t="str">
        <f>IFERROR(__xludf.DUMMYFUNCTION("""COMPUTED_VALUE"""),"")</f>
        <v/>
      </c>
      <c r="M175" t="str">
        <f>IFERROR(__xludf.DUMMYFUNCTION("""COMPUTED_VALUE"""),"")</f>
        <v/>
      </c>
      <c r="N175" t="str">
        <f>IFERROR(__xludf.DUMMYFUNCTION("""COMPUTED_VALUE"""),"")</f>
        <v/>
      </c>
      <c r="O175" t="str">
        <f>IFERROR(__xludf.DUMMYFUNCTION("""COMPUTED_VALUE"""),"")</f>
        <v/>
      </c>
      <c r="P175" t="str">
        <f>IFERROR(__xludf.DUMMYFUNCTION("""COMPUTED_VALUE"""),"https://www.cms.gov/Medicare/Quality-Initiatives-Patient-Assessment-Instruments/QualityInitiativesGenInfo/MMF/General-info-Sub-Page.html, https://www.cms.gov/about-cms/story-page/our-16-strategic-initiatives.html, BWHP-13")</f>
        <v>https://www.cms.gov/Medicare/Quality-Initiatives-Patient-Assessment-Instruments/QualityInitiativesGenInfo/MMF/General-info-Sub-Page.html, https://www.cms.gov/about-cms/story-page/our-16-strategic-initiatives.html, BWHP-13</v>
      </c>
      <c r="Q175" t="str">
        <f>IFERROR(__xludf.DUMMYFUNCTION("""COMPUTED_VALUE"""),"")</f>
        <v/>
      </c>
      <c r="R175" t="str">
        <f>IFERROR(__xludf.DUMMYFUNCTION("""COMPUTED_VALUE"""),"")</f>
        <v/>
      </c>
      <c r="S175" t="str">
        <f>IFERROR(__xludf.DUMMYFUNCTION("""COMPUTED_VALUE"""),"BWHP-13, BWHP-42")</f>
        <v>BWHP-13, BWHP-42</v>
      </c>
      <c r="T175">
        <f>IFERROR(__xludf.DUMMYFUNCTION("""COMPUTED_VALUE"""),2.0)</f>
        <v>2</v>
      </c>
    </row>
    <row r="176">
      <c r="A176" t="str">
        <f>IFERROR(__xludf.DUMMYFUNCTION("""COMPUTED_VALUE"""),"Medicare costs are too high")</f>
        <v>Medicare costs are too high</v>
      </c>
      <c r="B176" t="str">
        <f>IFERROR(__xludf.DUMMYFUNCTION("""COMPUTED_VALUE"""),"")</f>
        <v/>
      </c>
      <c r="C176" t="str">
        <f>IFERROR(__xludf.DUMMYFUNCTION("""COMPUTED_VALUE"""),"")</f>
        <v/>
      </c>
      <c r="D176" t="str">
        <f>IFERROR(__xludf.DUMMYFUNCTION("""COMPUTED_VALUE"""),"")</f>
        <v/>
      </c>
      <c r="E176" t="str">
        <f>IFERROR(__xludf.DUMMYFUNCTION("""COMPUTED_VALUE"""),"")</f>
        <v/>
      </c>
      <c r="F176" t="str">
        <f>IFERROR(__xludf.DUMMYFUNCTION("""COMPUTED_VALUE"""),"")</f>
        <v/>
      </c>
      <c r="G176" t="str">
        <f>IFERROR(__xludf.DUMMYFUNCTION("""COMPUTED_VALUE"""),"Trust fund risk")</f>
        <v>Trust fund risk</v>
      </c>
      <c r="H176" t="str">
        <f>IFERROR(__xludf.DUMMYFUNCTION("""COMPUTED_VALUE"""),"")</f>
        <v/>
      </c>
      <c r="I176" t="str">
        <f>IFERROR(__xludf.DUMMYFUNCTION("""COMPUTED_VALUE"""),"")</f>
        <v/>
      </c>
      <c r="J176" t="str">
        <f>IFERROR(__xludf.DUMMYFUNCTION("""COMPUTED_VALUE"""),"")</f>
        <v/>
      </c>
      <c r="K176" t="str">
        <f>IFERROR(__xludf.DUMMYFUNCTION("""COMPUTED_VALUE"""),"")</f>
        <v/>
      </c>
      <c r="L176" t="str">
        <f>IFERROR(__xludf.DUMMYFUNCTION("""COMPUTED_VALUE"""),"")</f>
        <v/>
      </c>
      <c r="M176" t="str">
        <f>IFERROR(__xludf.DUMMYFUNCTION("""COMPUTED_VALUE"""),"")</f>
        <v/>
      </c>
      <c r="N176" t="str">
        <f>IFERROR(__xludf.DUMMYFUNCTION("""COMPUTED_VALUE"""),"")</f>
        <v/>
      </c>
      <c r="O176" t="str">
        <f>IFERROR(__xludf.DUMMYFUNCTION("""COMPUTED_VALUE"""),"")</f>
        <v/>
      </c>
      <c r="P176" t="str">
        <f>IFERROR(__xludf.DUMMYFUNCTION("""COMPUTED_VALUE"""),"https://www.cms.gov/about-cms/story-page/our-16-strategic-initiatives.html, BWHP-1")</f>
        <v>https://www.cms.gov/about-cms/story-page/our-16-strategic-initiatives.html, BWHP-1</v>
      </c>
      <c r="Q176" t="str">
        <f>IFERROR(__xludf.DUMMYFUNCTION("""COMPUTED_VALUE"""),"")</f>
        <v/>
      </c>
      <c r="R176" t="str">
        <f>IFERROR(__xludf.DUMMYFUNCTION("""COMPUTED_VALUE"""),"")</f>
        <v/>
      </c>
      <c r="S176" t="str">
        <f>IFERROR(__xludf.DUMMYFUNCTION("""COMPUTED_VALUE"""),"BWHP-1, BWHP-22")</f>
        <v>BWHP-1, BWHP-22</v>
      </c>
      <c r="T176">
        <f>IFERROR(__xludf.DUMMYFUNCTION("""COMPUTED_VALUE"""),2.0)</f>
        <v>2</v>
      </c>
    </row>
    <row r="177">
      <c r="A177" t="str">
        <f>IFERROR(__xludf.DUMMYFUNCTION("""COMPUTED_VALUE"""),"Medicaid costs are too high")</f>
        <v>Medicaid costs are too high</v>
      </c>
      <c r="B177" t="str">
        <f>IFERROR(__xludf.DUMMYFUNCTION("""COMPUTED_VALUE"""),"")</f>
        <v/>
      </c>
      <c r="C177" t="str">
        <f>IFERROR(__xludf.DUMMYFUNCTION("""COMPUTED_VALUE"""),"")</f>
        <v/>
      </c>
      <c r="D177" t="str">
        <f>IFERROR(__xludf.DUMMYFUNCTION("""COMPUTED_VALUE"""),"")</f>
        <v/>
      </c>
      <c r="E177" t="str">
        <f>IFERROR(__xludf.DUMMYFUNCTION("""COMPUTED_VALUE"""),"")</f>
        <v/>
      </c>
      <c r="F177" t="str">
        <f>IFERROR(__xludf.DUMMYFUNCTION("""COMPUTED_VALUE"""),"")</f>
        <v/>
      </c>
      <c r="G177" t="str">
        <f>IFERROR(__xludf.DUMMYFUNCTION("""COMPUTED_VALUE"""),"Trust fund risk")</f>
        <v>Trust fund risk</v>
      </c>
      <c r="H177" t="str">
        <f>IFERROR(__xludf.DUMMYFUNCTION("""COMPUTED_VALUE"""),"")</f>
        <v/>
      </c>
      <c r="I177" t="str">
        <f>IFERROR(__xludf.DUMMYFUNCTION("""COMPUTED_VALUE"""),"")</f>
        <v/>
      </c>
      <c r="J177" t="str">
        <f>IFERROR(__xludf.DUMMYFUNCTION("""COMPUTED_VALUE"""),"")</f>
        <v/>
      </c>
      <c r="K177" t="str">
        <f>IFERROR(__xludf.DUMMYFUNCTION("""COMPUTED_VALUE"""),"")</f>
        <v/>
      </c>
      <c r="L177" t="str">
        <f>IFERROR(__xludf.DUMMYFUNCTION("""COMPUTED_VALUE"""),"")</f>
        <v/>
      </c>
      <c r="M177" t="str">
        <f>IFERROR(__xludf.DUMMYFUNCTION("""COMPUTED_VALUE"""),"")</f>
        <v/>
      </c>
      <c r="N177" t="str">
        <f>IFERROR(__xludf.DUMMYFUNCTION("""COMPUTED_VALUE"""),"")</f>
        <v/>
      </c>
      <c r="O177" t="str">
        <f>IFERROR(__xludf.DUMMYFUNCTION("""COMPUTED_VALUE"""),"")</f>
        <v/>
      </c>
      <c r="P177" t="str">
        <f>IFERROR(__xludf.DUMMYFUNCTION("""COMPUTED_VALUE"""),"https://www.cms.gov/about-cms/story-page/our-16-strategic-initiatives.html, BWHP-17")</f>
        <v>https://www.cms.gov/about-cms/story-page/our-16-strategic-initiatives.html, BWHP-17</v>
      </c>
      <c r="Q177" t="str">
        <f>IFERROR(__xludf.DUMMYFUNCTION("""COMPUTED_VALUE"""),"")</f>
        <v/>
      </c>
      <c r="R177" t="str">
        <f>IFERROR(__xludf.DUMMYFUNCTION("""COMPUTED_VALUE"""),"")</f>
        <v/>
      </c>
      <c r="S177" t="str">
        <f>IFERROR(__xludf.DUMMYFUNCTION("""COMPUTED_VALUE"""),"BWHP-17, BWHP-23")</f>
        <v>BWHP-17, BWHP-23</v>
      </c>
      <c r="T177">
        <f>IFERROR(__xludf.DUMMYFUNCTION("""COMPUTED_VALUE"""),2.0)</f>
        <v>2</v>
      </c>
    </row>
    <row r="178">
      <c r="A178" t="str">
        <f>IFERROR(__xludf.DUMMYFUNCTION("""COMPUTED_VALUE"""),"Private Medicare health insurance plan administrative costs are too high")</f>
        <v>Private Medicare health insurance plan administrative costs are too high</v>
      </c>
      <c r="B178" t="str">
        <f>IFERROR(__xludf.DUMMYFUNCTION("""COMPUTED_VALUE"""),"")</f>
        <v/>
      </c>
      <c r="C178" t="str">
        <f>IFERROR(__xludf.DUMMYFUNCTION("""COMPUTED_VALUE"""),"")</f>
        <v/>
      </c>
      <c r="D178" t="str">
        <f>IFERROR(__xludf.DUMMYFUNCTION("""COMPUTED_VALUE"""),"")</f>
        <v/>
      </c>
      <c r="E178" t="str">
        <f>IFERROR(__xludf.DUMMYFUNCTION("""COMPUTED_VALUE"""),"")</f>
        <v/>
      </c>
      <c r="F178" t="str">
        <f>IFERROR(__xludf.DUMMYFUNCTION("""COMPUTED_VALUE"""),"")</f>
        <v/>
      </c>
      <c r="G178" t="str">
        <f>IFERROR(__xludf.DUMMYFUNCTION("""COMPUTED_VALUE"""),"Trust fund risk")</f>
        <v>Trust fund risk</v>
      </c>
      <c r="H178" t="str">
        <f>IFERROR(__xludf.DUMMYFUNCTION("""COMPUTED_VALUE"""),"")</f>
        <v/>
      </c>
      <c r="I178" t="str">
        <f>IFERROR(__xludf.DUMMYFUNCTION("""COMPUTED_VALUE"""),"")</f>
        <v/>
      </c>
      <c r="J178" t="str">
        <f>IFERROR(__xludf.DUMMYFUNCTION("""COMPUTED_VALUE"""),"")</f>
        <v/>
      </c>
      <c r="K178" t="str">
        <f>IFERROR(__xludf.DUMMYFUNCTION("""COMPUTED_VALUE"""),"")</f>
        <v/>
      </c>
      <c r="L178" t="str">
        <f>IFERROR(__xludf.DUMMYFUNCTION("""COMPUTED_VALUE"""),"")</f>
        <v/>
      </c>
      <c r="M178" t="str">
        <f>IFERROR(__xludf.DUMMYFUNCTION("""COMPUTED_VALUE"""),"")</f>
        <v/>
      </c>
      <c r="N178" t="str">
        <f>IFERROR(__xludf.DUMMYFUNCTION("""COMPUTED_VALUE"""),"")</f>
        <v/>
      </c>
      <c r="O178" t="str">
        <f>IFERROR(__xludf.DUMMYFUNCTION("""COMPUTED_VALUE"""),"")</f>
        <v/>
      </c>
      <c r="P178" t="str">
        <f>IFERROR(__xludf.DUMMYFUNCTION("""COMPUTED_VALUE"""),"https://www.cms.gov/about-cms/story-page/our-16-strategic-initiatives.html, BWHP-22")</f>
        <v>https://www.cms.gov/about-cms/story-page/our-16-strategic-initiatives.html, BWHP-22</v>
      </c>
      <c r="Q178" t="str">
        <f>IFERROR(__xludf.DUMMYFUNCTION("""COMPUTED_VALUE"""),"")</f>
        <v/>
      </c>
      <c r="R178" t="str">
        <f>IFERROR(__xludf.DUMMYFUNCTION("""COMPUTED_VALUE"""),"")</f>
        <v/>
      </c>
      <c r="S178" t="str">
        <f>IFERROR(__xludf.DUMMYFUNCTION("""COMPUTED_VALUE"""),"BWHP-1, BWHP-22")</f>
        <v>BWHP-1, BWHP-22</v>
      </c>
      <c r="T178">
        <f>IFERROR(__xludf.DUMMYFUNCTION("""COMPUTED_VALUE"""),2.0)</f>
        <v>2</v>
      </c>
    </row>
    <row r="179">
      <c r="A179" t="str">
        <f>IFERROR(__xludf.DUMMYFUNCTION("""COMPUTED_VALUE"""),"Private Medicaid health insurance plan administrative costs are too high")</f>
        <v>Private Medicaid health insurance plan administrative costs are too high</v>
      </c>
      <c r="B179" t="str">
        <f>IFERROR(__xludf.DUMMYFUNCTION("""COMPUTED_VALUE"""),"")</f>
        <v/>
      </c>
      <c r="C179" t="str">
        <f>IFERROR(__xludf.DUMMYFUNCTION("""COMPUTED_VALUE"""),"")</f>
        <v/>
      </c>
      <c r="D179" t="str">
        <f>IFERROR(__xludf.DUMMYFUNCTION("""COMPUTED_VALUE"""),"")</f>
        <v/>
      </c>
      <c r="E179" t="str">
        <f>IFERROR(__xludf.DUMMYFUNCTION("""COMPUTED_VALUE"""),"")</f>
        <v/>
      </c>
      <c r="F179" t="str">
        <f>IFERROR(__xludf.DUMMYFUNCTION("""COMPUTED_VALUE"""),"")</f>
        <v/>
      </c>
      <c r="G179" t="str">
        <f>IFERROR(__xludf.DUMMYFUNCTION("""COMPUTED_VALUE"""),"Trust fund risk")</f>
        <v>Trust fund risk</v>
      </c>
      <c r="H179" t="str">
        <f>IFERROR(__xludf.DUMMYFUNCTION("""COMPUTED_VALUE"""),"")</f>
        <v/>
      </c>
      <c r="I179" t="str">
        <f>IFERROR(__xludf.DUMMYFUNCTION("""COMPUTED_VALUE"""),"")</f>
        <v/>
      </c>
      <c r="J179" t="str">
        <f>IFERROR(__xludf.DUMMYFUNCTION("""COMPUTED_VALUE"""),"")</f>
        <v/>
      </c>
      <c r="K179" t="str">
        <f>IFERROR(__xludf.DUMMYFUNCTION("""COMPUTED_VALUE"""),"")</f>
        <v/>
      </c>
      <c r="L179" t="str">
        <f>IFERROR(__xludf.DUMMYFUNCTION("""COMPUTED_VALUE"""),"")</f>
        <v/>
      </c>
      <c r="M179" t="str">
        <f>IFERROR(__xludf.DUMMYFUNCTION("""COMPUTED_VALUE"""),"")</f>
        <v/>
      </c>
      <c r="N179" t="str">
        <f>IFERROR(__xludf.DUMMYFUNCTION("""COMPUTED_VALUE"""),"")</f>
        <v/>
      </c>
      <c r="O179" t="str">
        <f>IFERROR(__xludf.DUMMYFUNCTION("""COMPUTED_VALUE"""),"")</f>
        <v/>
      </c>
      <c r="P179" t="str">
        <f>IFERROR(__xludf.DUMMYFUNCTION("""COMPUTED_VALUE"""),"https://www.cms.gov/about-cms/story-page/our-16-strategic-initiatives.html, BWHP-23")</f>
        <v>https://www.cms.gov/about-cms/story-page/our-16-strategic-initiatives.html, BWHP-23</v>
      </c>
      <c r="Q179" t="str">
        <f>IFERROR(__xludf.DUMMYFUNCTION("""COMPUTED_VALUE"""),"")</f>
        <v/>
      </c>
      <c r="R179" t="str">
        <f>IFERROR(__xludf.DUMMYFUNCTION("""COMPUTED_VALUE"""),"")</f>
        <v/>
      </c>
      <c r="S179" t="str">
        <f>IFERROR(__xludf.DUMMYFUNCTION("""COMPUTED_VALUE"""),"BWHP-17, BWHP-23")</f>
        <v>BWHP-17, BWHP-23</v>
      </c>
      <c r="T179">
        <f>IFERROR(__xludf.DUMMYFUNCTION("""COMPUTED_VALUE"""),2.0)</f>
        <v>2</v>
      </c>
    </row>
    <row r="180">
      <c r="A180" t="str">
        <f>IFERROR(__xludf.DUMMYFUNCTION("""COMPUTED_VALUE"""),"There is a lack of a cost-effectiveness body for Medicare and Medicaid")</f>
        <v>There is a lack of a cost-effectiveness body for Medicare and Medicaid</v>
      </c>
      <c r="B180" t="str">
        <f>IFERROR(__xludf.DUMMYFUNCTION("""COMPUTED_VALUE"""),"")</f>
        <v/>
      </c>
      <c r="C180" t="str">
        <f>IFERROR(__xludf.DUMMYFUNCTION("""COMPUTED_VALUE"""),"")</f>
        <v/>
      </c>
      <c r="D180" t="str">
        <f>IFERROR(__xludf.DUMMYFUNCTION("""COMPUTED_VALUE"""),"")</f>
        <v/>
      </c>
      <c r="E180" t="str">
        <f>IFERROR(__xludf.DUMMYFUNCTION("""COMPUTED_VALUE"""),"")</f>
        <v/>
      </c>
      <c r="F180" t="str">
        <f>IFERROR(__xludf.DUMMYFUNCTION("""COMPUTED_VALUE"""),"")</f>
        <v/>
      </c>
      <c r="G180" t="str">
        <f>IFERROR(__xludf.DUMMYFUNCTION("""COMPUTED_VALUE"""),"Trust fund risk")</f>
        <v>Trust fund risk</v>
      </c>
      <c r="H180" t="str">
        <f>IFERROR(__xludf.DUMMYFUNCTION("""COMPUTED_VALUE"""),"")</f>
        <v/>
      </c>
      <c r="I180" t="str">
        <f>IFERROR(__xludf.DUMMYFUNCTION("""COMPUTED_VALUE"""),"")</f>
        <v/>
      </c>
      <c r="J180" t="str">
        <f>IFERROR(__xludf.DUMMYFUNCTION("""COMPUTED_VALUE"""),"")</f>
        <v/>
      </c>
      <c r="K180" t="str">
        <f>IFERROR(__xludf.DUMMYFUNCTION("""COMPUTED_VALUE"""),"")</f>
        <v/>
      </c>
      <c r="L180" t="str">
        <f>IFERROR(__xludf.DUMMYFUNCTION("""COMPUTED_VALUE"""),"")</f>
        <v/>
      </c>
      <c r="M180" t="str">
        <f>IFERROR(__xludf.DUMMYFUNCTION("""COMPUTED_VALUE"""),"")</f>
        <v/>
      </c>
      <c r="N180" t="str">
        <f>IFERROR(__xludf.DUMMYFUNCTION("""COMPUTED_VALUE"""),"")</f>
        <v/>
      </c>
      <c r="O180" t="str">
        <f>IFERROR(__xludf.DUMMYFUNCTION("""COMPUTED_VALUE"""),"")</f>
        <v/>
      </c>
      <c r="P180" t="str">
        <f>IFERROR(__xludf.DUMMYFUNCTION("""COMPUTED_VALUE"""),"BWHP-28")</f>
        <v>BWHP-28</v>
      </c>
      <c r="Q180" t="str">
        <f>IFERROR(__xludf.DUMMYFUNCTION("""COMPUTED_VALUE"""),"")</f>
        <v/>
      </c>
      <c r="R180" t="str">
        <f>IFERROR(__xludf.DUMMYFUNCTION("""COMPUTED_VALUE"""),"")</f>
        <v/>
      </c>
      <c r="S180" t="str">
        <f>IFERROR(__xludf.DUMMYFUNCTION("""COMPUTED_VALUE"""),"BWHP-28")</f>
        <v>BWHP-28</v>
      </c>
      <c r="T180">
        <f>IFERROR(__xludf.DUMMYFUNCTION("""COMPUTED_VALUE"""),2.0)</f>
        <v>2</v>
      </c>
    </row>
    <row r="181">
      <c r="A181" t="str">
        <f>IFERROR(__xludf.DUMMYFUNCTION("""COMPUTED_VALUE"""),"Fee-for-service healthcare is wasteful")</f>
        <v>Fee-for-service healthcare is wasteful</v>
      </c>
      <c r="B181" t="str">
        <f>IFERROR(__xludf.DUMMYFUNCTION("""COMPUTED_VALUE"""),"")</f>
        <v/>
      </c>
      <c r="C181" t="str">
        <f>IFERROR(__xludf.DUMMYFUNCTION("""COMPUTED_VALUE"""),"")</f>
        <v/>
      </c>
      <c r="D181" t="str">
        <f>IFERROR(__xludf.DUMMYFUNCTION("""COMPUTED_VALUE"""),"")</f>
        <v/>
      </c>
      <c r="E181" t="str">
        <f>IFERROR(__xludf.DUMMYFUNCTION("""COMPUTED_VALUE"""),"")</f>
        <v/>
      </c>
      <c r="F181" t="str">
        <f>IFERROR(__xludf.DUMMYFUNCTION("""COMPUTED_VALUE"""),"")</f>
        <v/>
      </c>
      <c r="G181" t="str">
        <f>IFERROR(__xludf.DUMMYFUNCTION("""COMPUTED_VALUE"""),"FFS Inefficiency, Suboptimal care delivery")</f>
        <v>FFS Inefficiency, Suboptimal care delivery</v>
      </c>
      <c r="H181" t="str">
        <f>IFERROR(__xludf.DUMMYFUNCTION("""COMPUTED_VALUE"""),"")</f>
        <v/>
      </c>
      <c r="I181" t="str">
        <f>IFERROR(__xludf.DUMMYFUNCTION("""COMPUTED_VALUE"""),"")</f>
        <v/>
      </c>
      <c r="J181" t="str">
        <f>IFERROR(__xludf.DUMMYFUNCTION("""COMPUTED_VALUE"""),"")</f>
        <v/>
      </c>
      <c r="K181" t="str">
        <f>IFERROR(__xludf.DUMMYFUNCTION("""COMPUTED_VALUE"""),"")</f>
        <v/>
      </c>
      <c r="L181" t="str">
        <f>IFERROR(__xludf.DUMMYFUNCTION("""COMPUTED_VALUE"""),"")</f>
        <v/>
      </c>
      <c r="M181" t="str">
        <f>IFERROR(__xludf.DUMMYFUNCTION("""COMPUTED_VALUE"""),"")</f>
        <v/>
      </c>
      <c r="N181" t="str">
        <f>IFERROR(__xludf.DUMMYFUNCTION("""COMPUTED_VALUE"""),"")</f>
        <v/>
      </c>
      <c r="O181" t="str">
        <f>IFERROR(__xludf.DUMMYFUNCTION("""COMPUTED_VALUE"""),"")</f>
        <v/>
      </c>
      <c r="P181" t="str">
        <f>IFERROR(__xludf.DUMMYFUNCTION("""COMPUTED_VALUE"""),"https://www.cms.gov/about-cms/story-page/our-16-strategic-initiatives.html. BWHP-2")</f>
        <v>https://www.cms.gov/about-cms/story-page/our-16-strategic-initiatives.html. BWHP-2</v>
      </c>
      <c r="Q181" t="str">
        <f>IFERROR(__xludf.DUMMYFUNCTION("""COMPUTED_VALUE"""),"")</f>
        <v/>
      </c>
      <c r="R181" t="str">
        <f>IFERROR(__xludf.DUMMYFUNCTION("""COMPUTED_VALUE"""),"")</f>
        <v/>
      </c>
      <c r="S181" t="str">
        <f>IFERROR(__xludf.DUMMYFUNCTION("""COMPUTED_VALUE"""),"BWHP-2")</f>
        <v>BWHP-2</v>
      </c>
      <c r="T181">
        <f>IFERROR(__xludf.DUMMYFUNCTION("""COMPUTED_VALUE"""),2.0)</f>
        <v>2</v>
      </c>
    </row>
    <row r="182">
      <c r="A182" t="str">
        <f>IFERROR(__xludf.DUMMYFUNCTION("""COMPUTED_VALUE"""),"ACA marketplace health insurance plan premiums are too high for the unsubsidized poor")</f>
        <v>ACA marketplace health insurance plan premiums are too high for the unsubsidized poor</v>
      </c>
      <c r="B182" t="str">
        <f>IFERROR(__xludf.DUMMYFUNCTION("""COMPUTED_VALUE"""),"")</f>
        <v/>
      </c>
      <c r="C182" t="str">
        <f>IFERROR(__xludf.DUMMYFUNCTION("""COMPUTED_VALUE"""),"")</f>
        <v/>
      </c>
      <c r="D182" t="str">
        <f>IFERROR(__xludf.DUMMYFUNCTION("""COMPUTED_VALUE"""),"")</f>
        <v/>
      </c>
      <c r="E182" t="str">
        <f>IFERROR(__xludf.DUMMYFUNCTION("""COMPUTED_VALUE"""),"")</f>
        <v/>
      </c>
      <c r="F182" t="str">
        <f>IFERROR(__xludf.DUMMYFUNCTION("""COMPUTED_VALUE"""),"")</f>
        <v/>
      </c>
      <c r="G182" t="str">
        <f>IFERROR(__xludf.DUMMYFUNCTION("""COMPUTED_VALUE"""),"Inadequate access")</f>
        <v>Inadequate access</v>
      </c>
      <c r="H182" t="str">
        <f>IFERROR(__xludf.DUMMYFUNCTION("""COMPUTED_VALUE"""),"")</f>
        <v/>
      </c>
      <c r="I182" t="str">
        <f>IFERROR(__xludf.DUMMYFUNCTION("""COMPUTED_VALUE"""),"")</f>
        <v/>
      </c>
      <c r="J182" t="str">
        <f>IFERROR(__xludf.DUMMYFUNCTION("""COMPUTED_VALUE"""),"")</f>
        <v/>
      </c>
      <c r="K182" t="str">
        <f>IFERROR(__xludf.DUMMYFUNCTION("""COMPUTED_VALUE"""),"")</f>
        <v/>
      </c>
      <c r="L182" t="str">
        <f>IFERROR(__xludf.DUMMYFUNCTION("""COMPUTED_VALUE"""),"")</f>
        <v/>
      </c>
      <c r="M182" t="str">
        <f>IFERROR(__xludf.DUMMYFUNCTION("""COMPUTED_VALUE"""),"")</f>
        <v/>
      </c>
      <c r="N182" t="str">
        <f>IFERROR(__xludf.DUMMYFUNCTION("""COMPUTED_VALUE"""),"")</f>
        <v/>
      </c>
      <c r="O182" t="str">
        <f>IFERROR(__xludf.DUMMYFUNCTION("""COMPUTED_VALUE"""),"")</f>
        <v/>
      </c>
      <c r="P182" t="str">
        <f>IFERROR(__xludf.DUMMYFUNCTION("""COMPUTED_VALUE"""),"https://www.cms.gov/about-cms/story-page/our-16-strategic-initiatives.html, BWHP-5")</f>
        <v>https://www.cms.gov/about-cms/story-page/our-16-strategic-initiatives.html, BWHP-5</v>
      </c>
      <c r="Q182" t="str">
        <f>IFERROR(__xludf.DUMMYFUNCTION("""COMPUTED_VALUE"""),"")</f>
        <v/>
      </c>
      <c r="R182" t="str">
        <f>IFERROR(__xludf.DUMMYFUNCTION("""COMPUTED_VALUE"""),"")</f>
        <v/>
      </c>
      <c r="S182" t="str">
        <f>IFERROR(__xludf.DUMMYFUNCTION("""COMPUTED_VALUE"""),"BWHP-5, BWHP-18")</f>
        <v>BWHP-5, BWHP-18</v>
      </c>
      <c r="T182">
        <f>IFERROR(__xludf.DUMMYFUNCTION("""COMPUTED_VALUE"""),2.0)</f>
        <v>2</v>
      </c>
    </row>
    <row r="183">
      <c r="A183" t="str">
        <f>IFERROR(__xludf.DUMMYFUNCTION("""COMPUTED_VALUE"""),"""Healthcare ""fraud, waste, and abuse"" harms and kills many patients"" ")</f>
        <v>"Healthcare "fraud, waste, and abuse" harms and kills many patients" </v>
      </c>
      <c r="B183" t="str">
        <f>IFERROR(__xludf.DUMMYFUNCTION("""COMPUTED_VALUE"""),"")</f>
        <v/>
      </c>
      <c r="C183" t="str">
        <f>IFERROR(__xludf.DUMMYFUNCTION("""COMPUTED_VALUE"""),"")</f>
        <v/>
      </c>
      <c r="D183" t="str">
        <f>IFERROR(__xludf.DUMMYFUNCTION("""COMPUTED_VALUE"""),"")</f>
        <v/>
      </c>
      <c r="E183" t="str">
        <f>IFERROR(__xludf.DUMMYFUNCTION("""COMPUTED_VALUE"""),"")</f>
        <v/>
      </c>
      <c r="F183" t="str">
        <f>IFERROR(__xludf.DUMMYFUNCTION("""COMPUTED_VALUE"""),"")</f>
        <v/>
      </c>
      <c r="G183" t="str">
        <f>IFERROR(__xludf.DUMMYFUNCTION("""COMPUTED_VALUE"""),"Healthcare FWA")</f>
        <v>Healthcare FWA</v>
      </c>
      <c r="H183" t="str">
        <f>IFERROR(__xludf.DUMMYFUNCTION("""COMPUTED_VALUE"""),"")</f>
        <v/>
      </c>
      <c r="I183" t="str">
        <f>IFERROR(__xludf.DUMMYFUNCTION("""COMPUTED_VALUE"""),"")</f>
        <v/>
      </c>
      <c r="J183" t="str">
        <f>IFERROR(__xludf.DUMMYFUNCTION("""COMPUTED_VALUE"""),"")</f>
        <v/>
      </c>
      <c r="K183" t="str">
        <f>IFERROR(__xludf.DUMMYFUNCTION("""COMPUTED_VALUE"""),"")</f>
        <v/>
      </c>
      <c r="L183" t="str">
        <f>IFERROR(__xludf.DUMMYFUNCTION("""COMPUTED_VALUE"""),"")</f>
        <v/>
      </c>
      <c r="M183" t="str">
        <f>IFERROR(__xludf.DUMMYFUNCTION("""COMPUTED_VALUE"""),"")</f>
        <v/>
      </c>
      <c r="N183" t="str">
        <f>IFERROR(__xludf.DUMMYFUNCTION("""COMPUTED_VALUE"""),"")</f>
        <v/>
      </c>
      <c r="O183" t="str">
        <f>IFERROR(__xludf.DUMMYFUNCTION("""COMPUTED_VALUE"""),"")</f>
        <v/>
      </c>
      <c r="P183" t="str">
        <f>IFERROR(__xludf.DUMMYFUNCTION("""COMPUTED_VALUE"""),"https://www.cms.gov/about-cms/story-page/our-16-strategic-initiatives.html, https://www.cms.gov/Medicare/Quality-Initiatives-Patient-Assessment-Instruments/QualityInitiativesGenInfo/MMF/General-info-Sub-Page.html, BWHP-6")</f>
        <v>https://www.cms.gov/about-cms/story-page/our-16-strategic-initiatives.html, https://www.cms.gov/Medicare/Quality-Initiatives-Patient-Assessment-Instruments/QualityInitiativesGenInfo/MMF/General-info-Sub-Page.html, BWHP-6</v>
      </c>
      <c r="Q183" t="str">
        <f>IFERROR(__xludf.DUMMYFUNCTION("""COMPUTED_VALUE"""),"")</f>
        <v/>
      </c>
      <c r="R183" t="str">
        <f>IFERROR(__xludf.DUMMYFUNCTION("""COMPUTED_VALUE"""),"")</f>
        <v/>
      </c>
      <c r="S183" t="str">
        <f>IFERROR(__xludf.DUMMYFUNCTION("""COMPUTED_VALUE"""),"BWHP-1, BWHP-6")</f>
        <v>BWHP-1, BWHP-6</v>
      </c>
      <c r="T183">
        <f>IFERROR(__xludf.DUMMYFUNCTION("""COMPUTED_VALUE"""),2.0)</f>
        <v>2</v>
      </c>
    </row>
    <row r="184">
      <c r="A184" t="str">
        <f>IFERROR(__xludf.DUMMYFUNCTION("""COMPUTED_VALUE"""),"Prices for healthcare procedures, services, and goods are not transparent")</f>
        <v>Prices for healthcare procedures, services, and goods are not transparent</v>
      </c>
      <c r="B184" t="str">
        <f>IFERROR(__xludf.DUMMYFUNCTION("""COMPUTED_VALUE"""),"")</f>
        <v/>
      </c>
      <c r="C184" t="str">
        <f>IFERROR(__xludf.DUMMYFUNCTION("""COMPUTED_VALUE"""),"")</f>
        <v/>
      </c>
      <c r="D184" t="str">
        <f>IFERROR(__xludf.DUMMYFUNCTION("""COMPUTED_VALUE"""),"")</f>
        <v/>
      </c>
      <c r="E184" t="str">
        <f>IFERROR(__xludf.DUMMYFUNCTION("""COMPUTED_VALUE"""),"")</f>
        <v/>
      </c>
      <c r="F184" t="str">
        <f>IFERROR(__xludf.DUMMYFUNCTION("""COMPUTED_VALUE"""),"")</f>
        <v/>
      </c>
      <c r="G184" t="str">
        <f>IFERROR(__xludf.DUMMYFUNCTION("""COMPUTED_VALUE"""),"Lack of price transparency")</f>
        <v>Lack of price transparency</v>
      </c>
      <c r="H184" t="str">
        <f>IFERROR(__xludf.DUMMYFUNCTION("""COMPUTED_VALUE"""),"")</f>
        <v/>
      </c>
      <c r="I184" t="str">
        <f>IFERROR(__xludf.DUMMYFUNCTION("""COMPUTED_VALUE"""),"")</f>
        <v/>
      </c>
      <c r="J184" t="str">
        <f>IFERROR(__xludf.DUMMYFUNCTION("""COMPUTED_VALUE"""),"")</f>
        <v/>
      </c>
      <c r="K184" t="str">
        <f>IFERROR(__xludf.DUMMYFUNCTION("""COMPUTED_VALUE"""),"")</f>
        <v/>
      </c>
      <c r="L184" t="str">
        <f>IFERROR(__xludf.DUMMYFUNCTION("""COMPUTED_VALUE"""),"")</f>
        <v/>
      </c>
      <c r="M184" t="str">
        <f>IFERROR(__xludf.DUMMYFUNCTION("""COMPUTED_VALUE"""),"")</f>
        <v/>
      </c>
      <c r="N184" t="str">
        <f>IFERROR(__xludf.DUMMYFUNCTION("""COMPUTED_VALUE"""),"")</f>
        <v/>
      </c>
      <c r="O184" t="str">
        <f>IFERROR(__xludf.DUMMYFUNCTION("""COMPUTED_VALUE"""),"")</f>
        <v/>
      </c>
      <c r="P184" t="str">
        <f>IFERROR(__xludf.DUMMYFUNCTION("""COMPUTED_VALUE"""),"https://www.cms.gov/about-cms/story-page/our-16-strategic-initiatives.html, BWHP-9")</f>
        <v>https://www.cms.gov/about-cms/story-page/our-16-strategic-initiatives.html, BWHP-9</v>
      </c>
      <c r="Q184" t="str">
        <f>IFERROR(__xludf.DUMMYFUNCTION("""COMPUTED_VALUE"""),"")</f>
        <v/>
      </c>
      <c r="R184" t="str">
        <f>IFERROR(__xludf.DUMMYFUNCTION("""COMPUTED_VALUE"""),"")</f>
        <v/>
      </c>
      <c r="S184" t="str">
        <f>IFERROR(__xludf.DUMMYFUNCTION("""COMPUTED_VALUE"""),"BWHP-9")</f>
        <v>BWHP-9</v>
      </c>
      <c r="T184">
        <f>IFERROR(__xludf.DUMMYFUNCTION("""COMPUTED_VALUE"""),2.0)</f>
        <v>2</v>
      </c>
    </row>
    <row r="185">
      <c r="A185" t="str">
        <f>IFERROR(__xludf.DUMMYFUNCTION("""COMPUTED_VALUE"""),"Potentially avoidable emergency department visits")</f>
        <v>Potentially avoidable emergency department visits</v>
      </c>
      <c r="B185" t="str">
        <f>IFERROR(__xludf.DUMMYFUNCTION("""COMPUTED_VALUE"""),"")</f>
        <v/>
      </c>
      <c r="C185" t="str">
        <f>IFERROR(__xludf.DUMMYFUNCTION("""COMPUTED_VALUE"""),"")</f>
        <v/>
      </c>
      <c r="D185" t="str">
        <f>IFERROR(__xludf.DUMMYFUNCTION("""COMPUTED_VALUE"""),"")</f>
        <v/>
      </c>
      <c r="E185" t="str">
        <f>IFERROR(__xludf.DUMMYFUNCTION("""COMPUTED_VALUE"""),"")</f>
        <v/>
      </c>
      <c r="F185" t="str">
        <f>IFERROR(__xludf.DUMMYFUNCTION("""COMPUTED_VALUE"""),"")</f>
        <v/>
      </c>
      <c r="G185" t="str">
        <f>IFERROR(__xludf.DUMMYFUNCTION("""COMPUTED_VALUE"""),"")</f>
        <v/>
      </c>
      <c r="H185" t="str">
        <f>IFERROR(__xludf.DUMMYFUNCTION("""COMPUTED_VALUE"""),"Ages 18–64, per 1,000 employer-insured enrollees; Age 65 and older, per 1,000 Medicare beneficiaries")</f>
        <v>Ages 18–64, per 1,000 employer-insured enrollees; Age 65 and older, per 1,000 Medicare beneficiaries</v>
      </c>
      <c r="I185" t="str">
        <f>IFERROR(__xludf.DUMMYFUNCTION("""COMPUTED_VALUE"""),"")</f>
        <v/>
      </c>
      <c r="J185" s="19" t="str">
        <f>IFERROR(__xludf.DUMMYFUNCTION("""COMPUTED_VALUE"""),"https://interactives.commonwealthfund.org/2018/state-scorecard/files/Radley_State_Scorecard_2018.pdf")</f>
        <v>https://interactives.commonwealthfund.org/2018/state-scorecard/files/Radley_State_Scorecard_2018.pdf</v>
      </c>
      <c r="K185" t="str">
        <f>IFERROR(__xludf.DUMMYFUNCTION("""COMPUTED_VALUE"""),"")</f>
        <v/>
      </c>
      <c r="L185" t="str">
        <f>IFERROR(__xludf.DUMMYFUNCTION("""COMPUTED_VALUE"""),"")</f>
        <v/>
      </c>
      <c r="M185" t="str">
        <f>IFERROR(__xludf.DUMMYFUNCTION("""COMPUTED_VALUE"""),"")</f>
        <v/>
      </c>
      <c r="N185" s="19" t="str">
        <f>IFERROR(__xludf.DUMMYFUNCTION("""COMPUTED_VALUE"""),"https://www.americashealthrankings.org/explore/annual")</f>
        <v>https://www.americashealthrankings.org/explore/annual</v>
      </c>
      <c r="O185" t="str">
        <f>IFERROR(__xludf.DUMMYFUNCTION("""COMPUTED_VALUE"""),"")</f>
        <v/>
      </c>
      <c r="P185" t="str">
        <f>IFERROR(__xludf.DUMMYFUNCTION("""COMPUTED_VALUE"""),"")</f>
        <v/>
      </c>
      <c r="Q185" t="str">
        <f>IFERROR(__xludf.DUMMYFUNCTION("""COMPUTED_VALUE"""),"")</f>
        <v/>
      </c>
      <c r="R185" t="str">
        <f>IFERROR(__xludf.DUMMYFUNCTION("""COMPUTED_VALUE"""),"")</f>
        <v/>
      </c>
      <c r="S185" t="str">
        <f>IFERROR(__xludf.DUMMYFUNCTION("""COMPUTED_VALUE"""),"")</f>
        <v/>
      </c>
      <c r="T185">
        <f>IFERROR(__xludf.DUMMYFUNCTION("""COMPUTED_VALUE"""),2.0)</f>
        <v>2</v>
      </c>
    </row>
    <row r="186">
      <c r="A186" t="str">
        <f>IFERROR(__xludf.DUMMYFUNCTION("""COMPUTED_VALUE"""),"Admissions for ambulatory care–sensitive conditions")</f>
        <v>Admissions for ambulatory care–sensitive conditions</v>
      </c>
      <c r="B186" t="str">
        <f>IFERROR(__xludf.DUMMYFUNCTION("""COMPUTED_VALUE"""),"")</f>
        <v/>
      </c>
      <c r="C186" t="str">
        <f>IFERROR(__xludf.DUMMYFUNCTION("""COMPUTED_VALUE"""),"")</f>
        <v/>
      </c>
      <c r="D186" t="str">
        <f>IFERROR(__xludf.DUMMYFUNCTION("""COMPUTED_VALUE"""),"")</f>
        <v/>
      </c>
      <c r="E186" t="str">
        <f>IFERROR(__xludf.DUMMYFUNCTION("""COMPUTED_VALUE"""),"")</f>
        <v/>
      </c>
      <c r="F186" t="str">
        <f>IFERROR(__xludf.DUMMYFUNCTION("""COMPUTED_VALUE"""),"")</f>
        <v/>
      </c>
      <c r="G186" t="str">
        <f>IFERROR(__xludf.DUMMYFUNCTION("""COMPUTED_VALUE"""),"")</f>
        <v/>
      </c>
      <c r="H186" t="str">
        <f>IFERROR(__xludf.DUMMYFUNCTION("""COMPUTED_VALUE"""),"As it relates to preventable hospital use and cost")</f>
        <v>As it relates to preventable hospital use and cost</v>
      </c>
      <c r="I186" t="str">
        <f>IFERROR(__xludf.DUMMYFUNCTION("""COMPUTED_VALUE"""),"")</f>
        <v/>
      </c>
      <c r="J186" s="19" t="str">
        <f>IFERROR(__xludf.DUMMYFUNCTION("""COMPUTED_VALUE"""),"https://interactives.commonwealthfund.org/2018/state-scorecard/files/Radley_State_Scorecard_2018.pdf")</f>
        <v>https://interactives.commonwealthfund.org/2018/state-scorecard/files/Radley_State_Scorecard_2018.pdf</v>
      </c>
      <c r="K186" t="str">
        <f>IFERROR(__xludf.DUMMYFUNCTION("""COMPUTED_VALUE"""),"")</f>
        <v/>
      </c>
      <c r="L186" t="str">
        <f>IFERROR(__xludf.DUMMYFUNCTION("""COMPUTED_VALUE"""),"")</f>
        <v/>
      </c>
      <c r="M186" t="str">
        <f>IFERROR(__xludf.DUMMYFUNCTION("""COMPUTED_VALUE"""),"")</f>
        <v/>
      </c>
      <c r="N186" s="19" t="str">
        <f>IFERROR(__xludf.DUMMYFUNCTION("""COMPUTED_VALUE"""),"https://www.americashealthrankings.org/explore/annual")</f>
        <v>https://www.americashealthrankings.org/explore/annual</v>
      </c>
      <c r="O186" t="str">
        <f>IFERROR(__xludf.DUMMYFUNCTION("""COMPUTED_VALUE"""),"")</f>
        <v/>
      </c>
      <c r="P186" t="str">
        <f>IFERROR(__xludf.DUMMYFUNCTION("""COMPUTED_VALUE"""),"")</f>
        <v/>
      </c>
      <c r="Q186" t="str">
        <f>IFERROR(__xludf.DUMMYFUNCTION("""COMPUTED_VALUE"""),"")</f>
        <v/>
      </c>
      <c r="R186" t="str">
        <f>IFERROR(__xludf.DUMMYFUNCTION("""COMPUTED_VALUE"""),"")</f>
        <v/>
      </c>
      <c r="S186" t="str">
        <f>IFERROR(__xludf.DUMMYFUNCTION("""COMPUTED_VALUE"""),"")</f>
        <v/>
      </c>
      <c r="T186">
        <f>IFERROR(__xludf.DUMMYFUNCTION("""COMPUTED_VALUE"""),2.0)</f>
        <v>2</v>
      </c>
    </row>
    <row r="187">
      <c r="A187" t="str">
        <f>IFERROR(__xludf.DUMMYFUNCTION("""COMPUTED_VALUE"""),"Home health patients also enrolled in Medicare with a hospital admission")</f>
        <v>Home health patients also enrolled in Medicare with a hospital admission</v>
      </c>
      <c r="B187" t="str">
        <f>IFERROR(__xludf.DUMMYFUNCTION("""COMPUTED_VALUE"""),"")</f>
        <v/>
      </c>
      <c r="C187" t="str">
        <f>IFERROR(__xludf.DUMMYFUNCTION("""COMPUTED_VALUE"""),"")</f>
        <v/>
      </c>
      <c r="D187" t="str">
        <f>IFERROR(__xludf.DUMMYFUNCTION("""COMPUTED_VALUE"""),"")</f>
        <v/>
      </c>
      <c r="E187" t="str">
        <f>IFERROR(__xludf.DUMMYFUNCTION("""COMPUTED_VALUE"""),"")</f>
        <v/>
      </c>
      <c r="F187" t="str">
        <f>IFERROR(__xludf.DUMMYFUNCTION("""COMPUTED_VALUE"""),"")</f>
        <v/>
      </c>
      <c r="G187" t="str">
        <f>IFERROR(__xludf.DUMMYFUNCTION("""COMPUTED_VALUE"""),"")</f>
        <v/>
      </c>
      <c r="H187" t="str">
        <f>IFERROR(__xludf.DUMMYFUNCTION("""COMPUTED_VALUE"""),"")</f>
        <v/>
      </c>
      <c r="I187" t="str">
        <f>IFERROR(__xludf.DUMMYFUNCTION("""COMPUTED_VALUE"""),"")</f>
        <v/>
      </c>
      <c r="J187" s="19" t="str">
        <f>IFERROR(__xludf.DUMMYFUNCTION("""COMPUTED_VALUE"""),"https://interactives.commonwealthfund.org/2018/state-scorecard/files/Radley_State_Scorecard_2018.pdf")</f>
        <v>https://interactives.commonwealthfund.org/2018/state-scorecard/files/Radley_State_Scorecard_2018.pdf</v>
      </c>
      <c r="K187" t="str">
        <f>IFERROR(__xludf.DUMMYFUNCTION("""COMPUTED_VALUE"""),"")</f>
        <v/>
      </c>
      <c r="L187" t="str">
        <f>IFERROR(__xludf.DUMMYFUNCTION("""COMPUTED_VALUE"""),"")</f>
        <v/>
      </c>
      <c r="M187" t="str">
        <f>IFERROR(__xludf.DUMMYFUNCTION("""COMPUTED_VALUE"""),"")</f>
        <v/>
      </c>
      <c r="N187" s="19" t="str">
        <f>IFERROR(__xludf.DUMMYFUNCTION("""COMPUTED_VALUE"""),"https://www.americashealthrankings.org/explore/annual")</f>
        <v>https://www.americashealthrankings.org/explore/annual</v>
      </c>
      <c r="O187" t="str">
        <f>IFERROR(__xludf.DUMMYFUNCTION("""COMPUTED_VALUE"""),"")</f>
        <v/>
      </c>
      <c r="P187" t="str">
        <f>IFERROR(__xludf.DUMMYFUNCTION("""COMPUTED_VALUE"""),"")</f>
        <v/>
      </c>
      <c r="Q187" t="str">
        <f>IFERROR(__xludf.DUMMYFUNCTION("""COMPUTED_VALUE"""),"")</f>
        <v/>
      </c>
      <c r="R187" t="str">
        <f>IFERROR(__xludf.DUMMYFUNCTION("""COMPUTED_VALUE"""),"")</f>
        <v/>
      </c>
      <c r="S187" t="str">
        <f>IFERROR(__xludf.DUMMYFUNCTION("""COMPUTED_VALUE"""),"")</f>
        <v/>
      </c>
      <c r="T187">
        <f>IFERROR(__xludf.DUMMYFUNCTION("""COMPUTED_VALUE"""),2.0)</f>
        <v>2</v>
      </c>
    </row>
    <row r="188">
      <c r="A188" t="str">
        <f>IFERROR(__xludf.DUMMYFUNCTION("""COMPUTED_VALUE"""),"Hospital spending per discharge")</f>
        <v>Hospital spending per discharge</v>
      </c>
      <c r="B188" t="str">
        <f>IFERROR(__xludf.DUMMYFUNCTION("""COMPUTED_VALUE"""),"")</f>
        <v/>
      </c>
      <c r="C188" t="str">
        <f>IFERROR(__xludf.DUMMYFUNCTION("""COMPUTED_VALUE"""),"")</f>
        <v/>
      </c>
      <c r="D188" t="str">
        <f>IFERROR(__xludf.DUMMYFUNCTION("""COMPUTED_VALUE"""),"")</f>
        <v/>
      </c>
      <c r="E188" t="str">
        <f>IFERROR(__xludf.DUMMYFUNCTION("""COMPUTED_VALUE"""),"")</f>
        <v/>
      </c>
      <c r="F188" t="str">
        <f>IFERROR(__xludf.DUMMYFUNCTION("""COMPUTED_VALUE"""),"")</f>
        <v/>
      </c>
      <c r="G188" t="str">
        <f>IFERROR(__xludf.DUMMYFUNCTION("""COMPUTED_VALUE"""),"")</f>
        <v/>
      </c>
      <c r="H188" t="str">
        <f>IFERROR(__xludf.DUMMYFUNCTION("""COMPUTED_VALUE"""),"Per stay")</f>
        <v>Per stay</v>
      </c>
      <c r="I188" t="str">
        <f>IFERROR(__xludf.DUMMYFUNCTION("""COMPUTED_VALUE"""),"")</f>
        <v/>
      </c>
      <c r="J188" s="19" t="str">
        <f>IFERROR(__xludf.DUMMYFUNCTION("""COMPUTED_VALUE"""),"https://international.commonwealthfund.org/stats/")</f>
        <v>https://international.commonwealthfund.org/stats/</v>
      </c>
      <c r="K188" t="str">
        <f>IFERROR(__xludf.DUMMYFUNCTION("""COMPUTED_VALUE"""),"")</f>
        <v/>
      </c>
      <c r="L188" s="19" t="str">
        <f>IFERROR(__xludf.DUMMYFUNCTION("""COMPUTED_VALUE"""),"https://usafacts.org/missions/promote-welfare/12")</f>
        <v>https://usafacts.org/missions/promote-welfare/12</v>
      </c>
      <c r="M188" t="str">
        <f>IFERROR(__xludf.DUMMYFUNCTION("""COMPUTED_VALUE"""),"")</f>
        <v/>
      </c>
      <c r="N188" t="str">
        <f>IFERROR(__xludf.DUMMYFUNCTION("""COMPUTED_VALUE"""),"")</f>
        <v/>
      </c>
      <c r="O188" t="str">
        <f>IFERROR(__xludf.DUMMYFUNCTION("""COMPUTED_VALUE"""),"")</f>
        <v/>
      </c>
      <c r="P188" t="str">
        <f>IFERROR(__xludf.DUMMYFUNCTION("""COMPUTED_VALUE"""),"")</f>
        <v/>
      </c>
      <c r="Q188" t="str">
        <f>IFERROR(__xludf.DUMMYFUNCTION("""COMPUTED_VALUE"""),"")</f>
        <v/>
      </c>
      <c r="R188" t="str">
        <f>IFERROR(__xludf.DUMMYFUNCTION("""COMPUTED_VALUE"""),"")</f>
        <v/>
      </c>
      <c r="S188" t="str">
        <f>IFERROR(__xludf.DUMMYFUNCTION("""COMPUTED_VALUE"""),"")</f>
        <v/>
      </c>
      <c r="T188">
        <f>IFERROR(__xludf.DUMMYFUNCTION("""COMPUTED_VALUE"""),2.0)</f>
        <v>2</v>
      </c>
    </row>
    <row r="189">
      <c r="A189" t="str">
        <f>IFERROR(__xludf.DUMMYFUNCTION("""COMPUTED_VALUE"""),"Expenditure by disease")</f>
        <v>Expenditure by disease</v>
      </c>
      <c r="B189" t="str">
        <f>IFERROR(__xludf.DUMMYFUNCTION("""COMPUTED_VALUE"""),"")</f>
        <v/>
      </c>
      <c r="C189" t="str">
        <f>IFERROR(__xludf.DUMMYFUNCTION("""COMPUTED_VALUE"""),"")</f>
        <v/>
      </c>
      <c r="D189" t="str">
        <f>IFERROR(__xludf.DUMMYFUNCTION("""COMPUTED_VALUE"""),"")</f>
        <v/>
      </c>
      <c r="E189" t="str">
        <f>IFERROR(__xludf.DUMMYFUNCTION("""COMPUTED_VALUE"""),"")</f>
        <v/>
      </c>
      <c r="F189" t="str">
        <f>IFERROR(__xludf.DUMMYFUNCTION("""COMPUTED_VALUE"""),"")</f>
        <v/>
      </c>
      <c r="G189" t="str">
        <f>IFERROR(__xludf.DUMMYFUNCTION("""COMPUTED_VALUE"""),"")</f>
        <v/>
      </c>
      <c r="H189" t="str">
        <f>IFERROR(__xludf.DUMMYFUNCTION("""COMPUTED_VALUE"""),"")</f>
        <v/>
      </c>
      <c r="I189" t="str">
        <f>IFERROR(__xludf.DUMMYFUNCTION("""COMPUTED_VALUE"""),"")</f>
        <v/>
      </c>
      <c r="J189" t="str">
        <f>IFERROR(__xludf.DUMMYFUNCTION("""COMPUTED_VALUE"""),"")</f>
        <v/>
      </c>
      <c r="K189" s="19" t="str">
        <f>IFERROR(__xludf.DUMMYFUNCTION("""COMPUTED_VALUE"""),"https://stats.oecd.org/index.aspx?DataSetCode=HEALTH_STAT")</f>
        <v>https://stats.oecd.org/index.aspx?DataSetCode=HEALTH_STAT</v>
      </c>
      <c r="L189" s="19" t="str">
        <f>IFERROR(__xludf.DUMMYFUNCTION("""COMPUTED_VALUE"""),"https://usafacts.org/missions/promote-welfare/12")</f>
        <v>https://usafacts.org/missions/promote-welfare/12</v>
      </c>
      <c r="M189" t="str">
        <f>IFERROR(__xludf.DUMMYFUNCTION("""COMPUTED_VALUE"""),"")</f>
        <v/>
      </c>
      <c r="N189" t="str">
        <f>IFERROR(__xludf.DUMMYFUNCTION("""COMPUTED_VALUE"""),"")</f>
        <v/>
      </c>
      <c r="O189" t="str">
        <f>IFERROR(__xludf.DUMMYFUNCTION("""COMPUTED_VALUE"""),"")</f>
        <v/>
      </c>
      <c r="P189" t="str">
        <f>IFERROR(__xludf.DUMMYFUNCTION("""COMPUTED_VALUE"""),"")</f>
        <v/>
      </c>
      <c r="Q189" t="str">
        <f>IFERROR(__xludf.DUMMYFUNCTION("""COMPUTED_VALUE"""),"")</f>
        <v/>
      </c>
      <c r="R189" t="str">
        <f>IFERROR(__xludf.DUMMYFUNCTION("""COMPUTED_VALUE"""),"")</f>
        <v/>
      </c>
      <c r="S189" t="str">
        <f>IFERROR(__xludf.DUMMYFUNCTION("""COMPUTED_VALUE"""),"")</f>
        <v/>
      </c>
      <c r="T189">
        <f>IFERROR(__xludf.DUMMYFUNCTION("""COMPUTED_VALUE"""),2.0)</f>
        <v>2</v>
      </c>
    </row>
    <row r="190">
      <c r="A190" t="str">
        <f>IFERROR(__xludf.DUMMYFUNCTION("""COMPUTED_VALUE"""),"Expenditure by age")</f>
        <v>Expenditure by age</v>
      </c>
      <c r="B190" t="str">
        <f>IFERROR(__xludf.DUMMYFUNCTION("""COMPUTED_VALUE"""),"")</f>
        <v/>
      </c>
      <c r="C190" t="str">
        <f>IFERROR(__xludf.DUMMYFUNCTION("""COMPUTED_VALUE"""),"")</f>
        <v/>
      </c>
      <c r="D190" t="str">
        <f>IFERROR(__xludf.DUMMYFUNCTION("""COMPUTED_VALUE"""),"")</f>
        <v/>
      </c>
      <c r="E190" t="str">
        <f>IFERROR(__xludf.DUMMYFUNCTION("""COMPUTED_VALUE"""),"")</f>
        <v/>
      </c>
      <c r="F190" t="str">
        <f>IFERROR(__xludf.DUMMYFUNCTION("""COMPUTED_VALUE"""),"")</f>
        <v/>
      </c>
      <c r="G190" t="str">
        <f>IFERROR(__xludf.DUMMYFUNCTION("""COMPUTED_VALUE"""),"")</f>
        <v/>
      </c>
      <c r="H190" t="str">
        <f>IFERROR(__xludf.DUMMYFUNCTION("""COMPUTED_VALUE"""),"")</f>
        <v/>
      </c>
      <c r="I190" t="str">
        <f>IFERROR(__xludf.DUMMYFUNCTION("""COMPUTED_VALUE"""),"")</f>
        <v/>
      </c>
      <c r="J190" t="str">
        <f>IFERROR(__xludf.DUMMYFUNCTION("""COMPUTED_VALUE"""),"")</f>
        <v/>
      </c>
      <c r="K190" s="19" t="str">
        <f>IFERROR(__xludf.DUMMYFUNCTION("""COMPUTED_VALUE"""),"https://stats.oecd.org/index.aspx?DataSetCode=HEALTH_STAT")</f>
        <v>https://stats.oecd.org/index.aspx?DataSetCode=HEALTH_STAT</v>
      </c>
      <c r="L190" s="19" t="str">
        <f>IFERROR(__xludf.DUMMYFUNCTION("""COMPUTED_VALUE"""),"https://usafacts.org/missions/promote-welfare/12")</f>
        <v>https://usafacts.org/missions/promote-welfare/12</v>
      </c>
      <c r="M190" t="str">
        <f>IFERROR(__xludf.DUMMYFUNCTION("""COMPUTED_VALUE"""),"")</f>
        <v/>
      </c>
      <c r="N190" t="str">
        <f>IFERROR(__xludf.DUMMYFUNCTION("""COMPUTED_VALUE"""),"")</f>
        <v/>
      </c>
      <c r="O190" t="str">
        <f>IFERROR(__xludf.DUMMYFUNCTION("""COMPUTED_VALUE"""),"")</f>
        <v/>
      </c>
      <c r="P190" t="str">
        <f>IFERROR(__xludf.DUMMYFUNCTION("""COMPUTED_VALUE"""),"")</f>
        <v/>
      </c>
      <c r="Q190" t="str">
        <f>IFERROR(__xludf.DUMMYFUNCTION("""COMPUTED_VALUE"""),"")</f>
        <v/>
      </c>
      <c r="R190" t="str">
        <f>IFERROR(__xludf.DUMMYFUNCTION("""COMPUTED_VALUE"""),"")</f>
        <v/>
      </c>
      <c r="S190" t="str">
        <f>IFERROR(__xludf.DUMMYFUNCTION("""COMPUTED_VALUE"""),"")</f>
        <v/>
      </c>
      <c r="T190">
        <f>IFERROR(__xludf.DUMMYFUNCTION("""COMPUTED_VALUE"""),2.0)</f>
        <v>2</v>
      </c>
    </row>
    <row r="191">
      <c r="A191" t="str">
        <f>IFERROR(__xludf.DUMMYFUNCTION("""COMPUTED_VALUE"""),"Expenditure by gender")</f>
        <v>Expenditure by gender</v>
      </c>
      <c r="B191" t="str">
        <f>IFERROR(__xludf.DUMMYFUNCTION("""COMPUTED_VALUE"""),"")</f>
        <v/>
      </c>
      <c r="C191" t="str">
        <f>IFERROR(__xludf.DUMMYFUNCTION("""COMPUTED_VALUE"""),"")</f>
        <v/>
      </c>
      <c r="D191" t="str">
        <f>IFERROR(__xludf.DUMMYFUNCTION("""COMPUTED_VALUE"""),"")</f>
        <v/>
      </c>
      <c r="E191" t="str">
        <f>IFERROR(__xludf.DUMMYFUNCTION("""COMPUTED_VALUE"""),"")</f>
        <v/>
      </c>
      <c r="F191" t="str">
        <f>IFERROR(__xludf.DUMMYFUNCTION("""COMPUTED_VALUE"""),"")</f>
        <v/>
      </c>
      <c r="G191" t="str">
        <f>IFERROR(__xludf.DUMMYFUNCTION("""COMPUTED_VALUE"""),"")</f>
        <v/>
      </c>
      <c r="H191" t="str">
        <f>IFERROR(__xludf.DUMMYFUNCTION("""COMPUTED_VALUE"""),"")</f>
        <v/>
      </c>
      <c r="I191" t="str">
        <f>IFERROR(__xludf.DUMMYFUNCTION("""COMPUTED_VALUE"""),"")</f>
        <v/>
      </c>
      <c r="J191" t="str">
        <f>IFERROR(__xludf.DUMMYFUNCTION("""COMPUTED_VALUE"""),"")</f>
        <v/>
      </c>
      <c r="K191" s="19" t="str">
        <f>IFERROR(__xludf.DUMMYFUNCTION("""COMPUTED_VALUE"""),"https://stats.oecd.org/index.aspx?DataSetCode=HEALTH_STAT")</f>
        <v>https://stats.oecd.org/index.aspx?DataSetCode=HEALTH_STAT</v>
      </c>
      <c r="L191" s="19" t="str">
        <f>IFERROR(__xludf.DUMMYFUNCTION("""COMPUTED_VALUE"""),"https://usafacts.org/missions/promote-welfare/12")</f>
        <v>https://usafacts.org/missions/promote-welfare/12</v>
      </c>
      <c r="M191" t="str">
        <f>IFERROR(__xludf.DUMMYFUNCTION("""COMPUTED_VALUE"""),"")</f>
        <v/>
      </c>
      <c r="N191" t="str">
        <f>IFERROR(__xludf.DUMMYFUNCTION("""COMPUTED_VALUE"""),"")</f>
        <v/>
      </c>
      <c r="O191" t="str">
        <f>IFERROR(__xludf.DUMMYFUNCTION("""COMPUTED_VALUE"""),"")</f>
        <v/>
      </c>
      <c r="P191" t="str">
        <f>IFERROR(__xludf.DUMMYFUNCTION("""COMPUTED_VALUE"""),"")</f>
        <v/>
      </c>
      <c r="Q191" t="str">
        <f>IFERROR(__xludf.DUMMYFUNCTION("""COMPUTED_VALUE"""),"")</f>
        <v/>
      </c>
      <c r="R191" t="str">
        <f>IFERROR(__xludf.DUMMYFUNCTION("""COMPUTED_VALUE"""),"")</f>
        <v/>
      </c>
      <c r="S191" t="str">
        <f>IFERROR(__xludf.DUMMYFUNCTION("""COMPUTED_VALUE"""),"")</f>
        <v/>
      </c>
      <c r="T191">
        <f>IFERROR(__xludf.DUMMYFUNCTION("""COMPUTED_VALUE"""),2.0)</f>
        <v>2</v>
      </c>
    </row>
    <row r="192">
      <c r="A192" t="str">
        <f>IFERROR(__xludf.DUMMYFUNCTION("""COMPUTED_VALUE"""),"Urban population (%)")</f>
        <v>Urban population (%)</v>
      </c>
      <c r="B192">
        <f>IFERROR(__xludf.DUMMYFUNCTION("""COMPUTED_VALUE"""),82.0)</f>
        <v>82</v>
      </c>
      <c r="C192" s="19" t="str">
        <f>IFERROR(__xludf.DUMMYFUNCTION("""COMPUTED_VALUE"""),"http://www.paho.org/data/index.php/en/indicators/visualization.html")</f>
        <v>http://www.paho.org/data/index.php/en/indicators/visualization.html</v>
      </c>
      <c r="D192" t="str">
        <f>IFERROR(__xludf.DUMMYFUNCTION("""COMPUTED_VALUE"""),"")</f>
        <v/>
      </c>
      <c r="E192" t="str">
        <f>IFERROR(__xludf.DUMMYFUNCTION("""COMPUTED_VALUE"""),"")</f>
        <v/>
      </c>
      <c r="F192">
        <f>IFERROR(__xludf.DUMMYFUNCTION("""COMPUTED_VALUE"""),2018.0)</f>
        <v>2018</v>
      </c>
      <c r="G192" t="str">
        <f>IFERROR(__xludf.DUMMYFUNCTION("""COMPUTED_VALUE"""),"demographics")</f>
        <v>demographics</v>
      </c>
      <c r="H192" t="str">
        <f>IFERROR(__xludf.DUMMYFUNCTION("""COMPUTED_VALUE"""),"")</f>
        <v/>
      </c>
      <c r="I192" s="19" t="str">
        <f>IFERROR(__xludf.DUMMYFUNCTION("""COMPUTED_VALUE"""),"http://www.paho.org/data/index.php/en/indicators/visualization.html")</f>
        <v>http://www.paho.org/data/index.php/en/indicators/visualization.html</v>
      </c>
      <c r="J192" t="str">
        <f>IFERROR(__xludf.DUMMYFUNCTION("""COMPUTED_VALUE"""),"")</f>
        <v/>
      </c>
      <c r="K192" t="str">
        <f>IFERROR(__xludf.DUMMYFUNCTION("""COMPUTED_VALUE"""),"")</f>
        <v/>
      </c>
      <c r="L192" t="str">
        <f>IFERROR(__xludf.DUMMYFUNCTION("""COMPUTED_VALUE"""),"")</f>
        <v/>
      </c>
      <c r="M192" t="str">
        <f>IFERROR(__xludf.DUMMYFUNCTION("""COMPUTED_VALUE"""),"")</f>
        <v/>
      </c>
      <c r="N192" t="str">
        <f>IFERROR(__xludf.DUMMYFUNCTION("""COMPUTED_VALUE"""),"")</f>
        <v/>
      </c>
      <c r="O192" t="str">
        <f>IFERROR(__xludf.DUMMYFUNCTION("""COMPUTED_VALUE"""),"")</f>
        <v/>
      </c>
      <c r="P192" t="str">
        <f>IFERROR(__xludf.DUMMYFUNCTION("""COMPUTED_VALUE"""),"")</f>
        <v/>
      </c>
      <c r="Q192" t="str">
        <f>IFERROR(__xludf.DUMMYFUNCTION("""COMPUTED_VALUE"""),"")</f>
        <v/>
      </c>
      <c r="R192" t="str">
        <f>IFERROR(__xludf.DUMMYFUNCTION("""COMPUTED_VALUE"""),"")</f>
        <v/>
      </c>
      <c r="S192" t="str">
        <f>IFERROR(__xludf.DUMMYFUNCTION("""COMPUTED_VALUE"""),"")</f>
        <v/>
      </c>
      <c r="T192">
        <f>IFERROR(__xludf.DUMMYFUNCTION("""COMPUTED_VALUE"""),1.0)</f>
        <v>1</v>
      </c>
    </row>
    <row r="193">
      <c r="A193" t="str">
        <f>IFERROR(__xludf.DUMMYFUNCTION("""COMPUTED_VALUE"""),"Mean years of schooling")</f>
        <v>Mean years of schooling</v>
      </c>
      <c r="B193">
        <f>IFERROR(__xludf.DUMMYFUNCTION("""COMPUTED_VALUE"""),13.5)</f>
        <v>13.5</v>
      </c>
      <c r="C193" s="19" t="str">
        <f>IFERROR(__xludf.DUMMYFUNCTION("""COMPUTED_VALUE"""),"http://www.paho.org/data/index.php/en/indicators/visualization.html")</f>
        <v>http://www.paho.org/data/index.php/en/indicators/visualization.html</v>
      </c>
      <c r="D193" t="str">
        <f>IFERROR(__xludf.DUMMYFUNCTION("""COMPUTED_VALUE"""),"")</f>
        <v/>
      </c>
      <c r="E193" t="str">
        <f>IFERROR(__xludf.DUMMYFUNCTION("""COMPUTED_VALUE"""),"")</f>
        <v/>
      </c>
      <c r="F193">
        <f>IFERROR(__xludf.DUMMYFUNCTION("""COMPUTED_VALUE"""),2015.0)</f>
        <v>2015</v>
      </c>
      <c r="G193" t="str">
        <f>IFERROR(__xludf.DUMMYFUNCTION("""COMPUTED_VALUE"""),"demographics")</f>
        <v>demographics</v>
      </c>
      <c r="H193" t="str">
        <f>IFERROR(__xludf.DUMMYFUNCTION("""COMPUTED_VALUE"""),"")</f>
        <v/>
      </c>
      <c r="I193" s="19" t="str">
        <f>IFERROR(__xludf.DUMMYFUNCTION("""COMPUTED_VALUE"""),"http://www.paho.org/data/index.php/en/indicators/visualization.html")</f>
        <v>http://www.paho.org/data/index.php/en/indicators/visualization.html</v>
      </c>
      <c r="J193" t="str">
        <f>IFERROR(__xludf.DUMMYFUNCTION("""COMPUTED_VALUE"""),"")</f>
        <v/>
      </c>
      <c r="K193" t="str">
        <f>IFERROR(__xludf.DUMMYFUNCTION("""COMPUTED_VALUE"""),"")</f>
        <v/>
      </c>
      <c r="L193" t="str">
        <f>IFERROR(__xludf.DUMMYFUNCTION("""COMPUTED_VALUE"""),"")</f>
        <v/>
      </c>
      <c r="M193" t="str">
        <f>IFERROR(__xludf.DUMMYFUNCTION("""COMPUTED_VALUE"""),"")</f>
        <v/>
      </c>
      <c r="N193" t="str">
        <f>IFERROR(__xludf.DUMMYFUNCTION("""COMPUTED_VALUE"""),"")</f>
        <v/>
      </c>
      <c r="O193" t="str">
        <f>IFERROR(__xludf.DUMMYFUNCTION("""COMPUTED_VALUE"""),"")</f>
        <v/>
      </c>
      <c r="P193" t="str">
        <f>IFERROR(__xludf.DUMMYFUNCTION("""COMPUTED_VALUE"""),"")</f>
        <v/>
      </c>
      <c r="Q193" t="str">
        <f>IFERROR(__xludf.DUMMYFUNCTION("""COMPUTED_VALUE"""),"")</f>
        <v/>
      </c>
      <c r="R193" t="str">
        <f>IFERROR(__xludf.DUMMYFUNCTION("""COMPUTED_VALUE"""),"")</f>
        <v/>
      </c>
      <c r="S193" t="str">
        <f>IFERROR(__xludf.DUMMYFUNCTION("""COMPUTED_VALUE"""),"")</f>
        <v/>
      </c>
      <c r="T193">
        <f>IFERROR(__xludf.DUMMYFUNCTION("""COMPUTED_VALUE"""),1.0)</f>
        <v>1</v>
      </c>
    </row>
    <row r="194">
      <c r="A194" t="str">
        <f>IFERROR(__xludf.DUMMYFUNCTION("""COMPUTED_VALUE"""),"Missed school days")</f>
        <v>Missed school days</v>
      </c>
      <c r="B194" t="str">
        <f>IFERROR(__xludf.DUMMYFUNCTION("""COMPUTED_VALUE"""),"")</f>
        <v/>
      </c>
      <c r="C194" t="str">
        <f>IFERROR(__xludf.DUMMYFUNCTION("""COMPUTED_VALUE"""),"")</f>
        <v/>
      </c>
      <c r="D194" t="str">
        <f>IFERROR(__xludf.DUMMYFUNCTION("""COMPUTED_VALUE"""),"")</f>
        <v/>
      </c>
      <c r="E194" t="str">
        <f>IFERROR(__xludf.DUMMYFUNCTION("""COMPUTED_VALUE"""),"")</f>
        <v/>
      </c>
      <c r="F194" t="str">
        <f>IFERROR(__xludf.DUMMYFUNCTION("""COMPUTED_VALUE"""),"")</f>
        <v/>
      </c>
      <c r="G194" t="str">
        <f>IFERROR(__xludf.DUMMYFUNCTION("""COMPUTED_VALUE"""),"")</f>
        <v/>
      </c>
      <c r="H194" t="str">
        <f>IFERROR(__xludf.DUMMYFUNCTION("""COMPUTED_VALUE"""),"")</f>
        <v/>
      </c>
      <c r="I194" t="str">
        <f>IFERROR(__xludf.DUMMYFUNCTION("""COMPUTED_VALUE"""),"")</f>
        <v/>
      </c>
      <c r="J194" t="str">
        <f>IFERROR(__xludf.DUMMYFUNCTION("""COMPUTED_VALUE"""),"")</f>
        <v/>
      </c>
      <c r="K194" t="str">
        <f>IFERROR(__xludf.DUMMYFUNCTION("""COMPUTED_VALUE"""),"")</f>
        <v/>
      </c>
      <c r="L194" t="str">
        <f>IFERROR(__xludf.DUMMYFUNCTION("""COMPUTED_VALUE"""),"")</f>
        <v/>
      </c>
      <c r="M194" t="str">
        <f>IFERROR(__xludf.DUMMYFUNCTION("""COMPUTED_VALUE"""),"")</f>
        <v/>
      </c>
      <c r="N194" s="19" t="str">
        <f>IFERROR(__xludf.DUMMYFUNCTION("""COMPUTED_VALUE"""),"https://www.americashealthrankings.org/explore/annual")</f>
        <v>https://www.americashealthrankings.org/explore/annual</v>
      </c>
      <c r="O194" t="str">
        <f>IFERROR(__xludf.DUMMYFUNCTION("""COMPUTED_VALUE"""),"")</f>
        <v/>
      </c>
      <c r="P194" t="str">
        <f>IFERROR(__xludf.DUMMYFUNCTION("""COMPUTED_VALUE"""),"")</f>
        <v/>
      </c>
      <c r="Q194" t="str">
        <f>IFERROR(__xludf.DUMMYFUNCTION("""COMPUTED_VALUE"""),"")</f>
        <v/>
      </c>
      <c r="R194" t="str">
        <f>IFERROR(__xludf.DUMMYFUNCTION("""COMPUTED_VALUE"""),"")</f>
        <v/>
      </c>
      <c r="S194" t="str">
        <f>IFERROR(__xludf.DUMMYFUNCTION("""COMPUTED_VALUE"""),"")</f>
        <v/>
      </c>
      <c r="T194">
        <f>IFERROR(__xludf.DUMMYFUNCTION("""COMPUTED_VALUE"""),1.0)</f>
        <v>1</v>
      </c>
    </row>
    <row r="195">
      <c r="A195" t="str">
        <f>IFERROR(__xludf.DUMMYFUNCTION("""COMPUTED_VALUE"""),"Annual GDP Growth (%)")</f>
        <v>Annual GDP Growth (%)</v>
      </c>
      <c r="B195">
        <f>IFERROR(__xludf.DUMMYFUNCTION("""COMPUTED_VALUE"""),2.3)</f>
        <v>2.3</v>
      </c>
      <c r="C195" s="19" t="str">
        <f>IFERROR(__xludf.DUMMYFUNCTION("""COMPUTED_VALUE"""),"http://www.paho.org/data/index.php/en/indicators/visualization.html")</f>
        <v>http://www.paho.org/data/index.php/en/indicators/visualization.html</v>
      </c>
      <c r="D195" t="str">
        <f>IFERROR(__xludf.DUMMYFUNCTION("""COMPUTED_VALUE"""),"")</f>
        <v/>
      </c>
      <c r="E195" t="str">
        <f>IFERROR(__xludf.DUMMYFUNCTION("""COMPUTED_VALUE"""),"")</f>
        <v/>
      </c>
      <c r="F195">
        <f>IFERROR(__xludf.DUMMYFUNCTION("""COMPUTED_VALUE"""),2017.0)</f>
        <v>2017</v>
      </c>
      <c r="G195" t="str">
        <f>IFERROR(__xludf.DUMMYFUNCTION("""COMPUTED_VALUE"""),"demographics")</f>
        <v>demographics</v>
      </c>
      <c r="H195" t="str">
        <f>IFERROR(__xludf.DUMMYFUNCTION("""COMPUTED_VALUE"""),"")</f>
        <v/>
      </c>
      <c r="I195" s="19" t="str">
        <f>IFERROR(__xludf.DUMMYFUNCTION("""COMPUTED_VALUE"""),"http://www.paho.org/data/index.php/en/indicators/visualization.html")</f>
        <v>http://www.paho.org/data/index.php/en/indicators/visualization.html</v>
      </c>
      <c r="J195" t="str">
        <f>IFERROR(__xludf.DUMMYFUNCTION("""COMPUTED_VALUE"""),"")</f>
        <v/>
      </c>
      <c r="K195" t="str">
        <f>IFERROR(__xludf.DUMMYFUNCTION("""COMPUTED_VALUE"""),"")</f>
        <v/>
      </c>
      <c r="L195" t="str">
        <f>IFERROR(__xludf.DUMMYFUNCTION("""COMPUTED_VALUE"""),"")</f>
        <v/>
      </c>
      <c r="M195" t="str">
        <f>IFERROR(__xludf.DUMMYFUNCTION("""COMPUTED_VALUE"""),"")</f>
        <v/>
      </c>
      <c r="N195" t="str">
        <f>IFERROR(__xludf.DUMMYFUNCTION("""COMPUTED_VALUE"""),"")</f>
        <v/>
      </c>
      <c r="O195" t="str">
        <f>IFERROR(__xludf.DUMMYFUNCTION("""COMPUTED_VALUE"""),"")</f>
        <v/>
      </c>
      <c r="P195" t="str">
        <f>IFERROR(__xludf.DUMMYFUNCTION("""COMPUTED_VALUE"""),"")</f>
        <v/>
      </c>
      <c r="Q195" t="str">
        <f>IFERROR(__xludf.DUMMYFUNCTION("""COMPUTED_VALUE"""),"")</f>
        <v/>
      </c>
      <c r="R195" t="str">
        <f>IFERROR(__xludf.DUMMYFUNCTION("""COMPUTED_VALUE"""),"")</f>
        <v/>
      </c>
      <c r="S195" t="str">
        <f>IFERROR(__xludf.DUMMYFUNCTION("""COMPUTED_VALUE"""),"")</f>
        <v/>
      </c>
      <c r="T195">
        <f>IFERROR(__xludf.DUMMYFUNCTION("""COMPUTED_VALUE"""),1.0)</f>
        <v>1</v>
      </c>
    </row>
    <row r="196">
      <c r="A196" t="str">
        <f>IFERROR(__xludf.DUMMYFUNCTION("""COMPUTED_VALUE"""),"Age dependency ratio")</f>
        <v>Age dependency ratio</v>
      </c>
      <c r="B196" t="str">
        <f>IFERROR(__xludf.DUMMYFUNCTION("""COMPUTED_VALUE"""),"")</f>
        <v/>
      </c>
      <c r="C196" t="str">
        <f>IFERROR(__xludf.DUMMYFUNCTION("""COMPUTED_VALUE"""),"")</f>
        <v/>
      </c>
      <c r="D196" t="str">
        <f>IFERROR(__xludf.DUMMYFUNCTION("""COMPUTED_VALUE"""),"")</f>
        <v/>
      </c>
      <c r="E196" t="str">
        <f>IFERROR(__xludf.DUMMYFUNCTION("""COMPUTED_VALUE"""),"")</f>
        <v/>
      </c>
      <c r="F196" t="str">
        <f>IFERROR(__xludf.DUMMYFUNCTION("""COMPUTED_VALUE"""),"")</f>
        <v/>
      </c>
      <c r="G196" t="str">
        <f>IFERROR(__xludf.DUMMYFUNCTION("""COMPUTED_VALUE"""),"")</f>
        <v/>
      </c>
      <c r="H196" t="str">
        <f>IFERROR(__xludf.DUMMYFUNCTION("""COMPUTED_VALUE"""),"")</f>
        <v/>
      </c>
      <c r="I196" t="str">
        <f>IFERROR(__xludf.DUMMYFUNCTION("""COMPUTED_VALUE"""),"")</f>
        <v/>
      </c>
      <c r="J196" t="str">
        <f>IFERROR(__xludf.DUMMYFUNCTION("""COMPUTED_VALUE"""),"")</f>
        <v/>
      </c>
      <c r="K196" t="str">
        <f>IFERROR(__xludf.DUMMYFUNCTION("""COMPUTED_VALUE"""),"")</f>
        <v/>
      </c>
      <c r="L196" t="str">
        <f>IFERROR(__xludf.DUMMYFUNCTION("""COMPUTED_VALUE"""),"")</f>
        <v/>
      </c>
      <c r="M196" t="str">
        <f>IFERROR(__xludf.DUMMYFUNCTION("""COMPUTED_VALUE"""),"")</f>
        <v/>
      </c>
      <c r="N196" t="str">
        <f>IFERROR(__xludf.DUMMYFUNCTION("""COMPUTED_VALUE"""),"")</f>
        <v/>
      </c>
      <c r="O196" s="19" t="str">
        <f>IFERROR(__xludf.DUMMYFUNCTION("""COMPUTED_VALUE"""),"https://data.worldbank.org/indicator/#health")</f>
        <v>https://data.worldbank.org/indicator/#health</v>
      </c>
      <c r="P196" t="str">
        <f>IFERROR(__xludf.DUMMYFUNCTION("""COMPUTED_VALUE"""),"")</f>
        <v/>
      </c>
      <c r="Q196" t="str">
        <f>IFERROR(__xludf.DUMMYFUNCTION("""COMPUTED_VALUE"""),"")</f>
        <v/>
      </c>
      <c r="R196" t="str">
        <f>IFERROR(__xludf.DUMMYFUNCTION("""COMPUTED_VALUE"""),"")</f>
        <v/>
      </c>
      <c r="S196" t="str">
        <f>IFERROR(__xludf.DUMMYFUNCTION("""COMPUTED_VALUE"""),"")</f>
        <v/>
      </c>
      <c r="T196">
        <f>IFERROR(__xludf.DUMMYFUNCTION("""COMPUTED_VALUE"""),1.0)</f>
        <v>1</v>
      </c>
    </row>
    <row r="197">
      <c r="A197" t="str">
        <f>IFERROR(__xludf.DUMMYFUNCTION("""COMPUTED_VALUE"""),"Concentrated disadvantage")</f>
        <v>Concentrated disadvantage</v>
      </c>
      <c r="B197" t="str">
        <f>IFERROR(__xludf.DUMMYFUNCTION("""COMPUTED_VALUE"""),"")</f>
        <v/>
      </c>
      <c r="C197" t="str">
        <f>IFERROR(__xludf.DUMMYFUNCTION("""COMPUTED_VALUE"""),"")</f>
        <v/>
      </c>
      <c r="D197" t="str">
        <f>IFERROR(__xludf.DUMMYFUNCTION("""COMPUTED_VALUE"""),"")</f>
        <v/>
      </c>
      <c r="E197" t="str">
        <f>IFERROR(__xludf.DUMMYFUNCTION("""COMPUTED_VALUE"""),"")</f>
        <v/>
      </c>
      <c r="F197" t="str">
        <f>IFERROR(__xludf.DUMMYFUNCTION("""COMPUTED_VALUE"""),"")</f>
        <v/>
      </c>
      <c r="G197" t="str">
        <f>IFERROR(__xludf.DUMMYFUNCTION("""COMPUTED_VALUE"""),"")</f>
        <v/>
      </c>
      <c r="H197" t="str">
        <f>IFERROR(__xludf.DUMMYFUNCTION("""COMPUTED_VALUE"""),"")</f>
        <v/>
      </c>
      <c r="I197" t="str">
        <f>IFERROR(__xludf.DUMMYFUNCTION("""COMPUTED_VALUE"""),"")</f>
        <v/>
      </c>
      <c r="J197" t="str">
        <f>IFERROR(__xludf.DUMMYFUNCTION("""COMPUTED_VALUE"""),"")</f>
        <v/>
      </c>
      <c r="K197" t="str">
        <f>IFERROR(__xludf.DUMMYFUNCTION("""COMPUTED_VALUE"""),"")</f>
        <v/>
      </c>
      <c r="L197" t="str">
        <f>IFERROR(__xludf.DUMMYFUNCTION("""COMPUTED_VALUE"""),"")</f>
        <v/>
      </c>
      <c r="M197" t="str">
        <f>IFERROR(__xludf.DUMMYFUNCTION("""COMPUTED_VALUE"""),"")</f>
        <v/>
      </c>
      <c r="N197" s="19" t="str">
        <f>IFERROR(__xludf.DUMMYFUNCTION("""COMPUTED_VALUE"""),"https://www.americashealthrankings.org/explore/annual")</f>
        <v>https://www.americashealthrankings.org/explore/annual</v>
      </c>
      <c r="O197" t="str">
        <f>IFERROR(__xludf.DUMMYFUNCTION("""COMPUTED_VALUE"""),"")</f>
        <v/>
      </c>
      <c r="P197" t="str">
        <f>IFERROR(__xludf.DUMMYFUNCTION("""COMPUTED_VALUE"""),"")</f>
        <v/>
      </c>
      <c r="Q197" t="str">
        <f>IFERROR(__xludf.DUMMYFUNCTION("""COMPUTED_VALUE"""),"")</f>
        <v/>
      </c>
      <c r="R197" t="str">
        <f>IFERROR(__xludf.DUMMYFUNCTION("""COMPUTED_VALUE"""),"")</f>
        <v/>
      </c>
      <c r="S197" t="str">
        <f>IFERROR(__xludf.DUMMYFUNCTION("""COMPUTED_VALUE"""),"")</f>
        <v/>
      </c>
      <c r="T197">
        <f>IFERROR(__xludf.DUMMYFUNCTION("""COMPUTED_VALUE"""),1.0)</f>
        <v>1</v>
      </c>
    </row>
    <row r="198">
      <c r="A198" t="str">
        <f>IFERROR(__xludf.DUMMYFUNCTION("""COMPUTED_VALUE"""),"Severe housing problems")</f>
        <v>Severe housing problems</v>
      </c>
      <c r="B198" t="str">
        <f>IFERROR(__xludf.DUMMYFUNCTION("""COMPUTED_VALUE"""),"")</f>
        <v/>
      </c>
      <c r="C198" t="str">
        <f>IFERROR(__xludf.DUMMYFUNCTION("""COMPUTED_VALUE"""),"")</f>
        <v/>
      </c>
      <c r="D198" t="str">
        <f>IFERROR(__xludf.DUMMYFUNCTION("""COMPUTED_VALUE"""),"")</f>
        <v/>
      </c>
      <c r="E198" t="str">
        <f>IFERROR(__xludf.DUMMYFUNCTION("""COMPUTED_VALUE"""),"")</f>
        <v/>
      </c>
      <c r="F198" t="str">
        <f>IFERROR(__xludf.DUMMYFUNCTION("""COMPUTED_VALUE"""),"")</f>
        <v/>
      </c>
      <c r="G198" t="str">
        <f>IFERROR(__xludf.DUMMYFUNCTION("""COMPUTED_VALUE"""),"")</f>
        <v/>
      </c>
      <c r="H198" t="str">
        <f>IFERROR(__xludf.DUMMYFUNCTION("""COMPUTED_VALUE"""),"")</f>
        <v/>
      </c>
      <c r="I198" t="str">
        <f>IFERROR(__xludf.DUMMYFUNCTION("""COMPUTED_VALUE"""),"")</f>
        <v/>
      </c>
      <c r="J198" t="str">
        <f>IFERROR(__xludf.DUMMYFUNCTION("""COMPUTED_VALUE"""),"")</f>
        <v/>
      </c>
      <c r="K198" t="str">
        <f>IFERROR(__xludf.DUMMYFUNCTION("""COMPUTED_VALUE"""),"")</f>
        <v/>
      </c>
      <c r="L198" t="str">
        <f>IFERROR(__xludf.DUMMYFUNCTION("""COMPUTED_VALUE"""),"")</f>
        <v/>
      </c>
      <c r="M198" t="str">
        <f>IFERROR(__xludf.DUMMYFUNCTION("""COMPUTED_VALUE"""),"")</f>
        <v/>
      </c>
      <c r="N198" s="19" t="str">
        <f>IFERROR(__xludf.DUMMYFUNCTION("""COMPUTED_VALUE"""),"https://www.americashealthrankings.org/explore/annual")</f>
        <v>https://www.americashealthrankings.org/explore/annual</v>
      </c>
      <c r="O198" t="str">
        <f>IFERROR(__xludf.DUMMYFUNCTION("""COMPUTED_VALUE"""),"")</f>
        <v/>
      </c>
      <c r="P198" t="str">
        <f>IFERROR(__xludf.DUMMYFUNCTION("""COMPUTED_VALUE"""),"")</f>
        <v/>
      </c>
      <c r="Q198" t="str">
        <f>IFERROR(__xludf.DUMMYFUNCTION("""COMPUTED_VALUE"""),"")</f>
        <v/>
      </c>
      <c r="R198" t="str">
        <f>IFERROR(__xludf.DUMMYFUNCTION("""COMPUTED_VALUE"""),"")</f>
        <v/>
      </c>
      <c r="S198" t="str">
        <f>IFERROR(__xludf.DUMMYFUNCTION("""COMPUTED_VALUE"""),"")</f>
        <v/>
      </c>
      <c r="T198">
        <f>IFERROR(__xludf.DUMMYFUNCTION("""COMPUTED_VALUE"""),1.0)</f>
        <v>1</v>
      </c>
    </row>
    <row r="199">
      <c r="A199" t="str">
        <f>IFERROR(__xludf.DUMMYFUNCTION("""COMPUTED_VALUE"""),"Neighborhood amenities")</f>
        <v>Neighborhood amenities</v>
      </c>
      <c r="B199" t="str">
        <f>IFERROR(__xludf.DUMMYFUNCTION("""COMPUTED_VALUE"""),"")</f>
        <v/>
      </c>
      <c r="C199" t="str">
        <f>IFERROR(__xludf.DUMMYFUNCTION("""COMPUTED_VALUE"""),"")</f>
        <v/>
      </c>
      <c r="D199" t="str">
        <f>IFERROR(__xludf.DUMMYFUNCTION("""COMPUTED_VALUE"""),"")</f>
        <v/>
      </c>
      <c r="E199" t="str">
        <f>IFERROR(__xludf.DUMMYFUNCTION("""COMPUTED_VALUE"""),"")</f>
        <v/>
      </c>
      <c r="F199" t="str">
        <f>IFERROR(__xludf.DUMMYFUNCTION("""COMPUTED_VALUE"""),"")</f>
        <v/>
      </c>
      <c r="G199" t="str">
        <f>IFERROR(__xludf.DUMMYFUNCTION("""COMPUTED_VALUE"""),"")</f>
        <v/>
      </c>
      <c r="H199" t="str">
        <f>IFERROR(__xludf.DUMMYFUNCTION("""COMPUTED_VALUE"""),"")</f>
        <v/>
      </c>
      <c r="I199" t="str">
        <f>IFERROR(__xludf.DUMMYFUNCTION("""COMPUTED_VALUE"""),"")</f>
        <v/>
      </c>
      <c r="J199" t="str">
        <f>IFERROR(__xludf.DUMMYFUNCTION("""COMPUTED_VALUE"""),"")</f>
        <v/>
      </c>
      <c r="K199" t="str">
        <f>IFERROR(__xludf.DUMMYFUNCTION("""COMPUTED_VALUE"""),"")</f>
        <v/>
      </c>
      <c r="L199" t="str">
        <f>IFERROR(__xludf.DUMMYFUNCTION("""COMPUTED_VALUE"""),"")</f>
        <v/>
      </c>
      <c r="M199" t="str">
        <f>IFERROR(__xludf.DUMMYFUNCTION("""COMPUTED_VALUE"""),"")</f>
        <v/>
      </c>
      <c r="N199" s="19" t="str">
        <f>IFERROR(__xludf.DUMMYFUNCTION("""COMPUTED_VALUE"""),"https://www.americashealthrankings.org/explore/annual")</f>
        <v>https://www.americashealthrankings.org/explore/annual</v>
      </c>
      <c r="O199" t="str">
        <f>IFERROR(__xludf.DUMMYFUNCTION("""COMPUTED_VALUE"""),"")</f>
        <v/>
      </c>
      <c r="P199" t="str">
        <f>IFERROR(__xludf.DUMMYFUNCTION("""COMPUTED_VALUE"""),"")</f>
        <v/>
      </c>
      <c r="Q199" t="str">
        <f>IFERROR(__xludf.DUMMYFUNCTION("""COMPUTED_VALUE"""),"")</f>
        <v/>
      </c>
      <c r="R199" t="str">
        <f>IFERROR(__xludf.DUMMYFUNCTION("""COMPUTED_VALUE"""),"")</f>
        <v/>
      </c>
      <c r="S199" t="str">
        <f>IFERROR(__xludf.DUMMYFUNCTION("""COMPUTED_VALUE"""),"")</f>
        <v/>
      </c>
      <c r="T199">
        <f>IFERROR(__xludf.DUMMYFUNCTION("""COMPUTED_VALUE"""),1.0)</f>
        <v>1</v>
      </c>
    </row>
    <row r="200">
      <c r="A200" t="str">
        <f>IFERROR(__xludf.DUMMYFUNCTION("""COMPUTED_VALUE"""),"Homeless family households")</f>
        <v>Homeless family households</v>
      </c>
      <c r="B200" t="str">
        <f>IFERROR(__xludf.DUMMYFUNCTION("""COMPUTED_VALUE"""),"")</f>
        <v/>
      </c>
      <c r="C200" t="str">
        <f>IFERROR(__xludf.DUMMYFUNCTION("""COMPUTED_VALUE"""),"")</f>
        <v/>
      </c>
      <c r="D200" t="str">
        <f>IFERROR(__xludf.DUMMYFUNCTION("""COMPUTED_VALUE"""),"")</f>
        <v/>
      </c>
      <c r="E200" t="str">
        <f>IFERROR(__xludf.DUMMYFUNCTION("""COMPUTED_VALUE"""),"")</f>
        <v/>
      </c>
      <c r="F200" t="str">
        <f>IFERROR(__xludf.DUMMYFUNCTION("""COMPUTED_VALUE"""),"")</f>
        <v/>
      </c>
      <c r="G200" t="str">
        <f>IFERROR(__xludf.DUMMYFUNCTION("""COMPUTED_VALUE"""),"")</f>
        <v/>
      </c>
      <c r="H200" t="str">
        <f>IFERROR(__xludf.DUMMYFUNCTION("""COMPUTED_VALUE"""),"")</f>
        <v/>
      </c>
      <c r="I200" t="str">
        <f>IFERROR(__xludf.DUMMYFUNCTION("""COMPUTED_VALUE"""),"")</f>
        <v/>
      </c>
      <c r="J200" t="str">
        <f>IFERROR(__xludf.DUMMYFUNCTION("""COMPUTED_VALUE"""),"")</f>
        <v/>
      </c>
      <c r="K200" t="str">
        <f>IFERROR(__xludf.DUMMYFUNCTION("""COMPUTED_VALUE"""),"")</f>
        <v/>
      </c>
      <c r="L200" t="str">
        <f>IFERROR(__xludf.DUMMYFUNCTION("""COMPUTED_VALUE"""),"")</f>
        <v/>
      </c>
      <c r="M200" t="str">
        <f>IFERROR(__xludf.DUMMYFUNCTION("""COMPUTED_VALUE"""),"")</f>
        <v/>
      </c>
      <c r="N200" s="19" t="str">
        <f>IFERROR(__xludf.DUMMYFUNCTION("""COMPUTED_VALUE"""),"https://www.americashealthrankings.org/explore/annual")</f>
        <v>https://www.americashealthrankings.org/explore/annual</v>
      </c>
      <c r="O200" t="str">
        <f>IFERROR(__xludf.DUMMYFUNCTION("""COMPUTED_VALUE"""),"")</f>
        <v/>
      </c>
      <c r="P200" t="str">
        <f>IFERROR(__xludf.DUMMYFUNCTION("""COMPUTED_VALUE"""),"")</f>
        <v/>
      </c>
      <c r="Q200" t="str">
        <f>IFERROR(__xludf.DUMMYFUNCTION("""COMPUTED_VALUE"""),"")</f>
        <v/>
      </c>
      <c r="R200" t="str">
        <f>IFERROR(__xludf.DUMMYFUNCTION("""COMPUTED_VALUE"""),"")</f>
        <v/>
      </c>
      <c r="S200" t="str">
        <f>IFERROR(__xludf.DUMMYFUNCTION("""COMPUTED_VALUE"""),"")</f>
        <v/>
      </c>
      <c r="T200">
        <f>IFERROR(__xludf.DUMMYFUNCTION("""COMPUTED_VALUE"""),1.0)</f>
        <v>1</v>
      </c>
    </row>
    <row r="201">
      <c r="A201" t="str">
        <f>IFERROR(__xludf.DUMMYFUNCTION("""COMPUTED_VALUE"""),"Net migration")</f>
        <v>Net migration</v>
      </c>
      <c r="B201" t="str">
        <f>IFERROR(__xludf.DUMMYFUNCTION("""COMPUTED_VALUE"""),"")</f>
        <v/>
      </c>
      <c r="C201" t="str">
        <f>IFERROR(__xludf.DUMMYFUNCTION("""COMPUTED_VALUE"""),"")</f>
        <v/>
      </c>
      <c r="D201" t="str">
        <f>IFERROR(__xludf.DUMMYFUNCTION("""COMPUTED_VALUE"""),"")</f>
        <v/>
      </c>
      <c r="E201" t="str">
        <f>IFERROR(__xludf.DUMMYFUNCTION("""COMPUTED_VALUE"""),"")</f>
        <v/>
      </c>
      <c r="F201" t="str">
        <f>IFERROR(__xludf.DUMMYFUNCTION("""COMPUTED_VALUE"""),"")</f>
        <v/>
      </c>
      <c r="G201" t="str">
        <f>IFERROR(__xludf.DUMMYFUNCTION("""COMPUTED_VALUE"""),"")</f>
        <v/>
      </c>
      <c r="H201" t="str">
        <f>IFERROR(__xludf.DUMMYFUNCTION("""COMPUTED_VALUE"""),"")</f>
        <v/>
      </c>
      <c r="I201" t="str">
        <f>IFERROR(__xludf.DUMMYFUNCTION("""COMPUTED_VALUE"""),"")</f>
        <v/>
      </c>
      <c r="J201" t="str">
        <f>IFERROR(__xludf.DUMMYFUNCTION("""COMPUTED_VALUE"""),"")</f>
        <v/>
      </c>
      <c r="K201" t="str">
        <f>IFERROR(__xludf.DUMMYFUNCTION("""COMPUTED_VALUE"""),"")</f>
        <v/>
      </c>
      <c r="L201" t="str">
        <f>IFERROR(__xludf.DUMMYFUNCTION("""COMPUTED_VALUE"""),"")</f>
        <v/>
      </c>
      <c r="M201" t="str">
        <f>IFERROR(__xludf.DUMMYFUNCTION("""COMPUTED_VALUE"""),"")</f>
        <v/>
      </c>
      <c r="N201" t="str">
        <f>IFERROR(__xludf.DUMMYFUNCTION("""COMPUTED_VALUE"""),"")</f>
        <v/>
      </c>
      <c r="O201" s="19" t="str">
        <f>IFERROR(__xludf.DUMMYFUNCTION("""COMPUTED_VALUE"""),"https://data.worldbank.org/indicator/#health")</f>
        <v>https://data.worldbank.org/indicator/#health</v>
      </c>
      <c r="P201" t="str">
        <f>IFERROR(__xludf.DUMMYFUNCTION("""COMPUTED_VALUE"""),"")</f>
        <v/>
      </c>
      <c r="Q201" t="str">
        <f>IFERROR(__xludf.DUMMYFUNCTION("""COMPUTED_VALUE"""),"")</f>
        <v/>
      </c>
      <c r="R201" t="str">
        <f>IFERROR(__xludf.DUMMYFUNCTION("""COMPUTED_VALUE"""),"")</f>
        <v/>
      </c>
      <c r="S201" t="str">
        <f>IFERROR(__xludf.DUMMYFUNCTION("""COMPUTED_VALUE"""),"")</f>
        <v/>
      </c>
      <c r="T201">
        <f>IFERROR(__xludf.DUMMYFUNCTION("""COMPUTED_VALUE"""),1.0)</f>
        <v>1</v>
      </c>
    </row>
    <row r="202">
      <c r="A202" t="str">
        <f>IFERROR(__xludf.DUMMYFUNCTION("""COMPUTED_VALUE"""),"Refugee population by country or territory of origin")</f>
        <v>Refugee population by country or territory of origin</v>
      </c>
      <c r="B202" t="str">
        <f>IFERROR(__xludf.DUMMYFUNCTION("""COMPUTED_VALUE"""),"")</f>
        <v/>
      </c>
      <c r="C202" t="str">
        <f>IFERROR(__xludf.DUMMYFUNCTION("""COMPUTED_VALUE"""),"")</f>
        <v/>
      </c>
      <c r="D202" t="str">
        <f>IFERROR(__xludf.DUMMYFUNCTION("""COMPUTED_VALUE"""),"")</f>
        <v/>
      </c>
      <c r="E202" t="str">
        <f>IFERROR(__xludf.DUMMYFUNCTION("""COMPUTED_VALUE"""),"")</f>
        <v/>
      </c>
      <c r="F202" t="str">
        <f>IFERROR(__xludf.DUMMYFUNCTION("""COMPUTED_VALUE"""),"")</f>
        <v/>
      </c>
      <c r="G202" t="str">
        <f>IFERROR(__xludf.DUMMYFUNCTION("""COMPUTED_VALUE"""),"")</f>
        <v/>
      </c>
      <c r="H202" t="str">
        <f>IFERROR(__xludf.DUMMYFUNCTION("""COMPUTED_VALUE"""),"Also ""International migrant stock"" which extends beyond refugees")</f>
        <v>Also "International migrant stock" which extends beyond refugees</v>
      </c>
      <c r="I202" t="str">
        <f>IFERROR(__xludf.DUMMYFUNCTION("""COMPUTED_VALUE"""),"")</f>
        <v/>
      </c>
      <c r="J202" t="str">
        <f>IFERROR(__xludf.DUMMYFUNCTION("""COMPUTED_VALUE"""),"")</f>
        <v/>
      </c>
      <c r="K202" t="str">
        <f>IFERROR(__xludf.DUMMYFUNCTION("""COMPUTED_VALUE"""),"")</f>
        <v/>
      </c>
      <c r="L202" t="str">
        <f>IFERROR(__xludf.DUMMYFUNCTION("""COMPUTED_VALUE"""),"")</f>
        <v/>
      </c>
      <c r="M202" t="str">
        <f>IFERROR(__xludf.DUMMYFUNCTION("""COMPUTED_VALUE"""),"")</f>
        <v/>
      </c>
      <c r="N202" t="str">
        <f>IFERROR(__xludf.DUMMYFUNCTION("""COMPUTED_VALUE"""),"")</f>
        <v/>
      </c>
      <c r="O202" s="19" t="str">
        <f>IFERROR(__xludf.DUMMYFUNCTION("""COMPUTED_VALUE"""),"https://data.worldbank.org/indicator/#health")</f>
        <v>https://data.worldbank.org/indicator/#health</v>
      </c>
      <c r="P202" t="str">
        <f>IFERROR(__xludf.DUMMYFUNCTION("""COMPUTED_VALUE"""),"")</f>
        <v/>
      </c>
      <c r="Q202" t="str">
        <f>IFERROR(__xludf.DUMMYFUNCTION("""COMPUTED_VALUE"""),"")</f>
        <v/>
      </c>
      <c r="R202" t="str">
        <f>IFERROR(__xludf.DUMMYFUNCTION("""COMPUTED_VALUE"""),"")</f>
        <v/>
      </c>
      <c r="S202" t="str">
        <f>IFERROR(__xludf.DUMMYFUNCTION("""COMPUTED_VALUE"""),"")</f>
        <v/>
      </c>
      <c r="T202">
        <f>IFERROR(__xludf.DUMMYFUNCTION("""COMPUTED_VALUE"""),1.0)</f>
        <v>1</v>
      </c>
    </row>
    <row r="203">
      <c r="A203" t="str">
        <f>IFERROR(__xludf.DUMMYFUNCTION("""COMPUTED_VALUE"""),"Average age of death")</f>
        <v>Average age of death</v>
      </c>
      <c r="B203" t="str">
        <f>IFERROR(__xludf.DUMMYFUNCTION("""COMPUTED_VALUE"""),"")</f>
        <v/>
      </c>
      <c r="C203" t="str">
        <f>IFERROR(__xludf.DUMMYFUNCTION("""COMPUTED_VALUE"""),"")</f>
        <v/>
      </c>
      <c r="D203" t="str">
        <f>IFERROR(__xludf.DUMMYFUNCTION("""COMPUTED_VALUE"""),"")</f>
        <v/>
      </c>
      <c r="E203" t="str">
        <f>IFERROR(__xludf.DUMMYFUNCTION("""COMPUTED_VALUE"""),"")</f>
        <v/>
      </c>
      <c r="F203" t="str">
        <f>IFERROR(__xludf.DUMMYFUNCTION("""COMPUTED_VALUE"""),"")</f>
        <v/>
      </c>
      <c r="G203" t="str">
        <f>IFERROR(__xludf.DUMMYFUNCTION("""COMPUTED_VALUE"""),"")</f>
        <v/>
      </c>
      <c r="H203" t="str">
        <f>IFERROR(__xludf.DUMMYFUNCTION("""COMPUTED_VALUE"""),"")</f>
        <v/>
      </c>
      <c r="I203" t="str">
        <f>IFERROR(__xludf.DUMMYFUNCTION("""COMPUTED_VALUE"""),"")</f>
        <v/>
      </c>
      <c r="J203" t="str">
        <f>IFERROR(__xludf.DUMMYFUNCTION("""COMPUTED_VALUE"""),"")</f>
        <v/>
      </c>
      <c r="K203" t="str">
        <f>IFERROR(__xludf.DUMMYFUNCTION("""COMPUTED_VALUE"""),"")</f>
        <v/>
      </c>
      <c r="L203" s="19" t="str">
        <f>IFERROR(__xludf.DUMMYFUNCTION("""COMPUTED_VALUE"""),"https://usafacts.org/missions/promote-welfare/12")</f>
        <v>https://usafacts.org/missions/promote-welfare/12</v>
      </c>
      <c r="M203" t="str">
        <f>IFERROR(__xludf.DUMMYFUNCTION("""COMPUTED_VALUE"""),"")</f>
        <v/>
      </c>
      <c r="N203" t="str">
        <f>IFERROR(__xludf.DUMMYFUNCTION("""COMPUTED_VALUE"""),"")</f>
        <v/>
      </c>
      <c r="O203" t="str">
        <f>IFERROR(__xludf.DUMMYFUNCTION("""COMPUTED_VALUE"""),"")</f>
        <v/>
      </c>
      <c r="P203" t="str">
        <f>IFERROR(__xludf.DUMMYFUNCTION("""COMPUTED_VALUE"""),"")</f>
        <v/>
      </c>
      <c r="Q203" t="str">
        <f>IFERROR(__xludf.DUMMYFUNCTION("""COMPUTED_VALUE"""),"")</f>
        <v/>
      </c>
      <c r="R203" t="str">
        <f>IFERROR(__xludf.DUMMYFUNCTION("""COMPUTED_VALUE"""),"")</f>
        <v/>
      </c>
      <c r="S203" t="str">
        <f>IFERROR(__xludf.DUMMYFUNCTION("""COMPUTED_VALUE"""),"")</f>
        <v/>
      </c>
      <c r="T203">
        <f>IFERROR(__xludf.DUMMYFUNCTION("""COMPUTED_VALUE"""),1.0)</f>
        <v>1</v>
      </c>
    </row>
    <row r="204">
      <c r="A204" t="str">
        <f>IFERROR(__xludf.DUMMYFUNCTION("""COMPUTED_VALUE"""),"Mortality from firearm related incidents")</f>
        <v>Mortality from firearm related incidents</v>
      </c>
      <c r="B204" t="str">
        <f>IFERROR(__xludf.DUMMYFUNCTION("""COMPUTED_VALUE"""),"")</f>
        <v/>
      </c>
      <c r="C204" t="str">
        <f>IFERROR(__xludf.DUMMYFUNCTION("""COMPUTED_VALUE"""),"")</f>
        <v/>
      </c>
      <c r="D204" t="str">
        <f>IFERROR(__xludf.DUMMYFUNCTION("""COMPUTED_VALUE"""),"")</f>
        <v/>
      </c>
      <c r="E204" t="str">
        <f>IFERROR(__xludf.DUMMYFUNCTION("""COMPUTED_VALUE"""),"")</f>
        <v/>
      </c>
      <c r="F204" t="str">
        <f>IFERROR(__xludf.DUMMYFUNCTION("""COMPUTED_VALUE"""),"")</f>
        <v/>
      </c>
      <c r="G204" t="str">
        <f>IFERROR(__xludf.DUMMYFUNCTION("""COMPUTED_VALUE"""),"")</f>
        <v/>
      </c>
      <c r="H204" t="str">
        <f>IFERROR(__xludf.DUMMYFUNCTION("""COMPUTED_VALUE"""),"")</f>
        <v/>
      </c>
      <c r="I204" t="str">
        <f>IFERROR(__xludf.DUMMYFUNCTION("""COMPUTED_VALUE"""),"")</f>
        <v/>
      </c>
      <c r="J204" t="str">
        <f>IFERROR(__xludf.DUMMYFUNCTION("""COMPUTED_VALUE"""),"")</f>
        <v/>
      </c>
      <c r="K204" s="19" t="str">
        <f>IFERROR(__xludf.DUMMYFUNCTION("""COMPUTED_VALUE"""),"https://stats.oecd.org/index.aspx?DataSetCode=HEALTH_STAT")</f>
        <v>https://stats.oecd.org/index.aspx?DataSetCode=HEALTH_STAT</v>
      </c>
      <c r="L204" t="str">
        <f>IFERROR(__xludf.DUMMYFUNCTION("""COMPUTED_VALUE"""),"")</f>
        <v/>
      </c>
      <c r="M204" t="str">
        <f>IFERROR(__xludf.DUMMYFUNCTION("""COMPUTED_VALUE"""),"")</f>
        <v/>
      </c>
      <c r="N204" t="str">
        <f>IFERROR(__xludf.DUMMYFUNCTION("""COMPUTED_VALUE"""),"")</f>
        <v/>
      </c>
      <c r="O204" t="str">
        <f>IFERROR(__xludf.DUMMYFUNCTION("""COMPUTED_VALUE"""),"")</f>
        <v/>
      </c>
      <c r="P204" t="str">
        <f>IFERROR(__xludf.DUMMYFUNCTION("""COMPUTED_VALUE"""),"")</f>
        <v/>
      </c>
      <c r="Q204" t="str">
        <f>IFERROR(__xludf.DUMMYFUNCTION("""COMPUTED_VALUE"""),"")</f>
        <v/>
      </c>
      <c r="R204" t="str">
        <f>IFERROR(__xludf.DUMMYFUNCTION("""COMPUTED_VALUE"""),"")</f>
        <v/>
      </c>
      <c r="S204" t="str">
        <f>IFERROR(__xludf.DUMMYFUNCTION("""COMPUTED_VALUE"""),"")</f>
        <v/>
      </c>
      <c r="T204">
        <f>IFERROR(__xludf.DUMMYFUNCTION("""COMPUTED_VALUE"""),1.0)</f>
        <v>1</v>
      </c>
    </row>
    <row r="205">
      <c r="A205" t="str">
        <f>IFERROR(__xludf.DUMMYFUNCTION("""COMPUTED_VALUE"""),"Mortality related to criminal justice system involvement")</f>
        <v>Mortality related to criminal justice system involvement</v>
      </c>
      <c r="B205" t="str">
        <f>IFERROR(__xludf.DUMMYFUNCTION("""COMPUTED_VALUE"""),"")</f>
        <v/>
      </c>
      <c r="C205" t="str">
        <f>IFERROR(__xludf.DUMMYFUNCTION("""COMPUTED_VALUE"""),"")</f>
        <v/>
      </c>
      <c r="D205" t="str">
        <f>IFERROR(__xludf.DUMMYFUNCTION("""COMPUTED_VALUE"""),"")</f>
        <v/>
      </c>
      <c r="E205" t="str">
        <f>IFERROR(__xludf.DUMMYFUNCTION("""COMPUTED_VALUE"""),"")</f>
        <v/>
      </c>
      <c r="F205" t="str">
        <f>IFERROR(__xludf.DUMMYFUNCTION("""COMPUTED_VALUE"""),"")</f>
        <v/>
      </c>
      <c r="G205" t="str">
        <f>IFERROR(__xludf.DUMMYFUNCTION("""COMPUTED_VALUE"""),"")</f>
        <v/>
      </c>
      <c r="H205" t="str">
        <f>IFERROR(__xludf.DUMMYFUNCTION("""COMPUTED_VALUE"""),"")</f>
        <v/>
      </c>
      <c r="I205" t="str">
        <f>IFERROR(__xludf.DUMMYFUNCTION("""COMPUTED_VALUE"""),"")</f>
        <v/>
      </c>
      <c r="J205" t="str">
        <f>IFERROR(__xludf.DUMMYFUNCTION("""COMPUTED_VALUE"""),"")</f>
        <v/>
      </c>
      <c r="K205" s="19" t="str">
        <f>IFERROR(__xludf.DUMMYFUNCTION("""COMPUTED_VALUE"""),"https://stats.oecd.org/index.aspx?DataSetCode=HEALTH_STAT")</f>
        <v>https://stats.oecd.org/index.aspx?DataSetCode=HEALTH_STAT</v>
      </c>
      <c r="L205" t="str">
        <f>IFERROR(__xludf.DUMMYFUNCTION("""COMPUTED_VALUE"""),"")</f>
        <v/>
      </c>
      <c r="M205" t="str">
        <f>IFERROR(__xludf.DUMMYFUNCTION("""COMPUTED_VALUE"""),"")</f>
        <v/>
      </c>
      <c r="N205" t="str">
        <f>IFERROR(__xludf.DUMMYFUNCTION("""COMPUTED_VALUE"""),"")</f>
        <v/>
      </c>
      <c r="O205" t="str">
        <f>IFERROR(__xludf.DUMMYFUNCTION("""COMPUTED_VALUE"""),"")</f>
        <v/>
      </c>
      <c r="P205" t="str">
        <f>IFERROR(__xludf.DUMMYFUNCTION("""COMPUTED_VALUE"""),"")</f>
        <v/>
      </c>
      <c r="Q205" t="str">
        <f>IFERROR(__xludf.DUMMYFUNCTION("""COMPUTED_VALUE"""),"")</f>
        <v/>
      </c>
      <c r="R205" t="str">
        <f>IFERROR(__xludf.DUMMYFUNCTION("""COMPUTED_VALUE"""),"")</f>
        <v/>
      </c>
      <c r="S205" t="str">
        <f>IFERROR(__xludf.DUMMYFUNCTION("""COMPUTED_VALUE"""),"")</f>
        <v/>
      </c>
      <c r="T205">
        <f>IFERROR(__xludf.DUMMYFUNCTION("""COMPUTED_VALUE"""),1.0)</f>
        <v>1</v>
      </c>
    </row>
    <row r="206">
      <c r="A206" t="str">
        <f>IFERROR(__xludf.DUMMYFUNCTION("""COMPUTED_VALUE"""),"Mortality from domestic terrorism")</f>
        <v>Mortality from domestic terrorism</v>
      </c>
      <c r="B206" t="str">
        <f>IFERROR(__xludf.DUMMYFUNCTION("""COMPUTED_VALUE"""),"")</f>
        <v/>
      </c>
      <c r="C206" t="str">
        <f>IFERROR(__xludf.DUMMYFUNCTION("""COMPUTED_VALUE"""),"")</f>
        <v/>
      </c>
      <c r="D206" t="str">
        <f>IFERROR(__xludf.DUMMYFUNCTION("""COMPUTED_VALUE"""),"")</f>
        <v/>
      </c>
      <c r="E206" t="str">
        <f>IFERROR(__xludf.DUMMYFUNCTION("""COMPUTED_VALUE"""),"")</f>
        <v/>
      </c>
      <c r="F206" t="str">
        <f>IFERROR(__xludf.DUMMYFUNCTION("""COMPUTED_VALUE"""),"")</f>
        <v/>
      </c>
      <c r="G206" t="str">
        <f>IFERROR(__xludf.DUMMYFUNCTION("""COMPUTED_VALUE"""),"")</f>
        <v/>
      </c>
      <c r="H206" t="str">
        <f>IFERROR(__xludf.DUMMYFUNCTION("""COMPUTED_VALUE"""),"")</f>
        <v/>
      </c>
      <c r="I206" t="str">
        <f>IFERROR(__xludf.DUMMYFUNCTION("""COMPUTED_VALUE"""),"")</f>
        <v/>
      </c>
      <c r="J206" t="str">
        <f>IFERROR(__xludf.DUMMYFUNCTION("""COMPUTED_VALUE"""),"")</f>
        <v/>
      </c>
      <c r="K206" s="19" t="str">
        <f>IFERROR(__xludf.DUMMYFUNCTION("""COMPUTED_VALUE"""),"https://stats.oecd.org/index.aspx?DataSetCode=HEALTH_STAT")</f>
        <v>https://stats.oecd.org/index.aspx?DataSetCode=HEALTH_STAT</v>
      </c>
      <c r="L206" t="str">
        <f>IFERROR(__xludf.DUMMYFUNCTION("""COMPUTED_VALUE"""),"")</f>
        <v/>
      </c>
      <c r="M206" t="str">
        <f>IFERROR(__xludf.DUMMYFUNCTION("""COMPUTED_VALUE"""),"")</f>
        <v/>
      </c>
      <c r="N206" t="str">
        <f>IFERROR(__xludf.DUMMYFUNCTION("""COMPUTED_VALUE"""),"")</f>
        <v/>
      </c>
      <c r="O206" t="str">
        <f>IFERROR(__xludf.DUMMYFUNCTION("""COMPUTED_VALUE"""),"")</f>
        <v/>
      </c>
      <c r="P206" t="str">
        <f>IFERROR(__xludf.DUMMYFUNCTION("""COMPUTED_VALUE"""),"")</f>
        <v/>
      </c>
      <c r="Q206" t="str">
        <f>IFERROR(__xludf.DUMMYFUNCTION("""COMPUTED_VALUE"""),"")</f>
        <v/>
      </c>
      <c r="R206" t="str">
        <f>IFERROR(__xludf.DUMMYFUNCTION("""COMPUTED_VALUE"""),"")</f>
        <v/>
      </c>
      <c r="S206" t="str">
        <f>IFERROR(__xludf.DUMMYFUNCTION("""COMPUTED_VALUE"""),"")</f>
        <v/>
      </c>
      <c r="T206">
        <f>IFERROR(__xludf.DUMMYFUNCTION("""COMPUTED_VALUE"""),1.0)</f>
        <v>1</v>
      </c>
    </row>
    <row r="207">
      <c r="A207" t="str">
        <f>IFERROR(__xludf.DUMMYFUNCTION("""COMPUTED_VALUE"""),"Mortality from military service")</f>
        <v>Mortality from military service</v>
      </c>
      <c r="B207" t="str">
        <f>IFERROR(__xludf.DUMMYFUNCTION("""COMPUTED_VALUE"""),"")</f>
        <v/>
      </c>
      <c r="C207" t="str">
        <f>IFERROR(__xludf.DUMMYFUNCTION("""COMPUTED_VALUE"""),"")</f>
        <v/>
      </c>
      <c r="D207" t="str">
        <f>IFERROR(__xludf.DUMMYFUNCTION("""COMPUTED_VALUE"""),"")</f>
        <v/>
      </c>
      <c r="E207" t="str">
        <f>IFERROR(__xludf.DUMMYFUNCTION("""COMPUTED_VALUE"""),"")</f>
        <v/>
      </c>
      <c r="F207" t="str">
        <f>IFERROR(__xludf.DUMMYFUNCTION("""COMPUTED_VALUE"""),"")</f>
        <v/>
      </c>
      <c r="G207" t="str">
        <f>IFERROR(__xludf.DUMMYFUNCTION("""COMPUTED_VALUE"""),"")</f>
        <v/>
      </c>
      <c r="H207" t="str">
        <f>IFERROR(__xludf.DUMMYFUNCTION("""COMPUTED_VALUE"""),"")</f>
        <v/>
      </c>
      <c r="I207" t="str">
        <f>IFERROR(__xludf.DUMMYFUNCTION("""COMPUTED_VALUE"""),"")</f>
        <v/>
      </c>
      <c r="J207" t="str">
        <f>IFERROR(__xludf.DUMMYFUNCTION("""COMPUTED_VALUE"""),"")</f>
        <v/>
      </c>
      <c r="K207" s="19" t="str">
        <f>IFERROR(__xludf.DUMMYFUNCTION("""COMPUTED_VALUE"""),"https://stats.oecd.org/index.aspx?DataSetCode=HEALTH_STAT")</f>
        <v>https://stats.oecd.org/index.aspx?DataSetCode=HEALTH_STAT</v>
      </c>
      <c r="L207" t="str">
        <f>IFERROR(__xludf.DUMMYFUNCTION("""COMPUTED_VALUE"""),"")</f>
        <v/>
      </c>
      <c r="M207" t="str">
        <f>IFERROR(__xludf.DUMMYFUNCTION("""COMPUTED_VALUE"""),"")</f>
        <v/>
      </c>
      <c r="N207" t="str">
        <f>IFERROR(__xludf.DUMMYFUNCTION("""COMPUTED_VALUE"""),"")</f>
        <v/>
      </c>
      <c r="O207" t="str">
        <f>IFERROR(__xludf.DUMMYFUNCTION("""COMPUTED_VALUE"""),"")</f>
        <v/>
      </c>
      <c r="P207" t="str">
        <f>IFERROR(__xludf.DUMMYFUNCTION("""COMPUTED_VALUE"""),"")</f>
        <v/>
      </c>
      <c r="Q207" t="str">
        <f>IFERROR(__xludf.DUMMYFUNCTION("""COMPUTED_VALUE"""),"")</f>
        <v/>
      </c>
      <c r="R207" t="str">
        <f>IFERROR(__xludf.DUMMYFUNCTION("""COMPUTED_VALUE"""),"")</f>
        <v/>
      </c>
      <c r="S207" t="str">
        <f>IFERROR(__xludf.DUMMYFUNCTION("""COMPUTED_VALUE"""),"")</f>
        <v/>
      </c>
      <c r="T207">
        <f>IFERROR(__xludf.DUMMYFUNCTION("""COMPUTED_VALUE"""),1.0)</f>
        <v>1</v>
      </c>
    </row>
    <row r="208">
      <c r="A208" t="str">
        <f>IFERROR(__xludf.DUMMYFUNCTION("""COMPUTED_VALUE"""),"Reported abortions")</f>
        <v>Reported abortions</v>
      </c>
      <c r="B208" t="str">
        <f>IFERROR(__xludf.DUMMYFUNCTION("""COMPUTED_VALUE"""),"")</f>
        <v/>
      </c>
      <c r="C208" t="str">
        <f>IFERROR(__xludf.DUMMYFUNCTION("""COMPUTED_VALUE"""),"")</f>
        <v/>
      </c>
      <c r="D208" t="str">
        <f>IFERROR(__xludf.DUMMYFUNCTION("""COMPUTED_VALUE"""),"")</f>
        <v/>
      </c>
      <c r="E208" t="str">
        <f>IFERROR(__xludf.DUMMYFUNCTION("""COMPUTED_VALUE"""),"")</f>
        <v/>
      </c>
      <c r="F208" t="str">
        <f>IFERROR(__xludf.DUMMYFUNCTION("""COMPUTED_VALUE"""),"")</f>
        <v/>
      </c>
      <c r="G208" t="str">
        <f>IFERROR(__xludf.DUMMYFUNCTION("""COMPUTED_VALUE"""),"")</f>
        <v/>
      </c>
      <c r="H208" t="str">
        <f>IFERROR(__xludf.DUMMYFUNCTION("""COMPUTED_VALUE"""),"")</f>
        <v/>
      </c>
      <c r="I208" t="str">
        <f>IFERROR(__xludf.DUMMYFUNCTION("""COMPUTED_VALUE"""),"")</f>
        <v/>
      </c>
      <c r="J208" t="str">
        <f>IFERROR(__xludf.DUMMYFUNCTION("""COMPUTED_VALUE"""),"")</f>
        <v/>
      </c>
      <c r="K208" t="str">
        <f>IFERROR(__xludf.DUMMYFUNCTION("""COMPUTED_VALUE"""),"")</f>
        <v/>
      </c>
      <c r="L208" s="19" t="str">
        <f>IFERROR(__xludf.DUMMYFUNCTION("""COMPUTED_VALUE"""),"https://usafacts.org/missions/promote-welfare/12")</f>
        <v>https://usafacts.org/missions/promote-welfare/12</v>
      </c>
      <c r="M208" t="str">
        <f>IFERROR(__xludf.DUMMYFUNCTION("""COMPUTED_VALUE"""),"")</f>
        <v/>
      </c>
      <c r="N208" t="str">
        <f>IFERROR(__xludf.DUMMYFUNCTION("""COMPUTED_VALUE"""),"")</f>
        <v/>
      </c>
      <c r="O208" t="str">
        <f>IFERROR(__xludf.DUMMYFUNCTION("""COMPUTED_VALUE"""),"")</f>
        <v/>
      </c>
      <c r="P208" t="str">
        <f>IFERROR(__xludf.DUMMYFUNCTION("""COMPUTED_VALUE"""),"")</f>
        <v/>
      </c>
      <c r="Q208" t="str">
        <f>IFERROR(__xludf.DUMMYFUNCTION("""COMPUTED_VALUE"""),"")</f>
        <v/>
      </c>
      <c r="R208" t="str">
        <f>IFERROR(__xludf.DUMMYFUNCTION("""COMPUTED_VALUE"""),"")</f>
        <v/>
      </c>
      <c r="S208" t="str">
        <f>IFERROR(__xludf.DUMMYFUNCTION("""COMPUTED_VALUE"""),"")</f>
        <v/>
      </c>
      <c r="T208">
        <f>IFERROR(__xludf.DUMMYFUNCTION("""COMPUTED_VALUE"""),1.0)</f>
        <v>1</v>
      </c>
    </row>
    <row r="209">
      <c r="A209" t="str">
        <f>IFERROR(__xludf.DUMMYFUNCTION("""COMPUTED_VALUE"""),"Dementia prevalence")</f>
        <v>Dementia prevalence</v>
      </c>
      <c r="B209" t="str">
        <f>IFERROR(__xludf.DUMMYFUNCTION("""COMPUTED_VALUE"""),"")</f>
        <v/>
      </c>
      <c r="C209" t="str">
        <f>IFERROR(__xludf.DUMMYFUNCTION("""COMPUTED_VALUE"""),"")</f>
        <v/>
      </c>
      <c r="D209" t="str">
        <f>IFERROR(__xludf.DUMMYFUNCTION("""COMPUTED_VALUE"""),"")</f>
        <v/>
      </c>
      <c r="E209" t="str">
        <f>IFERROR(__xludf.DUMMYFUNCTION("""COMPUTED_VALUE"""),"")</f>
        <v/>
      </c>
      <c r="F209" t="str">
        <f>IFERROR(__xludf.DUMMYFUNCTION("""COMPUTED_VALUE"""),"")</f>
        <v/>
      </c>
      <c r="G209" t="str">
        <f>IFERROR(__xludf.DUMMYFUNCTION("""COMPUTED_VALUE"""),"")</f>
        <v/>
      </c>
      <c r="H209" t="str">
        <f>IFERROR(__xludf.DUMMYFUNCTION("""COMPUTED_VALUE"""),"")</f>
        <v/>
      </c>
      <c r="I209" t="str">
        <f>IFERROR(__xludf.DUMMYFUNCTION("""COMPUTED_VALUE"""),"")</f>
        <v/>
      </c>
      <c r="J209" t="str">
        <f>IFERROR(__xludf.DUMMYFUNCTION("""COMPUTED_VALUE"""),"")</f>
        <v/>
      </c>
      <c r="K209"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209" t="str">
        <f>IFERROR(__xludf.DUMMYFUNCTION("""COMPUTED_VALUE"""),"")</f>
        <v/>
      </c>
      <c r="M209" t="str">
        <f>IFERROR(__xludf.DUMMYFUNCTION("""COMPUTED_VALUE"""),"")</f>
        <v/>
      </c>
      <c r="N209" t="str">
        <f>IFERROR(__xludf.DUMMYFUNCTION("""COMPUTED_VALUE"""),"")</f>
        <v/>
      </c>
      <c r="O209" t="str">
        <f>IFERROR(__xludf.DUMMYFUNCTION("""COMPUTED_VALUE"""),"")</f>
        <v/>
      </c>
      <c r="P209" t="str">
        <f>IFERROR(__xludf.DUMMYFUNCTION("""COMPUTED_VALUE"""),"")</f>
        <v/>
      </c>
      <c r="Q209" t="str">
        <f>IFERROR(__xludf.DUMMYFUNCTION("""COMPUTED_VALUE"""),"")</f>
        <v/>
      </c>
      <c r="R209" t="str">
        <f>IFERROR(__xludf.DUMMYFUNCTION("""COMPUTED_VALUE"""),"")</f>
        <v/>
      </c>
      <c r="S209" t="str">
        <f>IFERROR(__xludf.DUMMYFUNCTION("""COMPUTED_VALUE"""),"")</f>
        <v/>
      </c>
      <c r="T209">
        <f>IFERROR(__xludf.DUMMYFUNCTION("""COMPUTED_VALUE"""),1.0)</f>
        <v>1</v>
      </c>
    </row>
    <row r="210">
      <c r="A210" t="str">
        <f>IFERROR(__xludf.DUMMYFUNCTION("""COMPUTED_VALUE"""),"Failing to address social determinants of health harms and kills many patients")</f>
        <v>Failing to address social determinants of health harms and kills many patients</v>
      </c>
      <c r="B210" t="str">
        <f>IFERROR(__xludf.DUMMYFUNCTION("""COMPUTED_VALUE"""),"")</f>
        <v/>
      </c>
      <c r="C210" t="str">
        <f>IFERROR(__xludf.DUMMYFUNCTION("""COMPUTED_VALUE"""),"")</f>
        <v/>
      </c>
      <c r="D210" t="str">
        <f>IFERROR(__xludf.DUMMYFUNCTION("""COMPUTED_VALUE"""),"")</f>
        <v/>
      </c>
      <c r="E210" t="str">
        <f>IFERROR(__xludf.DUMMYFUNCTION("""COMPUTED_VALUE"""),"")</f>
        <v/>
      </c>
      <c r="F210" t="str">
        <f>IFERROR(__xludf.DUMMYFUNCTION("""COMPUTED_VALUE"""),"")</f>
        <v/>
      </c>
      <c r="G210" t="str">
        <f>IFERROR(__xludf.DUMMYFUNCTION("""COMPUTED_VALUE"""),"SDOH")</f>
        <v>SDOH</v>
      </c>
      <c r="H210" t="str">
        <f>IFERROR(__xludf.DUMMYFUNCTION("""COMPUTED_VALUE"""),"")</f>
        <v/>
      </c>
      <c r="I210" t="str">
        <f>IFERROR(__xludf.DUMMYFUNCTION("""COMPUTED_VALUE"""),"")</f>
        <v/>
      </c>
      <c r="J210" t="str">
        <f>IFERROR(__xludf.DUMMYFUNCTION("""COMPUTED_VALUE"""),"")</f>
        <v/>
      </c>
      <c r="K210" t="str">
        <f>IFERROR(__xludf.DUMMYFUNCTION("""COMPUTED_VALUE"""),"")</f>
        <v/>
      </c>
      <c r="L210" t="str">
        <f>IFERROR(__xludf.DUMMYFUNCTION("""COMPUTED_VALUE"""),"")</f>
        <v/>
      </c>
      <c r="M210" t="str">
        <f>IFERROR(__xludf.DUMMYFUNCTION("""COMPUTED_VALUE"""),"")</f>
        <v/>
      </c>
      <c r="N210" t="str">
        <f>IFERROR(__xludf.DUMMYFUNCTION("""COMPUTED_VALUE"""),"")</f>
        <v/>
      </c>
      <c r="O210" t="str">
        <f>IFERROR(__xludf.DUMMYFUNCTION("""COMPUTED_VALUE"""),"")</f>
        <v/>
      </c>
      <c r="P210" t="str">
        <f>IFERROR(__xludf.DUMMYFUNCTION("""COMPUTED_VALUE"""),"")</f>
        <v/>
      </c>
      <c r="Q210" t="str">
        <f>IFERROR(__xludf.DUMMYFUNCTION("""COMPUTED_VALUE"""),"")</f>
        <v/>
      </c>
      <c r="R210" t="str">
        <f>IFERROR(__xludf.DUMMYFUNCTION("""COMPUTED_VALUE"""),"")</f>
        <v/>
      </c>
      <c r="S210" t="str">
        <f>IFERROR(__xludf.DUMMYFUNCTION("""COMPUTED_VALUE"""),"BWHP-14")</f>
        <v>BWHP-14</v>
      </c>
      <c r="T210">
        <f>IFERROR(__xludf.DUMMYFUNCTION("""COMPUTED_VALUE"""),1.0)</f>
        <v>1</v>
      </c>
    </row>
    <row r="211">
      <c r="A211" t="str">
        <f>IFERROR(__xludf.DUMMYFUNCTION("""COMPUTED_VALUE"""),"Antibiotic resistance harms and kills many patients")</f>
        <v>Antibiotic resistance harms and kills many patients</v>
      </c>
      <c r="B211" t="str">
        <f>IFERROR(__xludf.DUMMYFUNCTION("""COMPUTED_VALUE"""),"")</f>
        <v/>
      </c>
      <c r="C211" t="str">
        <f>IFERROR(__xludf.DUMMYFUNCTION("""COMPUTED_VALUE"""),"")</f>
        <v/>
      </c>
      <c r="D211" t="str">
        <f>IFERROR(__xludf.DUMMYFUNCTION("""COMPUTED_VALUE"""),"")</f>
        <v/>
      </c>
      <c r="E211" t="str">
        <f>IFERROR(__xludf.DUMMYFUNCTION("""COMPUTED_VALUE"""),"")</f>
        <v/>
      </c>
      <c r="F211" t="str">
        <f>IFERROR(__xludf.DUMMYFUNCTION("""COMPUTED_VALUE"""),"")</f>
        <v/>
      </c>
      <c r="G211" t="str">
        <f>IFERROR(__xludf.DUMMYFUNCTION("""COMPUTED_VALUE"""),"")</f>
        <v/>
      </c>
      <c r="H211" t="str">
        <f>IFERROR(__xludf.DUMMYFUNCTION("""COMPUTED_VALUE"""),"")</f>
        <v/>
      </c>
      <c r="I211" t="str">
        <f>IFERROR(__xludf.DUMMYFUNCTION("""COMPUTED_VALUE"""),"")</f>
        <v/>
      </c>
      <c r="J211" t="str">
        <f>IFERROR(__xludf.DUMMYFUNCTION("""COMPUTED_VALUE"""),"")</f>
        <v/>
      </c>
      <c r="K211" t="str">
        <f>IFERROR(__xludf.DUMMYFUNCTION("""COMPUTED_VALUE"""),"")</f>
        <v/>
      </c>
      <c r="L211" t="str">
        <f>IFERROR(__xludf.DUMMYFUNCTION("""COMPUTED_VALUE"""),"")</f>
        <v/>
      </c>
      <c r="M211" t="str">
        <f>IFERROR(__xludf.DUMMYFUNCTION("""COMPUTED_VALUE"""),"")</f>
        <v/>
      </c>
      <c r="N211" t="str">
        <f>IFERROR(__xludf.DUMMYFUNCTION("""COMPUTED_VALUE"""),"")</f>
        <v/>
      </c>
      <c r="O211" t="str">
        <f>IFERROR(__xludf.DUMMYFUNCTION("""COMPUTED_VALUE"""),"")</f>
        <v/>
      </c>
      <c r="P211" t="str">
        <f>IFERROR(__xludf.DUMMYFUNCTION("""COMPUTED_VALUE"""),"")</f>
        <v/>
      </c>
      <c r="Q211" t="str">
        <f>IFERROR(__xludf.DUMMYFUNCTION("""COMPUTED_VALUE"""),"")</f>
        <v/>
      </c>
      <c r="R211" t="str">
        <f>IFERROR(__xludf.DUMMYFUNCTION("""COMPUTED_VALUE"""),"")</f>
        <v/>
      </c>
      <c r="S211" t="str">
        <f>IFERROR(__xludf.DUMMYFUNCTION("""COMPUTED_VALUE"""),"BWHP-24")</f>
        <v>BWHP-24</v>
      </c>
      <c r="T211">
        <f>IFERROR(__xludf.DUMMYFUNCTION("""COMPUTED_VALUE"""),1.0)</f>
        <v>1</v>
      </c>
    </row>
    <row r="212">
      <c r="A212" t="str">
        <f>IFERROR(__xludf.DUMMYFUNCTION("""COMPUTED_VALUE"""),"Average unhealthy days")</f>
        <v>Average unhealthy days</v>
      </c>
      <c r="B212" t="str">
        <f>IFERROR(__xludf.DUMMYFUNCTION("""COMPUTED_VALUE"""),"")</f>
        <v/>
      </c>
      <c r="C212" t="str">
        <f>IFERROR(__xludf.DUMMYFUNCTION("""COMPUTED_VALUE"""),"")</f>
        <v/>
      </c>
      <c r="D212" t="str">
        <f>IFERROR(__xludf.DUMMYFUNCTION("""COMPUTED_VALUE"""),"")</f>
        <v/>
      </c>
      <c r="E212" t="str">
        <f>IFERROR(__xludf.DUMMYFUNCTION("""COMPUTED_VALUE"""),"")</f>
        <v/>
      </c>
      <c r="F212" t="str">
        <f>IFERROR(__xludf.DUMMYFUNCTION("""COMPUTED_VALUE"""),"")</f>
        <v/>
      </c>
      <c r="G212" t="str">
        <f>IFERROR(__xludf.DUMMYFUNCTION("""COMPUTED_VALUE"""),"")</f>
        <v/>
      </c>
      <c r="H212" t="str">
        <f>IFERROR(__xludf.DUMMYFUNCTION("""COMPUTED_VALUE"""),"")</f>
        <v/>
      </c>
      <c r="I212" t="str">
        <f>IFERROR(__xludf.DUMMYFUNCTION("""COMPUTED_VALUE"""),"")</f>
        <v/>
      </c>
      <c r="J212" t="str">
        <f>IFERROR(__xludf.DUMMYFUNCTION("""COMPUTED_VALUE"""),"")</f>
        <v/>
      </c>
      <c r="K212" t="str">
        <f>IFERROR(__xludf.DUMMYFUNCTION("""COMPUTED_VALUE"""),"")</f>
        <v/>
      </c>
      <c r="L212" t="str">
        <f>IFERROR(__xludf.DUMMYFUNCTION("""COMPUTED_VALUE"""),"")</f>
        <v/>
      </c>
      <c r="M212" t="str">
        <f>IFERROR(__xludf.DUMMYFUNCTION("""COMPUTED_VALUE"""),"")</f>
        <v/>
      </c>
      <c r="N212" t="str">
        <f>IFERROR(__xludf.DUMMYFUNCTION("""COMPUTED_VALUE"""),"")</f>
        <v/>
      </c>
      <c r="O212" t="str">
        <f>IFERROR(__xludf.DUMMYFUNCTION("""COMPUTED_VALUE"""),"")</f>
        <v/>
      </c>
      <c r="P212" t="str">
        <f>IFERROR(__xludf.DUMMYFUNCTION("""COMPUTED_VALUE"""),"")</f>
        <v/>
      </c>
      <c r="Q212" t="str">
        <f>IFERROR(__xludf.DUMMYFUNCTION("""COMPUTED_VALUE"""),"")</f>
        <v/>
      </c>
      <c r="R212" t="str">
        <f>IFERROR(__xludf.DUMMYFUNCTION("""COMPUTED_VALUE"""),"CHSI")</f>
        <v>CHSI</v>
      </c>
      <c r="S212" t="str">
        <f>IFERROR(__xludf.DUMMYFUNCTION("""COMPUTED_VALUE"""),"")</f>
        <v/>
      </c>
      <c r="T212">
        <f>IFERROR(__xludf.DUMMYFUNCTION("""COMPUTED_VALUE"""),1.0)</f>
        <v>1</v>
      </c>
    </row>
    <row r="213">
      <c r="A213" t="str">
        <f>IFERROR(__xludf.DUMMYFUNCTION("""COMPUTED_VALUE"""),"Birth defects")</f>
        <v>Birth defects</v>
      </c>
      <c r="B213" t="str">
        <f>IFERROR(__xludf.DUMMYFUNCTION("""COMPUTED_VALUE"""),"")</f>
        <v/>
      </c>
      <c r="C213" t="str">
        <f>IFERROR(__xludf.DUMMYFUNCTION("""COMPUTED_VALUE"""),"")</f>
        <v/>
      </c>
      <c r="D213" t="str">
        <f>IFERROR(__xludf.DUMMYFUNCTION("""COMPUTED_VALUE"""),"")</f>
        <v/>
      </c>
      <c r="E213" t="str">
        <f>IFERROR(__xludf.DUMMYFUNCTION("""COMPUTED_VALUE"""),"")</f>
        <v/>
      </c>
      <c r="F213" t="str">
        <f>IFERROR(__xludf.DUMMYFUNCTION("""COMPUTED_VALUE"""),"")</f>
        <v/>
      </c>
      <c r="G213" t="str">
        <f>IFERROR(__xludf.DUMMYFUNCTION("""COMPUTED_VALUE"""),"")</f>
        <v/>
      </c>
      <c r="H213" t="str">
        <f>IFERROR(__xludf.DUMMYFUNCTION("""COMPUTED_VALUE"""),"")</f>
        <v/>
      </c>
      <c r="I213" t="str">
        <f>IFERROR(__xludf.DUMMYFUNCTION("""COMPUTED_VALUE"""),"")</f>
        <v/>
      </c>
      <c r="J213" t="str">
        <f>IFERROR(__xludf.DUMMYFUNCTION("""COMPUTED_VALUE"""),"")</f>
        <v/>
      </c>
      <c r="K213" t="str">
        <f>IFERROR(__xludf.DUMMYFUNCTION("""COMPUTED_VALUE"""),"")</f>
        <v/>
      </c>
      <c r="L213" t="str">
        <f>IFERROR(__xludf.DUMMYFUNCTION("""COMPUTED_VALUE"""),"")</f>
        <v/>
      </c>
      <c r="M213" t="str">
        <f>IFERROR(__xludf.DUMMYFUNCTION("""COMPUTED_VALUE"""),"")</f>
        <v/>
      </c>
      <c r="N213" t="str">
        <f>IFERROR(__xludf.DUMMYFUNCTION("""COMPUTED_VALUE"""),"")</f>
        <v/>
      </c>
      <c r="O213" t="str">
        <f>IFERROR(__xludf.DUMMYFUNCTION("""COMPUTED_VALUE"""),"")</f>
        <v/>
      </c>
      <c r="P213" t="str">
        <f>IFERROR(__xludf.DUMMYFUNCTION("""COMPUTED_VALUE"""),"")</f>
        <v/>
      </c>
      <c r="Q213" t="str">
        <f>IFERROR(__xludf.DUMMYFUNCTION("""COMPUTED_VALUE"""),"")</f>
        <v/>
      </c>
      <c r="R213" t="str">
        <f>IFERROR(__xludf.DUMMYFUNCTION("""COMPUTED_VALUE"""),"CHSI")</f>
        <v>CHSI</v>
      </c>
      <c r="S213" t="str">
        <f>IFERROR(__xludf.DUMMYFUNCTION("""COMPUTED_VALUE"""),"")</f>
        <v/>
      </c>
      <c r="T213">
        <f>IFERROR(__xludf.DUMMYFUNCTION("""COMPUTED_VALUE"""),1.0)</f>
        <v>1</v>
      </c>
    </row>
    <row r="214">
      <c r="A214" t="str">
        <f>IFERROR(__xludf.DUMMYFUNCTION("""COMPUTED_VALUE"""),"Medicare beneficiaries received high-risk drug")</f>
        <v>Medicare beneficiaries received high-risk drug</v>
      </c>
      <c r="B214" t="str">
        <f>IFERROR(__xludf.DUMMYFUNCTION("""COMPUTED_VALUE"""),"")</f>
        <v/>
      </c>
      <c r="C214" t="str">
        <f>IFERROR(__xludf.DUMMYFUNCTION("""COMPUTED_VALUE"""),"")</f>
        <v/>
      </c>
      <c r="D214" t="str">
        <f>IFERROR(__xludf.DUMMYFUNCTION("""COMPUTED_VALUE"""),"")</f>
        <v/>
      </c>
      <c r="E214" t="str">
        <f>IFERROR(__xludf.DUMMYFUNCTION("""COMPUTED_VALUE"""),"")</f>
        <v/>
      </c>
      <c r="F214" t="str">
        <f>IFERROR(__xludf.DUMMYFUNCTION("""COMPUTED_VALUE"""),"")</f>
        <v/>
      </c>
      <c r="G214" t="str">
        <f>IFERROR(__xludf.DUMMYFUNCTION("""COMPUTED_VALUE"""),"")</f>
        <v/>
      </c>
      <c r="H214" t="str">
        <f>IFERROR(__xludf.DUMMYFUNCTION("""COMPUTED_VALUE"""),"")</f>
        <v/>
      </c>
      <c r="I214" t="str">
        <f>IFERROR(__xludf.DUMMYFUNCTION("""COMPUTED_VALUE"""),"")</f>
        <v/>
      </c>
      <c r="J214" s="19" t="str">
        <f>IFERROR(__xludf.DUMMYFUNCTION("""COMPUTED_VALUE"""),"https://interactives.commonwealthfund.org/2018/state-scorecard/files/Radley_State_Scorecard_2018.pdf")</f>
        <v>https://interactives.commonwealthfund.org/2018/state-scorecard/files/Radley_State_Scorecard_2018.pdf</v>
      </c>
      <c r="K214" t="str">
        <f>IFERROR(__xludf.DUMMYFUNCTION("""COMPUTED_VALUE"""),"")</f>
        <v/>
      </c>
      <c r="L214" t="str">
        <f>IFERROR(__xludf.DUMMYFUNCTION("""COMPUTED_VALUE"""),"")</f>
        <v/>
      </c>
      <c r="M214" t="str">
        <f>IFERROR(__xludf.DUMMYFUNCTION("""COMPUTED_VALUE"""),"")</f>
        <v/>
      </c>
      <c r="N214" t="str">
        <f>IFERROR(__xludf.DUMMYFUNCTION("""COMPUTED_VALUE"""),"")</f>
        <v/>
      </c>
      <c r="O214" t="str">
        <f>IFERROR(__xludf.DUMMYFUNCTION("""COMPUTED_VALUE"""),"")</f>
        <v/>
      </c>
      <c r="P214" t="str">
        <f>IFERROR(__xludf.DUMMYFUNCTION("""COMPUTED_VALUE"""),"")</f>
        <v/>
      </c>
      <c r="Q214" t="str">
        <f>IFERROR(__xludf.DUMMYFUNCTION("""COMPUTED_VALUE"""),"")</f>
        <v/>
      </c>
      <c r="R214" t="str">
        <f>IFERROR(__xludf.DUMMYFUNCTION("""COMPUTED_VALUE"""),"")</f>
        <v/>
      </c>
      <c r="S214" t="str">
        <f>IFERROR(__xludf.DUMMYFUNCTION("""COMPUTED_VALUE"""),"")</f>
        <v/>
      </c>
      <c r="T214">
        <f>IFERROR(__xludf.DUMMYFUNCTION("""COMPUTED_VALUE"""),1.0)</f>
        <v>1</v>
      </c>
    </row>
    <row r="215">
      <c r="A215" t="str">
        <f>IFERROR(__xludf.DUMMYFUNCTION("""COMPUTED_VALUE"""),"Nursing home residents with an antipsychotic medication")</f>
        <v>Nursing home residents with an antipsychotic medication</v>
      </c>
      <c r="B215" t="str">
        <f>IFERROR(__xludf.DUMMYFUNCTION("""COMPUTED_VALUE"""),"")</f>
        <v/>
      </c>
      <c r="C215" t="str">
        <f>IFERROR(__xludf.DUMMYFUNCTION("""COMPUTED_VALUE"""),"")</f>
        <v/>
      </c>
      <c r="D215" t="str">
        <f>IFERROR(__xludf.DUMMYFUNCTION("""COMPUTED_VALUE"""),"")</f>
        <v/>
      </c>
      <c r="E215" t="str">
        <f>IFERROR(__xludf.DUMMYFUNCTION("""COMPUTED_VALUE"""),"")</f>
        <v/>
      </c>
      <c r="F215" t="str">
        <f>IFERROR(__xludf.DUMMYFUNCTION("""COMPUTED_VALUE"""),"")</f>
        <v/>
      </c>
      <c r="G215" t="str">
        <f>IFERROR(__xludf.DUMMYFUNCTION("""COMPUTED_VALUE"""),"")</f>
        <v/>
      </c>
      <c r="H215" t="str">
        <f>IFERROR(__xludf.DUMMYFUNCTION("""COMPUTED_VALUE"""),"")</f>
        <v/>
      </c>
      <c r="I215" t="str">
        <f>IFERROR(__xludf.DUMMYFUNCTION("""COMPUTED_VALUE"""),"")</f>
        <v/>
      </c>
      <c r="J215" s="19" t="str">
        <f>IFERROR(__xludf.DUMMYFUNCTION("""COMPUTED_VALUE"""),"https://interactives.commonwealthfund.org/2018/state-scorecard/files/Radley_State_Scorecard_2018.pdf")</f>
        <v>https://interactives.commonwealthfund.org/2018/state-scorecard/files/Radley_State_Scorecard_2018.pdf</v>
      </c>
      <c r="K215" t="str">
        <f>IFERROR(__xludf.DUMMYFUNCTION("""COMPUTED_VALUE"""),"")</f>
        <v/>
      </c>
      <c r="L215" t="str">
        <f>IFERROR(__xludf.DUMMYFUNCTION("""COMPUTED_VALUE"""),"")</f>
        <v/>
      </c>
      <c r="M215" t="str">
        <f>IFERROR(__xludf.DUMMYFUNCTION("""COMPUTED_VALUE"""),"")</f>
        <v/>
      </c>
      <c r="N215" t="str">
        <f>IFERROR(__xludf.DUMMYFUNCTION("""COMPUTED_VALUE"""),"")</f>
        <v/>
      </c>
      <c r="O215" t="str">
        <f>IFERROR(__xludf.DUMMYFUNCTION("""COMPUTED_VALUE"""),"")</f>
        <v/>
      </c>
      <c r="P215" t="str">
        <f>IFERROR(__xludf.DUMMYFUNCTION("""COMPUTED_VALUE"""),"")</f>
        <v/>
      </c>
      <c r="Q215" t="str">
        <f>IFERROR(__xludf.DUMMYFUNCTION("""COMPUTED_VALUE"""),"")</f>
        <v/>
      </c>
      <c r="R215" t="str">
        <f>IFERROR(__xludf.DUMMYFUNCTION("""COMPUTED_VALUE"""),"")</f>
        <v/>
      </c>
      <c r="S215" t="str">
        <f>IFERROR(__xludf.DUMMYFUNCTION("""COMPUTED_VALUE"""),"")</f>
        <v/>
      </c>
      <c r="T215">
        <f>IFERROR(__xludf.DUMMYFUNCTION("""COMPUTED_VALUE"""),1.0)</f>
        <v>1</v>
      </c>
    </row>
    <row r="216">
      <c r="A216" t="str">
        <f>IFERROR(__xludf.DUMMYFUNCTION("""COMPUTED_VALUE"""),"Frequent physical distress")</f>
        <v>Frequent physical distress</v>
      </c>
      <c r="B216" t="str">
        <f>IFERROR(__xludf.DUMMYFUNCTION("""COMPUTED_VALUE"""),"")</f>
        <v/>
      </c>
      <c r="C216" t="str">
        <f>IFERROR(__xludf.DUMMYFUNCTION("""COMPUTED_VALUE"""),"")</f>
        <v/>
      </c>
      <c r="D216" t="str">
        <f>IFERROR(__xludf.DUMMYFUNCTION("""COMPUTED_VALUE"""),"")</f>
        <v/>
      </c>
      <c r="E216" t="str">
        <f>IFERROR(__xludf.DUMMYFUNCTION("""COMPUTED_VALUE"""),"")</f>
        <v/>
      </c>
      <c r="F216" t="str">
        <f>IFERROR(__xludf.DUMMYFUNCTION("""COMPUTED_VALUE"""),"")</f>
        <v/>
      </c>
      <c r="G216" t="str">
        <f>IFERROR(__xludf.DUMMYFUNCTION("""COMPUTED_VALUE"""),"")</f>
        <v/>
      </c>
      <c r="H216" t="str">
        <f>IFERROR(__xludf.DUMMYFUNCTION("""COMPUTED_VALUE"""),"")</f>
        <v/>
      </c>
      <c r="I216" t="str">
        <f>IFERROR(__xludf.DUMMYFUNCTION("""COMPUTED_VALUE"""),"")</f>
        <v/>
      </c>
      <c r="J216" t="str">
        <f>IFERROR(__xludf.DUMMYFUNCTION("""COMPUTED_VALUE"""),"")</f>
        <v/>
      </c>
      <c r="K216" t="str">
        <f>IFERROR(__xludf.DUMMYFUNCTION("""COMPUTED_VALUE"""),"")</f>
        <v/>
      </c>
      <c r="L216" t="str">
        <f>IFERROR(__xludf.DUMMYFUNCTION("""COMPUTED_VALUE"""),"")</f>
        <v/>
      </c>
      <c r="M216" t="str">
        <f>IFERROR(__xludf.DUMMYFUNCTION("""COMPUTED_VALUE"""),"")</f>
        <v/>
      </c>
      <c r="N216" s="19" t="str">
        <f>IFERROR(__xludf.DUMMYFUNCTION("""COMPUTED_VALUE"""),"https://www.americashealthrankings.org/explore/annual")</f>
        <v>https://www.americashealthrankings.org/explore/annual</v>
      </c>
      <c r="O216" t="str">
        <f>IFERROR(__xludf.DUMMYFUNCTION("""COMPUTED_VALUE"""),"")</f>
        <v/>
      </c>
      <c r="P216" t="str">
        <f>IFERROR(__xludf.DUMMYFUNCTION("""COMPUTED_VALUE"""),"")</f>
        <v/>
      </c>
      <c r="Q216" t="str">
        <f>IFERROR(__xludf.DUMMYFUNCTION("""COMPUTED_VALUE"""),"")</f>
        <v/>
      </c>
      <c r="R216" t="str">
        <f>IFERROR(__xludf.DUMMYFUNCTION("""COMPUTED_VALUE"""),"")</f>
        <v/>
      </c>
      <c r="S216" t="str">
        <f>IFERROR(__xludf.DUMMYFUNCTION("""COMPUTED_VALUE"""),"")</f>
        <v/>
      </c>
      <c r="T216">
        <f>IFERROR(__xludf.DUMMYFUNCTION("""COMPUTED_VALUE"""),1.0)</f>
        <v>1</v>
      </c>
    </row>
    <row r="217">
      <c r="A217" t="str">
        <f>IFERROR(__xludf.DUMMYFUNCTION("""COMPUTED_VALUE"""),"Protective family routines")</f>
        <v>Protective family routines</v>
      </c>
      <c r="B217" t="str">
        <f>IFERROR(__xludf.DUMMYFUNCTION("""COMPUTED_VALUE"""),"")</f>
        <v/>
      </c>
      <c r="C217" t="str">
        <f>IFERROR(__xludf.DUMMYFUNCTION("""COMPUTED_VALUE"""),"")</f>
        <v/>
      </c>
      <c r="D217" t="str">
        <f>IFERROR(__xludf.DUMMYFUNCTION("""COMPUTED_VALUE"""),"")</f>
        <v/>
      </c>
      <c r="E217" t="str">
        <f>IFERROR(__xludf.DUMMYFUNCTION("""COMPUTED_VALUE"""),"")</f>
        <v/>
      </c>
      <c r="F217" t="str">
        <f>IFERROR(__xludf.DUMMYFUNCTION("""COMPUTED_VALUE"""),"")</f>
        <v/>
      </c>
      <c r="G217" t="str">
        <f>IFERROR(__xludf.DUMMYFUNCTION("""COMPUTED_VALUE"""),"")</f>
        <v/>
      </c>
      <c r="H217" t="str">
        <f>IFERROR(__xludf.DUMMYFUNCTION("""COMPUTED_VALUE"""),"")</f>
        <v/>
      </c>
      <c r="I217" t="str">
        <f>IFERROR(__xludf.DUMMYFUNCTION("""COMPUTED_VALUE"""),"")</f>
        <v/>
      </c>
      <c r="J217" t="str">
        <f>IFERROR(__xludf.DUMMYFUNCTION("""COMPUTED_VALUE"""),"")</f>
        <v/>
      </c>
      <c r="K217" t="str">
        <f>IFERROR(__xludf.DUMMYFUNCTION("""COMPUTED_VALUE"""),"")</f>
        <v/>
      </c>
      <c r="L217" t="str">
        <f>IFERROR(__xludf.DUMMYFUNCTION("""COMPUTED_VALUE"""),"")</f>
        <v/>
      </c>
      <c r="M217" t="str">
        <f>IFERROR(__xludf.DUMMYFUNCTION("""COMPUTED_VALUE"""),"")</f>
        <v/>
      </c>
      <c r="N217" s="19" t="str">
        <f>IFERROR(__xludf.DUMMYFUNCTION("""COMPUTED_VALUE"""),"https://www.americashealthrankings.org/explore/annual")</f>
        <v>https://www.americashealthrankings.org/explore/annual</v>
      </c>
      <c r="O217" t="str">
        <f>IFERROR(__xludf.DUMMYFUNCTION("""COMPUTED_VALUE"""),"")</f>
        <v/>
      </c>
      <c r="P217" t="str">
        <f>IFERROR(__xludf.DUMMYFUNCTION("""COMPUTED_VALUE"""),"")</f>
        <v/>
      </c>
      <c r="Q217" t="str">
        <f>IFERROR(__xludf.DUMMYFUNCTION("""COMPUTED_VALUE"""),"")</f>
        <v/>
      </c>
      <c r="R217" t="str">
        <f>IFERROR(__xludf.DUMMYFUNCTION("""COMPUTED_VALUE"""),"")</f>
        <v/>
      </c>
      <c r="S217" t="str">
        <f>IFERROR(__xludf.DUMMYFUNCTION("""COMPUTED_VALUE"""),"")</f>
        <v/>
      </c>
      <c r="T217">
        <f>IFERROR(__xludf.DUMMYFUNCTION("""COMPUTED_VALUE"""),1.0)</f>
        <v>1</v>
      </c>
    </row>
    <row r="218">
      <c r="A218" t="str">
        <f>IFERROR(__xludf.DUMMYFUNCTION("""COMPUTED_VALUE"""),"Potential years of life lost")</f>
        <v>Potential years of life lost</v>
      </c>
      <c r="B218" t="str">
        <f>IFERROR(__xludf.DUMMYFUNCTION("""COMPUTED_VALUE"""),"")</f>
        <v/>
      </c>
      <c r="C218" t="str">
        <f>IFERROR(__xludf.DUMMYFUNCTION("""COMPUTED_VALUE"""),"")</f>
        <v/>
      </c>
      <c r="D218" t="str">
        <f>IFERROR(__xludf.DUMMYFUNCTION("""COMPUTED_VALUE"""),"")</f>
        <v/>
      </c>
      <c r="E218" t="str">
        <f>IFERROR(__xludf.DUMMYFUNCTION("""COMPUTED_VALUE"""),"")</f>
        <v/>
      </c>
      <c r="F218" t="str">
        <f>IFERROR(__xludf.DUMMYFUNCTION("""COMPUTED_VALUE"""),"")</f>
        <v/>
      </c>
      <c r="G218" t="str">
        <f>IFERROR(__xludf.DUMMYFUNCTION("""COMPUTED_VALUE"""),"")</f>
        <v/>
      </c>
      <c r="H218" t="str">
        <f>IFERROR(__xludf.DUMMYFUNCTION("""COMPUTED_VALUE"""),"")</f>
        <v/>
      </c>
      <c r="I218" t="str">
        <f>IFERROR(__xludf.DUMMYFUNCTION("""COMPUTED_VALUE"""),"")</f>
        <v/>
      </c>
      <c r="J218" t="str">
        <f>IFERROR(__xludf.DUMMYFUNCTION("""COMPUTED_VALUE"""),"")</f>
        <v/>
      </c>
      <c r="K218" s="19" t="str">
        <f>IFERROR(__xludf.DUMMYFUNCTION("""COMPUTED_VALUE"""),"https://stats.oecd.org/index.aspx?DataSetCode=HEALTH_STAT")</f>
        <v>https://stats.oecd.org/index.aspx?DataSetCode=HEALTH_STAT</v>
      </c>
      <c r="L218" t="str">
        <f>IFERROR(__xludf.DUMMYFUNCTION("""COMPUTED_VALUE"""),"")</f>
        <v/>
      </c>
      <c r="M218" t="str">
        <f>IFERROR(__xludf.DUMMYFUNCTION("""COMPUTED_VALUE"""),"")</f>
        <v/>
      </c>
      <c r="N218" t="str">
        <f>IFERROR(__xludf.DUMMYFUNCTION("""COMPUTED_VALUE"""),"")</f>
        <v/>
      </c>
      <c r="O218" t="str">
        <f>IFERROR(__xludf.DUMMYFUNCTION("""COMPUTED_VALUE"""),"")</f>
        <v/>
      </c>
      <c r="P218" t="str">
        <f>IFERROR(__xludf.DUMMYFUNCTION("""COMPUTED_VALUE"""),"")</f>
        <v/>
      </c>
      <c r="Q218" t="str">
        <f>IFERROR(__xludf.DUMMYFUNCTION("""COMPUTED_VALUE"""),"")</f>
        <v/>
      </c>
      <c r="R218" t="str">
        <f>IFERROR(__xludf.DUMMYFUNCTION("""COMPUTED_VALUE"""),"")</f>
        <v/>
      </c>
      <c r="S218" t="str">
        <f>IFERROR(__xludf.DUMMYFUNCTION("""COMPUTED_VALUE"""),"")</f>
        <v/>
      </c>
      <c r="T218">
        <f>IFERROR(__xludf.DUMMYFUNCTION("""COMPUTED_VALUE"""),1.0)</f>
        <v>1</v>
      </c>
    </row>
    <row r="219">
      <c r="A219" t="str">
        <f>IFERROR(__xludf.DUMMYFUNCTION("""COMPUTED_VALUE"""),"Exclusive breastfeeding rate 0-5 months of age")</f>
        <v>Exclusive breastfeeding rate 0-5 months of age</v>
      </c>
      <c r="B219" t="str">
        <f>IFERROR(__xludf.DUMMYFUNCTION("""COMPUTED_VALUE"""),"")</f>
        <v/>
      </c>
      <c r="C219" t="str">
        <f>IFERROR(__xludf.DUMMYFUNCTION("""COMPUTED_VALUE"""),"")</f>
        <v/>
      </c>
      <c r="D219" t="str">
        <f>IFERROR(__xludf.DUMMYFUNCTION("""COMPUTED_VALUE"""),"")</f>
        <v/>
      </c>
      <c r="E219" t="str">
        <f>IFERROR(__xludf.DUMMYFUNCTION("""COMPUTED_VALUE"""),"")</f>
        <v/>
      </c>
      <c r="F219" t="str">
        <f>IFERROR(__xludf.DUMMYFUNCTION("""COMPUTED_VALUE"""),"")</f>
        <v/>
      </c>
      <c r="G219" t="str">
        <f>IFERROR(__xludf.DUMMYFUNCTION("""COMPUTED_VALUE"""),"")</f>
        <v/>
      </c>
      <c r="H219" t="str">
        <f>IFERROR(__xludf.DUMMYFUNCTION("""COMPUTED_VALUE"""),"")</f>
        <v/>
      </c>
      <c r="I21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19" t="str">
        <f>IFERROR(__xludf.DUMMYFUNCTION("""COMPUTED_VALUE"""),"")</f>
        <v/>
      </c>
      <c r="K219" t="str">
        <f>IFERROR(__xludf.DUMMYFUNCTION("""COMPUTED_VALUE"""),"")</f>
        <v/>
      </c>
      <c r="L219" t="str">
        <f>IFERROR(__xludf.DUMMYFUNCTION("""COMPUTED_VALUE"""),"")</f>
        <v/>
      </c>
      <c r="M219" t="str">
        <f>IFERROR(__xludf.DUMMYFUNCTION("""COMPUTED_VALUE"""),"")</f>
        <v/>
      </c>
      <c r="N219" t="str">
        <f>IFERROR(__xludf.DUMMYFUNCTION("""COMPUTED_VALUE"""),"")</f>
        <v/>
      </c>
      <c r="O219" t="str">
        <f>IFERROR(__xludf.DUMMYFUNCTION("""COMPUTED_VALUE"""),"")</f>
        <v/>
      </c>
      <c r="P219" t="str">
        <f>IFERROR(__xludf.DUMMYFUNCTION("""COMPUTED_VALUE"""),"")</f>
        <v/>
      </c>
      <c r="Q219" t="str">
        <f>IFERROR(__xludf.DUMMYFUNCTION("""COMPUTED_VALUE"""),"")</f>
        <v/>
      </c>
      <c r="R219" t="str">
        <f>IFERROR(__xludf.DUMMYFUNCTION("""COMPUTED_VALUE"""),"")</f>
        <v/>
      </c>
      <c r="S219" t="str">
        <f>IFERROR(__xludf.DUMMYFUNCTION("""COMPUTED_VALUE"""),"")</f>
        <v/>
      </c>
      <c r="T219">
        <f>IFERROR(__xludf.DUMMYFUNCTION("""COMPUTED_VALUE"""),1.0)</f>
        <v>1</v>
      </c>
    </row>
    <row r="220">
      <c r="A220" t="str">
        <f>IFERROR(__xludf.DUMMYFUNCTION("""COMPUTED_VALUE"""),"Early initiation of breastfeeding")</f>
        <v>Early initiation of breastfeeding</v>
      </c>
      <c r="B220" t="str">
        <f>IFERROR(__xludf.DUMMYFUNCTION("""COMPUTED_VALUE"""),"")</f>
        <v/>
      </c>
      <c r="C220" t="str">
        <f>IFERROR(__xludf.DUMMYFUNCTION("""COMPUTED_VALUE"""),"")</f>
        <v/>
      </c>
      <c r="D220" t="str">
        <f>IFERROR(__xludf.DUMMYFUNCTION("""COMPUTED_VALUE"""),"")</f>
        <v/>
      </c>
      <c r="E220" t="str">
        <f>IFERROR(__xludf.DUMMYFUNCTION("""COMPUTED_VALUE"""),"")</f>
        <v/>
      </c>
      <c r="F220" t="str">
        <f>IFERROR(__xludf.DUMMYFUNCTION("""COMPUTED_VALUE"""),"")</f>
        <v/>
      </c>
      <c r="G220" t="str">
        <f>IFERROR(__xludf.DUMMYFUNCTION("""COMPUTED_VALUE"""),"")</f>
        <v/>
      </c>
      <c r="H220" t="str">
        <f>IFERROR(__xludf.DUMMYFUNCTION("""COMPUTED_VALUE"""),"")</f>
        <v/>
      </c>
      <c r="I22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20" t="str">
        <f>IFERROR(__xludf.DUMMYFUNCTION("""COMPUTED_VALUE"""),"")</f>
        <v/>
      </c>
      <c r="K220" t="str">
        <f>IFERROR(__xludf.DUMMYFUNCTION("""COMPUTED_VALUE"""),"")</f>
        <v/>
      </c>
      <c r="L220" t="str">
        <f>IFERROR(__xludf.DUMMYFUNCTION("""COMPUTED_VALUE"""),"")</f>
        <v/>
      </c>
      <c r="M220" t="str">
        <f>IFERROR(__xludf.DUMMYFUNCTION("""COMPUTED_VALUE"""),"")</f>
        <v/>
      </c>
      <c r="N220" t="str">
        <f>IFERROR(__xludf.DUMMYFUNCTION("""COMPUTED_VALUE"""),"")</f>
        <v/>
      </c>
      <c r="O220" t="str">
        <f>IFERROR(__xludf.DUMMYFUNCTION("""COMPUTED_VALUE"""),"")</f>
        <v/>
      </c>
      <c r="P220" t="str">
        <f>IFERROR(__xludf.DUMMYFUNCTION("""COMPUTED_VALUE"""),"")</f>
        <v/>
      </c>
      <c r="Q220" t="str">
        <f>IFERROR(__xludf.DUMMYFUNCTION("""COMPUTED_VALUE"""),"")</f>
        <v/>
      </c>
      <c r="R220" t="str">
        <f>IFERROR(__xludf.DUMMYFUNCTION("""COMPUTED_VALUE"""),"")</f>
        <v/>
      </c>
      <c r="S220" t="str">
        <f>IFERROR(__xludf.DUMMYFUNCTION("""COMPUTED_VALUE"""),"")</f>
        <v/>
      </c>
      <c r="T220">
        <f>IFERROR(__xludf.DUMMYFUNCTION("""COMPUTED_VALUE"""),1.0)</f>
        <v>1</v>
      </c>
    </row>
    <row r="221">
      <c r="A221" t="str">
        <f>IFERROR(__xludf.DUMMYFUNCTION("""COMPUTED_VALUE"""),"Anemia prevalence of women of reproductive age")</f>
        <v>Anemia prevalence of women of reproductive age</v>
      </c>
      <c r="B221" t="str">
        <f>IFERROR(__xludf.DUMMYFUNCTION("""COMPUTED_VALUE"""),"")</f>
        <v/>
      </c>
      <c r="C221" t="str">
        <f>IFERROR(__xludf.DUMMYFUNCTION("""COMPUTED_VALUE"""),"")</f>
        <v/>
      </c>
      <c r="D221" t="str">
        <f>IFERROR(__xludf.DUMMYFUNCTION("""COMPUTED_VALUE"""),"")</f>
        <v/>
      </c>
      <c r="E221" t="str">
        <f>IFERROR(__xludf.DUMMYFUNCTION("""COMPUTED_VALUE"""),"")</f>
        <v/>
      </c>
      <c r="F221" t="str">
        <f>IFERROR(__xludf.DUMMYFUNCTION("""COMPUTED_VALUE"""),"")</f>
        <v/>
      </c>
      <c r="G221" t="str">
        <f>IFERROR(__xludf.DUMMYFUNCTION("""COMPUTED_VALUE"""),"")</f>
        <v/>
      </c>
      <c r="H221" t="str">
        <f>IFERROR(__xludf.DUMMYFUNCTION("""COMPUTED_VALUE"""),"")</f>
        <v/>
      </c>
      <c r="I22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21" t="str">
        <f>IFERROR(__xludf.DUMMYFUNCTION("""COMPUTED_VALUE"""),"")</f>
        <v/>
      </c>
      <c r="K221" t="str">
        <f>IFERROR(__xludf.DUMMYFUNCTION("""COMPUTED_VALUE"""),"")</f>
        <v/>
      </c>
      <c r="L221" t="str">
        <f>IFERROR(__xludf.DUMMYFUNCTION("""COMPUTED_VALUE"""),"")</f>
        <v/>
      </c>
      <c r="M221" t="str">
        <f>IFERROR(__xludf.DUMMYFUNCTION("""COMPUTED_VALUE"""),"")</f>
        <v/>
      </c>
      <c r="N221" t="str">
        <f>IFERROR(__xludf.DUMMYFUNCTION("""COMPUTED_VALUE"""),"")</f>
        <v/>
      </c>
      <c r="O221" t="str">
        <f>IFERROR(__xludf.DUMMYFUNCTION("""COMPUTED_VALUE"""),"")</f>
        <v/>
      </c>
      <c r="P221" t="str">
        <f>IFERROR(__xludf.DUMMYFUNCTION("""COMPUTED_VALUE"""),"")</f>
        <v/>
      </c>
      <c r="Q221" t="str">
        <f>IFERROR(__xludf.DUMMYFUNCTION("""COMPUTED_VALUE"""),"")</f>
        <v/>
      </c>
      <c r="R221" t="str">
        <f>IFERROR(__xludf.DUMMYFUNCTION("""COMPUTED_VALUE"""),"")</f>
        <v/>
      </c>
      <c r="S221" t="str">
        <f>IFERROR(__xludf.DUMMYFUNCTION("""COMPUTED_VALUE"""),"")</f>
        <v/>
      </c>
      <c r="T221">
        <f>IFERROR(__xludf.DUMMYFUNCTION("""COMPUTED_VALUE"""),1.0)</f>
        <v>1</v>
      </c>
    </row>
    <row r="222">
      <c r="A222" t="str">
        <f>IFERROR(__xludf.DUMMYFUNCTION("""COMPUTED_VALUE"""),"Poor nutrition")</f>
        <v>Poor nutrition</v>
      </c>
      <c r="B222" t="str">
        <f>IFERROR(__xludf.DUMMYFUNCTION("""COMPUTED_VALUE"""),"")</f>
        <v/>
      </c>
      <c r="C222" t="str">
        <f>IFERROR(__xludf.DUMMYFUNCTION("""COMPUTED_VALUE"""),"")</f>
        <v/>
      </c>
      <c r="D222" t="str">
        <f>IFERROR(__xludf.DUMMYFUNCTION("""COMPUTED_VALUE"""),"")</f>
        <v/>
      </c>
      <c r="E222" t="str">
        <f>IFERROR(__xludf.DUMMYFUNCTION("""COMPUTED_VALUE"""),"")</f>
        <v/>
      </c>
      <c r="F222" t="str">
        <f>IFERROR(__xludf.DUMMYFUNCTION("""COMPUTED_VALUE"""),"")</f>
        <v/>
      </c>
      <c r="G222" t="str">
        <f>IFERROR(__xludf.DUMMYFUNCTION("""COMPUTED_VALUE"""),"")</f>
        <v/>
      </c>
      <c r="H222" t="str">
        <f>IFERROR(__xludf.DUMMYFUNCTION("""COMPUTED_VALUE"""),"")</f>
        <v/>
      </c>
      <c r="I222" t="str">
        <f>IFERROR(__xludf.DUMMYFUNCTION("""COMPUTED_VALUE"""),"")</f>
        <v/>
      </c>
      <c r="J222" t="str">
        <f>IFERROR(__xludf.DUMMYFUNCTION("""COMPUTED_VALUE"""),"")</f>
        <v/>
      </c>
      <c r="K222" t="str">
        <f>IFERROR(__xludf.DUMMYFUNCTION("""COMPUTED_VALUE"""),"")</f>
        <v/>
      </c>
      <c r="L222" t="str">
        <f>IFERROR(__xludf.DUMMYFUNCTION("""COMPUTED_VALUE"""),"")</f>
        <v/>
      </c>
      <c r="M222" t="str">
        <f>IFERROR(__xludf.DUMMYFUNCTION("""COMPUTED_VALUE"""),"")</f>
        <v/>
      </c>
      <c r="N222" t="str">
        <f>IFERROR(__xludf.DUMMYFUNCTION("""COMPUTED_VALUE"""),"")</f>
        <v/>
      </c>
      <c r="O222" t="str">
        <f>IFERROR(__xludf.DUMMYFUNCTION("""COMPUTED_VALUE"""),"")</f>
        <v/>
      </c>
      <c r="P222" t="str">
        <f>IFERROR(__xludf.DUMMYFUNCTION("""COMPUTED_VALUE"""),"")</f>
        <v/>
      </c>
      <c r="Q222" t="str">
        <f>IFERROR(__xludf.DUMMYFUNCTION("""COMPUTED_VALUE"""),"")</f>
        <v/>
      </c>
      <c r="R222" t="str">
        <f>IFERROR(__xludf.DUMMYFUNCTION("""COMPUTED_VALUE"""),"CHSI")</f>
        <v>CHSI</v>
      </c>
      <c r="S222" t="str">
        <f>IFERROR(__xludf.DUMMYFUNCTION("""COMPUTED_VALUE"""),"")</f>
        <v/>
      </c>
      <c r="T222">
        <f>IFERROR(__xludf.DUMMYFUNCTION("""COMPUTED_VALUE"""),1.0)</f>
        <v>1</v>
      </c>
    </row>
    <row r="223">
      <c r="A223" t="str">
        <f>IFERROR(__xludf.DUMMYFUNCTION("""COMPUTED_VALUE"""),"Population with primary reliance on clean fuels and technologies")</f>
        <v>Population with primary reliance on clean fuels and technologies</v>
      </c>
      <c r="B223" t="str">
        <f>IFERROR(__xludf.DUMMYFUNCTION("""COMPUTED_VALUE"""),"")</f>
        <v/>
      </c>
      <c r="C223" t="str">
        <f>IFERROR(__xludf.DUMMYFUNCTION("""COMPUTED_VALUE"""),"")</f>
        <v/>
      </c>
      <c r="D223" t="str">
        <f>IFERROR(__xludf.DUMMYFUNCTION("""COMPUTED_VALUE"""),"")</f>
        <v/>
      </c>
      <c r="E223" t="str">
        <f>IFERROR(__xludf.DUMMYFUNCTION("""COMPUTED_VALUE"""),"")</f>
        <v/>
      </c>
      <c r="F223" t="str">
        <f>IFERROR(__xludf.DUMMYFUNCTION("""COMPUTED_VALUE"""),"")</f>
        <v/>
      </c>
      <c r="G223" t="str">
        <f>IFERROR(__xludf.DUMMYFUNCTION("""COMPUTED_VALUE"""),"")</f>
        <v/>
      </c>
      <c r="H223" t="str">
        <f>IFERROR(__xludf.DUMMYFUNCTION("""COMPUTED_VALUE"""),"SDG 7.1.2")</f>
        <v>SDG 7.1.2</v>
      </c>
      <c r="I22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23" t="str">
        <f>IFERROR(__xludf.DUMMYFUNCTION("""COMPUTED_VALUE"""),"")</f>
        <v/>
      </c>
      <c r="K223" t="str">
        <f>IFERROR(__xludf.DUMMYFUNCTION("""COMPUTED_VALUE"""),"")</f>
        <v/>
      </c>
      <c r="L223" t="str">
        <f>IFERROR(__xludf.DUMMYFUNCTION("""COMPUTED_VALUE"""),"")</f>
        <v/>
      </c>
      <c r="M223" t="str">
        <f>IFERROR(__xludf.DUMMYFUNCTION("""COMPUTED_VALUE"""),"")</f>
        <v/>
      </c>
      <c r="N223" t="str">
        <f>IFERROR(__xludf.DUMMYFUNCTION("""COMPUTED_VALUE"""),"")</f>
        <v/>
      </c>
      <c r="O223" t="str">
        <f>IFERROR(__xludf.DUMMYFUNCTION("""COMPUTED_VALUE"""),"")</f>
        <v/>
      </c>
      <c r="P223" t="str">
        <f>IFERROR(__xludf.DUMMYFUNCTION("""COMPUTED_VALUE"""),"")</f>
        <v/>
      </c>
      <c r="Q223" t="str">
        <f>IFERROR(__xludf.DUMMYFUNCTION("""COMPUTED_VALUE"""),"")</f>
        <v/>
      </c>
      <c r="R223" t="str">
        <f>IFERROR(__xludf.DUMMYFUNCTION("""COMPUTED_VALUE"""),"")</f>
        <v/>
      </c>
      <c r="S223" t="str">
        <f>IFERROR(__xludf.DUMMYFUNCTION("""COMPUTED_VALUE"""),"")</f>
        <v/>
      </c>
      <c r="T223">
        <f>IFERROR(__xludf.DUMMYFUNCTION("""COMPUTED_VALUE"""),1.0)</f>
        <v>1</v>
      </c>
    </row>
    <row r="224">
      <c r="A224" t="str">
        <f>IFERROR(__xludf.DUMMYFUNCTION("""COMPUTED_VALUE"""),"Population living in safely managed land (not polluted)")</f>
        <v>Population living in safely managed land (not polluted)</v>
      </c>
      <c r="B224" t="str">
        <f>IFERROR(__xludf.DUMMYFUNCTION("""COMPUTED_VALUE"""),"")</f>
        <v/>
      </c>
      <c r="C224" t="str">
        <f>IFERROR(__xludf.DUMMYFUNCTION("""COMPUTED_VALUE"""),"")</f>
        <v/>
      </c>
      <c r="D224" t="str">
        <f>IFERROR(__xludf.DUMMYFUNCTION("""COMPUTED_VALUE"""),"")</f>
        <v/>
      </c>
      <c r="E224" t="str">
        <f>IFERROR(__xludf.DUMMYFUNCTION("""COMPUTED_VALUE"""),"")</f>
        <v/>
      </c>
      <c r="F224" t="str">
        <f>IFERROR(__xludf.DUMMYFUNCTION("""COMPUTED_VALUE"""),"")</f>
        <v/>
      </c>
      <c r="G224" t="str">
        <f>IFERROR(__xludf.DUMMYFUNCTION("""COMPUTED_VALUE"""),"")</f>
        <v/>
      </c>
      <c r="H224" t="str">
        <f>IFERROR(__xludf.DUMMYFUNCTION("""COMPUTED_VALUE"""),"")</f>
        <v/>
      </c>
      <c r="I224" t="str">
        <f>IFERROR(__xludf.DUMMYFUNCTION("""COMPUTED_VALUE"""),"")</f>
        <v/>
      </c>
      <c r="J224" t="str">
        <f>IFERROR(__xludf.DUMMYFUNCTION("""COMPUTED_VALUE"""),"")</f>
        <v/>
      </c>
      <c r="K224" t="str">
        <f>IFERROR(__xludf.DUMMYFUNCTION("""COMPUTED_VALUE"""),"")</f>
        <v/>
      </c>
      <c r="L224" t="str">
        <f>IFERROR(__xludf.DUMMYFUNCTION("""COMPUTED_VALUE"""),"")</f>
        <v/>
      </c>
      <c r="M224" t="str">
        <f>IFERROR(__xludf.DUMMYFUNCTION("""COMPUTED_VALUE"""),"")</f>
        <v/>
      </c>
      <c r="N224" t="str">
        <f>IFERROR(__xludf.DUMMYFUNCTION("""COMPUTED_VALUE"""),"")</f>
        <v/>
      </c>
      <c r="O224" t="str">
        <f>IFERROR(__xludf.DUMMYFUNCTION("""COMPUTED_VALUE"""),"")</f>
        <v/>
      </c>
      <c r="P224" t="str">
        <f>IFERROR(__xludf.DUMMYFUNCTION("""COMPUTED_VALUE"""),"")</f>
        <v/>
      </c>
      <c r="Q224" t="str">
        <f>IFERROR(__xludf.DUMMYFUNCTION("""COMPUTED_VALUE"""),"")</f>
        <v/>
      </c>
      <c r="R224" t="str">
        <f>IFERROR(__xludf.DUMMYFUNCTION("""COMPUTED_VALUE"""),"CHSI")</f>
        <v>CHSI</v>
      </c>
      <c r="S224" t="str">
        <f>IFERROR(__xludf.DUMMYFUNCTION("""COMPUTED_VALUE"""),"")</f>
        <v/>
      </c>
      <c r="T224">
        <f>IFERROR(__xludf.DUMMYFUNCTION("""COMPUTED_VALUE"""),1.0)</f>
        <v>1</v>
      </c>
    </row>
    <row r="225">
      <c r="A225" t="str">
        <f>IFERROR(__xludf.DUMMYFUNCTION("""COMPUTED_VALUE"""),"High Cholesterol")</f>
        <v>High Cholesterol</v>
      </c>
      <c r="B225" t="str">
        <f>IFERROR(__xludf.DUMMYFUNCTION("""COMPUTED_VALUE"""),"")</f>
        <v/>
      </c>
      <c r="C225" t="str">
        <f>IFERROR(__xludf.DUMMYFUNCTION("""COMPUTED_VALUE"""),"")</f>
        <v/>
      </c>
      <c r="D225" t="str">
        <f>IFERROR(__xludf.DUMMYFUNCTION("""COMPUTED_VALUE"""),"")</f>
        <v/>
      </c>
      <c r="E225" t="str">
        <f>IFERROR(__xludf.DUMMYFUNCTION("""COMPUTED_VALUE"""),"")</f>
        <v/>
      </c>
      <c r="F225" t="str">
        <f>IFERROR(__xludf.DUMMYFUNCTION("""COMPUTED_VALUE"""),"")</f>
        <v/>
      </c>
      <c r="G225" t="str">
        <f>IFERROR(__xludf.DUMMYFUNCTION("""COMPUTED_VALUE"""),"")</f>
        <v/>
      </c>
      <c r="H225" t="str">
        <f>IFERROR(__xludf.DUMMYFUNCTION("""COMPUTED_VALUE"""),"")</f>
        <v/>
      </c>
      <c r="I225" t="str">
        <f>IFERROR(__xludf.DUMMYFUNCTION("""COMPUTED_VALUE"""),"")</f>
        <v/>
      </c>
      <c r="J225" t="str">
        <f>IFERROR(__xludf.DUMMYFUNCTION("""COMPUTED_VALUE"""),"")</f>
        <v/>
      </c>
      <c r="K225" t="str">
        <f>IFERROR(__xludf.DUMMYFUNCTION("""COMPUTED_VALUE"""),"")</f>
        <v/>
      </c>
      <c r="L225" t="str">
        <f>IFERROR(__xludf.DUMMYFUNCTION("""COMPUTED_VALUE"""),"")</f>
        <v/>
      </c>
      <c r="M225" t="str">
        <f>IFERROR(__xludf.DUMMYFUNCTION("""COMPUTED_VALUE"""),"")</f>
        <v/>
      </c>
      <c r="N225" s="19" t="str">
        <f>IFERROR(__xludf.DUMMYFUNCTION("""COMPUTED_VALUE"""),"https://www.americashealthrankings.org/explore/annual")</f>
        <v>https://www.americashealthrankings.org/explore/annual</v>
      </c>
      <c r="O225" t="str">
        <f>IFERROR(__xludf.DUMMYFUNCTION("""COMPUTED_VALUE"""),"")</f>
        <v/>
      </c>
      <c r="P225" t="str">
        <f>IFERROR(__xludf.DUMMYFUNCTION("""COMPUTED_VALUE"""),"")</f>
        <v/>
      </c>
      <c r="Q225" t="str">
        <f>IFERROR(__xludf.DUMMYFUNCTION("""COMPUTED_VALUE"""),"")</f>
        <v/>
      </c>
      <c r="R225" t="str">
        <f>IFERROR(__xludf.DUMMYFUNCTION("""COMPUTED_VALUE"""),"")</f>
        <v/>
      </c>
      <c r="S225" t="str">
        <f>IFERROR(__xludf.DUMMYFUNCTION("""COMPUTED_VALUE"""),"")</f>
        <v/>
      </c>
      <c r="T225">
        <f>IFERROR(__xludf.DUMMYFUNCTION("""COMPUTED_VALUE"""),1.0)</f>
        <v>1</v>
      </c>
    </row>
    <row r="226">
      <c r="A226" t="str">
        <f>IFERROR(__xludf.DUMMYFUNCTION("""COMPUTED_VALUE"""),"% population with multiple chronic conditions")</f>
        <v>% population with multiple chronic conditions</v>
      </c>
      <c r="B226" t="str">
        <f>IFERROR(__xludf.DUMMYFUNCTION("""COMPUTED_VALUE"""),"")</f>
        <v/>
      </c>
      <c r="C226" t="str">
        <f>IFERROR(__xludf.DUMMYFUNCTION("""COMPUTED_VALUE"""),"")</f>
        <v/>
      </c>
      <c r="D226" t="str">
        <f>IFERROR(__xludf.DUMMYFUNCTION("""COMPUTED_VALUE"""),"")</f>
        <v/>
      </c>
      <c r="E226" t="str">
        <f>IFERROR(__xludf.DUMMYFUNCTION("""COMPUTED_VALUE"""),"")</f>
        <v/>
      </c>
      <c r="F226" t="str">
        <f>IFERROR(__xludf.DUMMYFUNCTION("""COMPUTED_VALUE"""),"")</f>
        <v/>
      </c>
      <c r="G226" t="str">
        <f>IFERROR(__xludf.DUMMYFUNCTION("""COMPUTED_VALUE"""),"")</f>
        <v/>
      </c>
      <c r="H226" t="str">
        <f>IFERROR(__xludf.DUMMYFUNCTION("""COMPUTED_VALUE"""),"")</f>
        <v/>
      </c>
      <c r="I226" t="str">
        <f>IFERROR(__xludf.DUMMYFUNCTION("""COMPUTED_VALUE"""),"")</f>
        <v/>
      </c>
      <c r="J226" t="str">
        <f>IFERROR(__xludf.DUMMYFUNCTION("""COMPUTED_VALUE"""),"")</f>
        <v/>
      </c>
      <c r="K226" t="str">
        <f>IFERROR(__xludf.DUMMYFUNCTION("""COMPUTED_VALUE"""),"")</f>
        <v/>
      </c>
      <c r="L226" t="str">
        <f>IFERROR(__xludf.DUMMYFUNCTION("""COMPUTED_VALUE"""),"")</f>
        <v/>
      </c>
      <c r="M226" t="str">
        <f>IFERROR(__xludf.DUMMYFUNCTION("""COMPUTED_VALUE"""),"")</f>
        <v/>
      </c>
      <c r="N226" s="19" t="str">
        <f>IFERROR(__xludf.DUMMYFUNCTION("""COMPUTED_VALUE"""),"https://www.americashealthrankings.org/explore/annual")</f>
        <v>https://www.americashealthrankings.org/explore/annual</v>
      </c>
      <c r="O226" t="str">
        <f>IFERROR(__xludf.DUMMYFUNCTION("""COMPUTED_VALUE"""),"")</f>
        <v/>
      </c>
      <c r="P226" t="str">
        <f>IFERROR(__xludf.DUMMYFUNCTION("""COMPUTED_VALUE"""),"")</f>
        <v/>
      </c>
      <c r="Q226" t="str">
        <f>IFERROR(__xludf.DUMMYFUNCTION("""COMPUTED_VALUE"""),"")</f>
        <v/>
      </c>
      <c r="R226" t="str">
        <f>IFERROR(__xludf.DUMMYFUNCTION("""COMPUTED_VALUE"""),"")</f>
        <v/>
      </c>
      <c r="S226" t="str">
        <f>IFERROR(__xludf.DUMMYFUNCTION("""COMPUTED_VALUE"""),"")</f>
        <v/>
      </c>
      <c r="T226">
        <f>IFERROR(__xludf.DUMMYFUNCTION("""COMPUTED_VALUE"""),1.0)</f>
        <v>1</v>
      </c>
    </row>
    <row r="227">
      <c r="A227" t="str">
        <f>IFERROR(__xludf.DUMMYFUNCTION("""COMPUTED_VALUE"""),"Vision limitation (18 years and over)")</f>
        <v>Vision limitation (18 years and over)</v>
      </c>
      <c r="B227" t="str">
        <f>IFERROR(__xludf.DUMMYFUNCTION("""COMPUTED_VALUE"""),"")</f>
        <v/>
      </c>
      <c r="C227" t="str">
        <f>IFERROR(__xludf.DUMMYFUNCTION("""COMPUTED_VALUE"""),"")</f>
        <v/>
      </c>
      <c r="D227" t="str">
        <f>IFERROR(__xludf.DUMMYFUNCTION("""COMPUTED_VALUE"""),"")</f>
        <v/>
      </c>
      <c r="E227" t="str">
        <f>IFERROR(__xludf.DUMMYFUNCTION("""COMPUTED_VALUE"""),"")</f>
        <v/>
      </c>
      <c r="F227" t="str">
        <f>IFERROR(__xludf.DUMMYFUNCTION("""COMPUTED_VALUE"""),"")</f>
        <v/>
      </c>
      <c r="G227" t="str">
        <f>IFERROR(__xludf.DUMMYFUNCTION("""COMPUTED_VALUE"""),"")</f>
        <v/>
      </c>
      <c r="H227" t="str">
        <f>IFERROR(__xludf.DUMMYFUNCTION("""COMPUTED_VALUE"""),"")</f>
        <v/>
      </c>
      <c r="I227" t="str">
        <f>IFERROR(__xludf.DUMMYFUNCTION("""COMPUTED_VALUE"""),"")</f>
        <v/>
      </c>
      <c r="J227" t="str">
        <f>IFERROR(__xludf.DUMMYFUNCTION("""COMPUTED_VALUE"""),"")</f>
        <v/>
      </c>
      <c r="K227" t="str">
        <f>IFERROR(__xludf.DUMMYFUNCTION("""COMPUTED_VALUE"""),"")</f>
        <v/>
      </c>
      <c r="L227" s="19" t="str">
        <f>IFERROR(__xludf.DUMMYFUNCTION("""COMPUTED_VALUE"""),"https://usafacts.org/missions/promote-welfare/12")</f>
        <v>https://usafacts.org/missions/promote-welfare/12</v>
      </c>
      <c r="M227" t="str">
        <f>IFERROR(__xludf.DUMMYFUNCTION("""COMPUTED_VALUE"""),"")</f>
        <v/>
      </c>
      <c r="N227" t="str">
        <f>IFERROR(__xludf.DUMMYFUNCTION("""COMPUTED_VALUE"""),"")</f>
        <v/>
      </c>
      <c r="O227" t="str">
        <f>IFERROR(__xludf.DUMMYFUNCTION("""COMPUTED_VALUE"""),"")</f>
        <v/>
      </c>
      <c r="P227" t="str">
        <f>IFERROR(__xludf.DUMMYFUNCTION("""COMPUTED_VALUE"""),"")</f>
        <v/>
      </c>
      <c r="Q227" t="str">
        <f>IFERROR(__xludf.DUMMYFUNCTION("""COMPUTED_VALUE"""),"")</f>
        <v/>
      </c>
      <c r="R227" t="str">
        <f>IFERROR(__xludf.DUMMYFUNCTION("""COMPUTED_VALUE"""),"")</f>
        <v/>
      </c>
      <c r="S227" t="str">
        <f>IFERROR(__xludf.DUMMYFUNCTION("""COMPUTED_VALUE"""),"")</f>
        <v/>
      </c>
      <c r="T227">
        <f>IFERROR(__xludf.DUMMYFUNCTION("""COMPUTED_VALUE"""),1.0)</f>
        <v>1</v>
      </c>
    </row>
    <row r="228">
      <c r="A228" t="str">
        <f>IFERROR(__xludf.DUMMYFUNCTION("""COMPUTED_VALUE"""),"Prevalence of female genital mutilation/cutting")</f>
        <v>Prevalence of female genital mutilation/cutting</v>
      </c>
      <c r="B228" t="str">
        <f>IFERROR(__xludf.DUMMYFUNCTION("""COMPUTED_VALUE"""),"")</f>
        <v/>
      </c>
      <c r="C228" t="str">
        <f>IFERROR(__xludf.DUMMYFUNCTION("""COMPUTED_VALUE"""),"")</f>
        <v/>
      </c>
      <c r="D228" t="str">
        <f>IFERROR(__xludf.DUMMYFUNCTION("""COMPUTED_VALUE"""),"")</f>
        <v/>
      </c>
      <c r="E228" t="str">
        <f>IFERROR(__xludf.DUMMYFUNCTION("""COMPUTED_VALUE"""),"")</f>
        <v/>
      </c>
      <c r="F228" t="str">
        <f>IFERROR(__xludf.DUMMYFUNCTION("""COMPUTED_VALUE"""),"")</f>
        <v/>
      </c>
      <c r="G228" t="str">
        <f>IFERROR(__xludf.DUMMYFUNCTION("""COMPUTED_VALUE"""),"")</f>
        <v/>
      </c>
      <c r="H228" t="str">
        <f>IFERROR(__xludf.DUMMYFUNCTION("""COMPUTED_VALUE"""),"SDG 5.3.2")</f>
        <v>SDG 5.3.2</v>
      </c>
      <c r="I22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28" t="str">
        <f>IFERROR(__xludf.DUMMYFUNCTION("""COMPUTED_VALUE"""),"")</f>
        <v/>
      </c>
      <c r="K228" t="str">
        <f>IFERROR(__xludf.DUMMYFUNCTION("""COMPUTED_VALUE"""),"")</f>
        <v/>
      </c>
      <c r="L228" t="str">
        <f>IFERROR(__xludf.DUMMYFUNCTION("""COMPUTED_VALUE"""),"")</f>
        <v/>
      </c>
      <c r="M228" t="str">
        <f>IFERROR(__xludf.DUMMYFUNCTION("""COMPUTED_VALUE"""),"")</f>
        <v/>
      </c>
      <c r="N228" t="str">
        <f>IFERROR(__xludf.DUMMYFUNCTION("""COMPUTED_VALUE"""),"")</f>
        <v/>
      </c>
      <c r="O228" t="str">
        <f>IFERROR(__xludf.DUMMYFUNCTION("""COMPUTED_VALUE"""),"")</f>
        <v/>
      </c>
      <c r="P228" t="str">
        <f>IFERROR(__xludf.DUMMYFUNCTION("""COMPUTED_VALUE"""),"")</f>
        <v/>
      </c>
      <c r="Q228" t="str">
        <f>IFERROR(__xludf.DUMMYFUNCTION("""COMPUTED_VALUE"""),"")</f>
        <v/>
      </c>
      <c r="R228" t="str">
        <f>IFERROR(__xludf.DUMMYFUNCTION("""COMPUTED_VALUE"""),"")</f>
        <v/>
      </c>
      <c r="S228" t="str">
        <f>IFERROR(__xludf.DUMMYFUNCTION("""COMPUTED_VALUE"""),"")</f>
        <v/>
      </c>
      <c r="T228">
        <f>IFERROR(__xludf.DUMMYFUNCTION("""COMPUTED_VALUE"""),1.0)</f>
        <v>1</v>
      </c>
    </row>
    <row r="229">
      <c r="A229" t="str">
        <f>IFERROR(__xludf.DUMMYFUNCTION("""COMPUTED_VALUE"""),"Sexual violence against children")</f>
        <v>Sexual violence against children</v>
      </c>
      <c r="B229" t="str">
        <f>IFERROR(__xludf.DUMMYFUNCTION("""COMPUTED_VALUE"""),"")</f>
        <v/>
      </c>
      <c r="C229" t="str">
        <f>IFERROR(__xludf.DUMMYFUNCTION("""COMPUTED_VALUE"""),"")</f>
        <v/>
      </c>
      <c r="D229" t="str">
        <f>IFERROR(__xludf.DUMMYFUNCTION("""COMPUTED_VALUE"""),"")</f>
        <v/>
      </c>
      <c r="E229" t="str">
        <f>IFERROR(__xludf.DUMMYFUNCTION("""COMPUTED_VALUE"""),"")</f>
        <v/>
      </c>
      <c r="F229" t="str">
        <f>IFERROR(__xludf.DUMMYFUNCTION("""COMPUTED_VALUE"""),"")</f>
        <v/>
      </c>
      <c r="G229" t="str">
        <f>IFERROR(__xludf.DUMMYFUNCTION("""COMPUTED_VALUE"""),"")</f>
        <v/>
      </c>
      <c r="H229" t="str">
        <f>IFERROR(__xludf.DUMMYFUNCTION("""COMPUTED_VALUE"""),"SDG 16.2.3")</f>
        <v>SDG 16.2.3</v>
      </c>
      <c r="I22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29" t="str">
        <f>IFERROR(__xludf.DUMMYFUNCTION("""COMPUTED_VALUE"""),"")</f>
        <v/>
      </c>
      <c r="K229" t="str">
        <f>IFERROR(__xludf.DUMMYFUNCTION("""COMPUTED_VALUE"""),"")</f>
        <v/>
      </c>
      <c r="L229" t="str">
        <f>IFERROR(__xludf.DUMMYFUNCTION("""COMPUTED_VALUE"""),"")</f>
        <v/>
      </c>
      <c r="M229" t="str">
        <f>IFERROR(__xludf.DUMMYFUNCTION("""COMPUTED_VALUE"""),"")</f>
        <v/>
      </c>
      <c r="N229" t="str">
        <f>IFERROR(__xludf.DUMMYFUNCTION("""COMPUTED_VALUE"""),"")</f>
        <v/>
      </c>
      <c r="O229" t="str">
        <f>IFERROR(__xludf.DUMMYFUNCTION("""COMPUTED_VALUE"""),"")</f>
        <v/>
      </c>
      <c r="P229" t="str">
        <f>IFERROR(__xludf.DUMMYFUNCTION("""COMPUTED_VALUE"""),"")</f>
        <v/>
      </c>
      <c r="Q229" t="str">
        <f>IFERROR(__xludf.DUMMYFUNCTION("""COMPUTED_VALUE"""),"")</f>
        <v/>
      </c>
      <c r="R229" t="str">
        <f>IFERROR(__xludf.DUMMYFUNCTION("""COMPUTED_VALUE"""),"")</f>
        <v/>
      </c>
      <c r="S229" t="str">
        <f>IFERROR(__xludf.DUMMYFUNCTION("""COMPUTED_VALUE"""),"")</f>
        <v/>
      </c>
      <c r="T229">
        <f>IFERROR(__xludf.DUMMYFUNCTION("""COMPUTED_VALUE"""),1.0)</f>
        <v>1</v>
      </c>
    </row>
    <row r="230">
      <c r="A230" t="str">
        <f>IFERROR(__xludf.DUMMYFUNCTION("""COMPUTED_VALUE"""),"Early marriage")</f>
        <v>Early marriage</v>
      </c>
      <c r="B230" t="str">
        <f>IFERROR(__xludf.DUMMYFUNCTION("""COMPUTED_VALUE"""),"")</f>
        <v/>
      </c>
      <c r="C230" t="str">
        <f>IFERROR(__xludf.DUMMYFUNCTION("""COMPUTED_VALUE"""),"")</f>
        <v/>
      </c>
      <c r="D230" t="str">
        <f>IFERROR(__xludf.DUMMYFUNCTION("""COMPUTED_VALUE"""),"")</f>
        <v/>
      </c>
      <c r="E230" t="str">
        <f>IFERROR(__xludf.DUMMYFUNCTION("""COMPUTED_VALUE"""),"")</f>
        <v/>
      </c>
      <c r="F230" t="str">
        <f>IFERROR(__xludf.DUMMYFUNCTION("""COMPUTED_VALUE"""),"")</f>
        <v/>
      </c>
      <c r="G230" t="str">
        <f>IFERROR(__xludf.DUMMYFUNCTION("""COMPUTED_VALUE"""),"")</f>
        <v/>
      </c>
      <c r="H230" t="str">
        <f>IFERROR(__xludf.DUMMYFUNCTION("""COMPUTED_VALUE"""),"SDG 5.3.1")</f>
        <v>SDG 5.3.1</v>
      </c>
      <c r="I23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30" t="str">
        <f>IFERROR(__xludf.DUMMYFUNCTION("""COMPUTED_VALUE"""),"")</f>
        <v/>
      </c>
      <c r="K230" t="str">
        <f>IFERROR(__xludf.DUMMYFUNCTION("""COMPUTED_VALUE"""),"")</f>
        <v/>
      </c>
      <c r="L230" t="str">
        <f>IFERROR(__xludf.DUMMYFUNCTION("""COMPUTED_VALUE"""),"")</f>
        <v/>
      </c>
      <c r="M230" t="str">
        <f>IFERROR(__xludf.DUMMYFUNCTION("""COMPUTED_VALUE"""),"")</f>
        <v/>
      </c>
      <c r="N230" t="str">
        <f>IFERROR(__xludf.DUMMYFUNCTION("""COMPUTED_VALUE"""),"")</f>
        <v/>
      </c>
      <c r="O230" t="str">
        <f>IFERROR(__xludf.DUMMYFUNCTION("""COMPUTED_VALUE"""),"")</f>
        <v/>
      </c>
      <c r="P230" t="str">
        <f>IFERROR(__xludf.DUMMYFUNCTION("""COMPUTED_VALUE"""),"")</f>
        <v/>
      </c>
      <c r="Q230" t="str">
        <f>IFERROR(__xludf.DUMMYFUNCTION("""COMPUTED_VALUE"""),"")</f>
        <v/>
      </c>
      <c r="R230" t="str">
        <f>IFERROR(__xludf.DUMMYFUNCTION("""COMPUTED_VALUE"""),"")</f>
        <v/>
      </c>
      <c r="S230" t="str">
        <f>IFERROR(__xludf.DUMMYFUNCTION("""COMPUTED_VALUE"""),"")</f>
        <v/>
      </c>
      <c r="T230">
        <f>IFERROR(__xludf.DUMMYFUNCTION("""COMPUTED_VALUE"""),1.0)</f>
        <v>1</v>
      </c>
    </row>
    <row r="231">
      <c r="A231" t="str">
        <f>IFERROR(__xludf.DUMMYFUNCTION("""COMPUTED_VALUE"""),"Abuse of vulnerable patients harms and kills many patients")</f>
        <v>Abuse of vulnerable patients harms and kills many patients</v>
      </c>
      <c r="B231" t="str">
        <f>IFERROR(__xludf.DUMMYFUNCTION("""COMPUTED_VALUE"""),"")</f>
        <v/>
      </c>
      <c r="C231" t="str">
        <f>IFERROR(__xludf.DUMMYFUNCTION("""COMPUTED_VALUE"""),"")</f>
        <v/>
      </c>
      <c r="D231" t="str">
        <f>IFERROR(__xludf.DUMMYFUNCTION("""COMPUTED_VALUE"""),"")</f>
        <v/>
      </c>
      <c r="E231" t="str">
        <f>IFERROR(__xludf.DUMMYFUNCTION("""COMPUTED_VALUE"""),"")</f>
        <v/>
      </c>
      <c r="F231" t="str">
        <f>IFERROR(__xludf.DUMMYFUNCTION("""COMPUTED_VALUE"""),"")</f>
        <v/>
      </c>
      <c r="G231" t="str">
        <f>IFERROR(__xludf.DUMMYFUNCTION("""COMPUTED_VALUE"""),"Abuse, inequity")</f>
        <v>Abuse, inequity</v>
      </c>
      <c r="H231" t="str">
        <f>IFERROR(__xludf.DUMMYFUNCTION("""COMPUTED_VALUE"""),"")</f>
        <v/>
      </c>
      <c r="I231" t="str">
        <f>IFERROR(__xludf.DUMMYFUNCTION("""COMPUTED_VALUE"""),"")</f>
        <v/>
      </c>
      <c r="J231" t="str">
        <f>IFERROR(__xludf.DUMMYFUNCTION("""COMPUTED_VALUE"""),"")</f>
        <v/>
      </c>
      <c r="K231" t="str">
        <f>IFERROR(__xludf.DUMMYFUNCTION("""COMPUTED_VALUE"""),"")</f>
        <v/>
      </c>
      <c r="L231" t="str">
        <f>IFERROR(__xludf.DUMMYFUNCTION("""COMPUTED_VALUE"""),"")</f>
        <v/>
      </c>
      <c r="M231" t="str">
        <f>IFERROR(__xludf.DUMMYFUNCTION("""COMPUTED_VALUE"""),"")</f>
        <v/>
      </c>
      <c r="N231" t="str">
        <f>IFERROR(__xludf.DUMMYFUNCTION("""COMPUTED_VALUE"""),"")</f>
        <v/>
      </c>
      <c r="O231" t="str">
        <f>IFERROR(__xludf.DUMMYFUNCTION("""COMPUTED_VALUE"""),"")</f>
        <v/>
      </c>
      <c r="P231" t="str">
        <f>IFERROR(__xludf.DUMMYFUNCTION("""COMPUTED_VALUE"""),"")</f>
        <v/>
      </c>
      <c r="Q231" t="str">
        <f>IFERROR(__xludf.DUMMYFUNCTION("""COMPUTED_VALUE"""),"")</f>
        <v/>
      </c>
      <c r="R231" t="str">
        <f>IFERROR(__xludf.DUMMYFUNCTION("""COMPUTED_VALUE"""),"")</f>
        <v/>
      </c>
      <c r="S231" t="str">
        <f>IFERROR(__xludf.DUMMYFUNCTION("""COMPUTED_VALUE"""),"BWHP-19")</f>
        <v>BWHP-19</v>
      </c>
      <c r="T231">
        <f>IFERROR(__xludf.DUMMYFUNCTION("""COMPUTED_VALUE"""),1.0)</f>
        <v>1</v>
      </c>
    </row>
    <row r="232">
      <c r="A232" t="str">
        <f>IFERROR(__xludf.DUMMYFUNCTION("""COMPUTED_VALUE"""),"Prevalence of children living in homes with domestic abuse")</f>
        <v>Prevalence of children living in homes with domestic abuse</v>
      </c>
      <c r="B232" t="str">
        <f>IFERROR(__xludf.DUMMYFUNCTION("""COMPUTED_VALUE"""),"")</f>
        <v/>
      </c>
      <c r="C232" t="str">
        <f>IFERROR(__xludf.DUMMYFUNCTION("""COMPUTED_VALUE"""),"")</f>
        <v/>
      </c>
      <c r="D232" t="str">
        <f>IFERROR(__xludf.DUMMYFUNCTION("""COMPUTED_VALUE"""),"")</f>
        <v/>
      </c>
      <c r="E232" t="str">
        <f>IFERROR(__xludf.DUMMYFUNCTION("""COMPUTED_VALUE"""),"")</f>
        <v/>
      </c>
      <c r="F232" t="str">
        <f>IFERROR(__xludf.DUMMYFUNCTION("""COMPUTED_VALUE"""),"")</f>
        <v/>
      </c>
      <c r="G232" t="str">
        <f>IFERROR(__xludf.DUMMYFUNCTION("""COMPUTED_VALUE"""),"")</f>
        <v/>
      </c>
      <c r="H232" t="str">
        <f>IFERROR(__xludf.DUMMYFUNCTION("""COMPUTED_VALUE"""),"Also ""adverse childhood experiences"", ""disconnected youth""")</f>
        <v>Also "adverse childhood experiences", "disconnected youth"</v>
      </c>
      <c r="I232" t="str">
        <f>IFERROR(__xludf.DUMMYFUNCTION("""COMPUTED_VALUE"""),"")</f>
        <v/>
      </c>
      <c r="J232" t="str">
        <f>IFERROR(__xludf.DUMMYFUNCTION("""COMPUTED_VALUE"""),"")</f>
        <v/>
      </c>
      <c r="K232" t="str">
        <f>IFERROR(__xludf.DUMMYFUNCTION("""COMPUTED_VALUE"""),"")</f>
        <v/>
      </c>
      <c r="L232" t="str">
        <f>IFERROR(__xludf.DUMMYFUNCTION("""COMPUTED_VALUE"""),"")</f>
        <v/>
      </c>
      <c r="M232" t="str">
        <f>IFERROR(__xludf.DUMMYFUNCTION("""COMPUTED_VALUE"""),"")</f>
        <v/>
      </c>
      <c r="N232" s="19" t="str">
        <f>IFERROR(__xludf.DUMMYFUNCTION("""COMPUTED_VALUE"""),"https://www.americashealthrankings.org/explore/annual")</f>
        <v>https://www.americashealthrankings.org/explore/annual</v>
      </c>
      <c r="O232" t="str">
        <f>IFERROR(__xludf.DUMMYFUNCTION("""COMPUTED_VALUE"""),"")</f>
        <v/>
      </c>
      <c r="P232" t="str">
        <f>IFERROR(__xludf.DUMMYFUNCTION("""COMPUTED_VALUE"""),"")</f>
        <v/>
      </c>
      <c r="Q232" t="str">
        <f>IFERROR(__xludf.DUMMYFUNCTION("""COMPUTED_VALUE"""),"")</f>
        <v/>
      </c>
      <c r="R232" t="str">
        <f>IFERROR(__xludf.DUMMYFUNCTION("""COMPUTED_VALUE"""),"")</f>
        <v/>
      </c>
      <c r="S232" t="str">
        <f>IFERROR(__xludf.DUMMYFUNCTION("""COMPUTED_VALUE"""),"")</f>
        <v/>
      </c>
      <c r="T232">
        <f>IFERROR(__xludf.DUMMYFUNCTION("""COMPUTED_VALUE"""),1.0)</f>
        <v>1</v>
      </c>
    </row>
    <row r="233">
      <c r="A233" t="str">
        <f>IFERROR(__xludf.DUMMYFUNCTION("""COMPUTED_VALUE"""),"Children without all components of a medical home")</f>
        <v>Children without all components of a medical home</v>
      </c>
      <c r="B233" t="str">
        <f>IFERROR(__xludf.DUMMYFUNCTION("""COMPUTED_VALUE"""),"")</f>
        <v/>
      </c>
      <c r="C233" t="str">
        <f>IFERROR(__xludf.DUMMYFUNCTION("""COMPUTED_VALUE"""),"")</f>
        <v/>
      </c>
      <c r="D233" t="str">
        <f>IFERROR(__xludf.DUMMYFUNCTION("""COMPUTED_VALUE"""),"")</f>
        <v/>
      </c>
      <c r="E233" t="str">
        <f>IFERROR(__xludf.DUMMYFUNCTION("""COMPUTED_VALUE"""),"")</f>
        <v/>
      </c>
      <c r="F233" t="str">
        <f>IFERROR(__xludf.DUMMYFUNCTION("""COMPUTED_VALUE"""),"")</f>
        <v/>
      </c>
      <c r="G233" t="str">
        <f>IFERROR(__xludf.DUMMYFUNCTION("""COMPUTED_VALUE"""),"")</f>
        <v/>
      </c>
      <c r="H233" t="str">
        <f>IFERROR(__xludf.DUMMYFUNCTION("""COMPUTED_VALUE"""),"")</f>
        <v/>
      </c>
      <c r="I233" t="str">
        <f>IFERROR(__xludf.DUMMYFUNCTION("""COMPUTED_VALUE"""),"")</f>
        <v/>
      </c>
      <c r="J233" s="19" t="str">
        <f>IFERROR(__xludf.DUMMYFUNCTION("""COMPUTED_VALUE"""),"https://interactives.commonwealthfund.org/2018/state-scorecard/files/Radley_State_Scorecard_2018.pdf")</f>
        <v>https://interactives.commonwealthfund.org/2018/state-scorecard/files/Radley_State_Scorecard_2018.pdf</v>
      </c>
      <c r="K233" t="str">
        <f>IFERROR(__xludf.DUMMYFUNCTION("""COMPUTED_VALUE"""),"")</f>
        <v/>
      </c>
      <c r="L233" t="str">
        <f>IFERROR(__xludf.DUMMYFUNCTION("""COMPUTED_VALUE"""),"")</f>
        <v/>
      </c>
      <c r="M233" t="str">
        <f>IFERROR(__xludf.DUMMYFUNCTION("""COMPUTED_VALUE"""),"")</f>
        <v/>
      </c>
      <c r="N233" t="str">
        <f>IFERROR(__xludf.DUMMYFUNCTION("""COMPUTED_VALUE"""),"")</f>
        <v/>
      </c>
      <c r="O233" t="str">
        <f>IFERROR(__xludf.DUMMYFUNCTION("""COMPUTED_VALUE"""),"")</f>
        <v/>
      </c>
      <c r="P233" t="str">
        <f>IFERROR(__xludf.DUMMYFUNCTION("""COMPUTED_VALUE"""),"")</f>
        <v/>
      </c>
      <c r="Q233" t="str">
        <f>IFERROR(__xludf.DUMMYFUNCTION("""COMPUTED_VALUE"""),"")</f>
        <v/>
      </c>
      <c r="R233" t="str">
        <f>IFERROR(__xludf.DUMMYFUNCTION("""COMPUTED_VALUE"""),"")</f>
        <v/>
      </c>
      <c r="S233" t="str">
        <f>IFERROR(__xludf.DUMMYFUNCTION("""COMPUTED_VALUE"""),"")</f>
        <v/>
      </c>
      <c r="T233">
        <f>IFERROR(__xludf.DUMMYFUNCTION("""COMPUTED_VALUE"""),1.0)</f>
        <v>1</v>
      </c>
    </row>
    <row r="234">
      <c r="A234" t="str">
        <f>IFERROR(__xludf.DUMMYFUNCTION("""COMPUTED_VALUE"""),"PTSD or other disability due to military service")</f>
        <v>PTSD or other disability due to military service</v>
      </c>
      <c r="B234" t="str">
        <f>IFERROR(__xludf.DUMMYFUNCTION("""COMPUTED_VALUE"""),"")</f>
        <v/>
      </c>
      <c r="C234" t="str">
        <f>IFERROR(__xludf.DUMMYFUNCTION("""COMPUTED_VALUE"""),"")</f>
        <v/>
      </c>
      <c r="D234" t="str">
        <f>IFERROR(__xludf.DUMMYFUNCTION("""COMPUTED_VALUE"""),"")</f>
        <v/>
      </c>
      <c r="E234" t="str">
        <f>IFERROR(__xludf.DUMMYFUNCTION("""COMPUTED_VALUE"""),"")</f>
        <v/>
      </c>
      <c r="F234" t="str">
        <f>IFERROR(__xludf.DUMMYFUNCTION("""COMPUTED_VALUE"""),"")</f>
        <v/>
      </c>
      <c r="G234" t="str">
        <f>IFERROR(__xludf.DUMMYFUNCTION("""COMPUTED_VALUE"""),"VA")</f>
        <v>VA</v>
      </c>
      <c r="H234" t="str">
        <f>IFERROR(__xludf.DUMMYFUNCTION("""COMPUTED_VALUE"""),"")</f>
        <v/>
      </c>
      <c r="I234" t="str">
        <f>IFERROR(__xludf.DUMMYFUNCTION("""COMPUTED_VALUE"""),"")</f>
        <v/>
      </c>
      <c r="J234" t="str">
        <f>IFERROR(__xludf.DUMMYFUNCTION("""COMPUTED_VALUE"""),"")</f>
        <v/>
      </c>
      <c r="K234" t="str">
        <f>IFERROR(__xludf.DUMMYFUNCTION("""COMPUTED_VALUE"""),"")</f>
        <v/>
      </c>
      <c r="L234" t="str">
        <f>IFERROR(__xludf.DUMMYFUNCTION("""COMPUTED_VALUE"""),"")</f>
        <v/>
      </c>
      <c r="M234" t="str">
        <f>IFERROR(__xludf.DUMMYFUNCTION("""COMPUTED_VALUE"""),"")</f>
        <v/>
      </c>
      <c r="N234" t="str">
        <f>IFERROR(__xludf.DUMMYFUNCTION("""COMPUTED_VALUE"""),"")</f>
        <v/>
      </c>
      <c r="O234" t="str">
        <f>IFERROR(__xludf.DUMMYFUNCTION("""COMPUTED_VALUE"""),"")</f>
        <v/>
      </c>
      <c r="P234" t="str">
        <f>IFERROR(__xludf.DUMMYFUNCTION("""COMPUTED_VALUE"""),"")</f>
        <v/>
      </c>
      <c r="Q234" t="str">
        <f>IFERROR(__xludf.DUMMYFUNCTION("""COMPUTED_VALUE"""),"")</f>
        <v/>
      </c>
      <c r="R234" t="str">
        <f>IFERROR(__xludf.DUMMYFUNCTION("""COMPUTED_VALUE"""),"")</f>
        <v/>
      </c>
      <c r="S234" t="str">
        <f>IFERROR(__xludf.DUMMYFUNCTION("""COMPUTED_VALUE"""),"BWHP-43")</f>
        <v>BWHP-43</v>
      </c>
      <c r="T234">
        <f>IFERROR(__xludf.DUMMYFUNCTION("""COMPUTED_VALUE"""),1.0)</f>
        <v>1</v>
      </c>
    </row>
    <row r="235">
      <c r="A235" t="str">
        <f>IFERROR(__xludf.DUMMYFUNCTION("""COMPUTED_VALUE"""),"Vaccine hesitancy")</f>
        <v>Vaccine hesitancy</v>
      </c>
      <c r="B235" t="str">
        <f>IFERROR(__xludf.DUMMYFUNCTION("""COMPUTED_VALUE"""),"")</f>
        <v/>
      </c>
      <c r="C235" t="str">
        <f>IFERROR(__xludf.DUMMYFUNCTION("""COMPUTED_VALUE"""),"")</f>
        <v/>
      </c>
      <c r="D235" t="str">
        <f>IFERROR(__xludf.DUMMYFUNCTION("""COMPUTED_VALUE"""),"")</f>
        <v/>
      </c>
      <c r="E235" t="str">
        <f>IFERROR(__xludf.DUMMYFUNCTION("""COMPUTED_VALUE"""),"")</f>
        <v/>
      </c>
      <c r="F235" t="str">
        <f>IFERROR(__xludf.DUMMYFUNCTION("""COMPUTED_VALUE"""),"")</f>
        <v/>
      </c>
      <c r="G235" t="str">
        <f>IFERROR(__xludf.DUMMYFUNCTION("""COMPUTED_VALUE"""),"")</f>
        <v/>
      </c>
      <c r="H235" t="str">
        <f>IFERROR(__xludf.DUMMYFUNCTION("""COMPUTED_VALUE"""),"")</f>
        <v/>
      </c>
      <c r="I235" t="str">
        <f>IFERROR(__xludf.DUMMYFUNCTION("""COMPUTED_VALUE"""),"")</f>
        <v/>
      </c>
      <c r="J235" t="str">
        <f>IFERROR(__xludf.DUMMYFUNCTION("""COMPUTED_VALUE"""),"")</f>
        <v/>
      </c>
      <c r="K235" t="str">
        <f>IFERROR(__xludf.DUMMYFUNCTION("""COMPUTED_VALUE"""),"")</f>
        <v/>
      </c>
      <c r="L235" t="str">
        <f>IFERROR(__xludf.DUMMYFUNCTION("""COMPUTED_VALUE"""),"")</f>
        <v/>
      </c>
      <c r="M235" t="str">
        <f>IFERROR(__xludf.DUMMYFUNCTION("""COMPUTED_VALUE"""),"")</f>
        <v/>
      </c>
      <c r="N235" t="str">
        <f>IFERROR(__xludf.DUMMYFUNCTION("""COMPUTED_VALUE"""),"")</f>
        <v/>
      </c>
      <c r="O235" t="str">
        <f>IFERROR(__xludf.DUMMYFUNCTION("""COMPUTED_VALUE"""),"")</f>
        <v/>
      </c>
      <c r="P235" t="str">
        <f>IFERROR(__xludf.DUMMYFUNCTION("""COMPUTED_VALUE"""),"")</f>
        <v/>
      </c>
      <c r="Q235" s="19" t="str">
        <f>IFERROR(__xludf.DUMMYFUNCTION("""COMPUTED_VALUE"""),"https://www.cdc.gov/nchs/healthy_people/hp2020/hp2020_indicators.htm")</f>
        <v>https://www.cdc.gov/nchs/healthy_people/hp2020/hp2020_indicators.htm</v>
      </c>
      <c r="R235" t="str">
        <f>IFERROR(__xludf.DUMMYFUNCTION("""COMPUTED_VALUE"""),"")</f>
        <v/>
      </c>
      <c r="S235" t="str">
        <f>IFERROR(__xludf.DUMMYFUNCTION("""COMPUTED_VALUE"""),"")</f>
        <v/>
      </c>
      <c r="T235">
        <f>IFERROR(__xludf.DUMMYFUNCTION("""COMPUTED_VALUE"""),1.0)</f>
        <v>1</v>
      </c>
    </row>
    <row r="236">
      <c r="A236" t="str">
        <f>IFERROR(__xludf.DUMMYFUNCTION("""COMPUTED_VALUE"""),"Homelessness")</f>
        <v>Homelessness</v>
      </c>
      <c r="B236" t="str">
        <f>IFERROR(__xludf.DUMMYFUNCTION("""COMPUTED_VALUE"""),"")</f>
        <v/>
      </c>
      <c r="C236" t="str">
        <f>IFERROR(__xludf.DUMMYFUNCTION("""COMPUTED_VALUE"""),"")</f>
        <v/>
      </c>
      <c r="D236" t="str">
        <f>IFERROR(__xludf.DUMMYFUNCTION("""COMPUTED_VALUE"""),"")</f>
        <v/>
      </c>
      <c r="E236" t="str">
        <f>IFERROR(__xludf.DUMMYFUNCTION("""COMPUTED_VALUE"""),"")</f>
        <v/>
      </c>
      <c r="F236" t="str">
        <f>IFERROR(__xludf.DUMMYFUNCTION("""COMPUTED_VALUE"""),"")</f>
        <v/>
      </c>
      <c r="G236" t="str">
        <f>IFERROR(__xludf.DUMMYFUNCTION("""COMPUTED_VALUE"""),"VA")</f>
        <v>VA</v>
      </c>
      <c r="H236" t="str">
        <f>IFERROR(__xludf.DUMMYFUNCTION("""COMPUTED_VALUE"""),"")</f>
        <v/>
      </c>
      <c r="I236" t="str">
        <f>IFERROR(__xludf.DUMMYFUNCTION("""COMPUTED_VALUE"""),"")</f>
        <v/>
      </c>
      <c r="J236" t="str">
        <f>IFERROR(__xludf.DUMMYFUNCTION("""COMPUTED_VALUE"""),"")</f>
        <v/>
      </c>
      <c r="K236" t="str">
        <f>IFERROR(__xludf.DUMMYFUNCTION("""COMPUTED_VALUE"""),"")</f>
        <v/>
      </c>
      <c r="L236" t="str">
        <f>IFERROR(__xludf.DUMMYFUNCTION("""COMPUTED_VALUE"""),"")</f>
        <v/>
      </c>
      <c r="M236" t="str">
        <f>IFERROR(__xludf.DUMMYFUNCTION("""COMPUTED_VALUE"""),"")</f>
        <v/>
      </c>
      <c r="N236" t="str">
        <f>IFERROR(__xludf.DUMMYFUNCTION("""COMPUTED_VALUE"""),"")</f>
        <v/>
      </c>
      <c r="O236" t="str">
        <f>IFERROR(__xludf.DUMMYFUNCTION("""COMPUTED_VALUE"""),"")</f>
        <v/>
      </c>
      <c r="P236" t="str">
        <f>IFERROR(__xludf.DUMMYFUNCTION("""COMPUTED_VALUE"""),"")</f>
        <v/>
      </c>
      <c r="Q236" t="str">
        <f>IFERROR(__xludf.DUMMYFUNCTION("""COMPUTED_VALUE"""),"")</f>
        <v/>
      </c>
      <c r="R236" t="str">
        <f>IFERROR(__xludf.DUMMYFUNCTION("""COMPUTED_VALUE"""),"")</f>
        <v/>
      </c>
      <c r="S236" t="str">
        <f>IFERROR(__xludf.DUMMYFUNCTION("""COMPUTED_VALUE"""),"BWHP-40")</f>
        <v>BWHP-40</v>
      </c>
      <c r="T236">
        <f>IFERROR(__xludf.DUMMYFUNCTION("""COMPUTED_VALUE"""),1.0)</f>
        <v>1</v>
      </c>
    </row>
    <row r="237">
      <c r="A237" t="str">
        <f>IFERROR(__xludf.DUMMYFUNCTION("""COMPUTED_VALUE"""),"Students graduating from high school 4 years after starting 9th grade")</f>
        <v>Students graduating from high school 4 years after starting 9th grade</v>
      </c>
      <c r="B237" t="str">
        <f>IFERROR(__xludf.DUMMYFUNCTION("""COMPUTED_VALUE"""),"")</f>
        <v/>
      </c>
      <c r="C237" t="str">
        <f>IFERROR(__xludf.DUMMYFUNCTION("""COMPUTED_VALUE"""),"")</f>
        <v/>
      </c>
      <c r="D237" t="str">
        <f>IFERROR(__xludf.DUMMYFUNCTION("""COMPUTED_VALUE"""),"")</f>
        <v/>
      </c>
      <c r="E237" t="str">
        <f>IFERROR(__xludf.DUMMYFUNCTION("""COMPUTED_VALUE"""),"")</f>
        <v/>
      </c>
      <c r="F237" t="str">
        <f>IFERROR(__xludf.DUMMYFUNCTION("""COMPUTED_VALUE"""),"")</f>
        <v/>
      </c>
      <c r="G237" t="str">
        <f>IFERROR(__xludf.DUMMYFUNCTION("""COMPUTED_VALUE"""),"SDOH")</f>
        <v>SDOH</v>
      </c>
      <c r="H237" t="str">
        <f>IFERROR(__xludf.DUMMYFUNCTION("""COMPUTED_VALUE"""),"")</f>
        <v/>
      </c>
      <c r="I237" t="str">
        <f>IFERROR(__xludf.DUMMYFUNCTION("""COMPUTED_VALUE"""),"")</f>
        <v/>
      </c>
      <c r="J237" t="str">
        <f>IFERROR(__xludf.DUMMYFUNCTION("""COMPUTED_VALUE"""),"")</f>
        <v/>
      </c>
      <c r="K237" t="str">
        <f>IFERROR(__xludf.DUMMYFUNCTION("""COMPUTED_VALUE"""),"")</f>
        <v/>
      </c>
      <c r="L237" t="str">
        <f>IFERROR(__xludf.DUMMYFUNCTION("""COMPUTED_VALUE"""),"")</f>
        <v/>
      </c>
      <c r="M237" t="str">
        <f>IFERROR(__xludf.DUMMYFUNCTION("""COMPUTED_VALUE"""),"")</f>
        <v/>
      </c>
      <c r="N237" t="str">
        <f>IFERROR(__xludf.DUMMYFUNCTION("""COMPUTED_VALUE"""),"")</f>
        <v/>
      </c>
      <c r="O237" t="str">
        <f>IFERROR(__xludf.DUMMYFUNCTION("""COMPUTED_VALUE"""),"")</f>
        <v/>
      </c>
      <c r="P237" t="str">
        <f>IFERROR(__xludf.DUMMYFUNCTION("""COMPUTED_VALUE"""),"")</f>
        <v/>
      </c>
      <c r="Q237" s="19" t="str">
        <f>IFERROR(__xludf.DUMMYFUNCTION("""COMPUTED_VALUE"""),"https://www.cdc.gov/nchs/healthy_people/hp2020/hp2020_indicators.htm")</f>
        <v>https://www.cdc.gov/nchs/healthy_people/hp2020/hp2020_indicators.htm</v>
      </c>
      <c r="R237" t="str">
        <f>IFERROR(__xludf.DUMMYFUNCTION("""COMPUTED_VALUE"""),"")</f>
        <v/>
      </c>
      <c r="S237" t="str">
        <f>IFERROR(__xludf.DUMMYFUNCTION("""COMPUTED_VALUE"""),"")</f>
        <v/>
      </c>
      <c r="T237">
        <f>IFERROR(__xludf.DUMMYFUNCTION("""COMPUTED_VALUE"""),1.0)</f>
        <v>1</v>
      </c>
    </row>
    <row r="238">
      <c r="A238" t="str">
        <f>IFERROR(__xludf.DUMMYFUNCTION("""COMPUTED_VALUE"""),"TBI harms and kills many Veterans")</f>
        <v>TBI harms and kills many Veterans</v>
      </c>
      <c r="B238" t="str">
        <f>IFERROR(__xludf.DUMMYFUNCTION("""COMPUTED_VALUE"""),"")</f>
        <v/>
      </c>
      <c r="C238" t="str">
        <f>IFERROR(__xludf.DUMMYFUNCTION("""COMPUTED_VALUE"""),"")</f>
        <v/>
      </c>
      <c r="D238" t="str">
        <f>IFERROR(__xludf.DUMMYFUNCTION("""COMPUTED_VALUE"""),"")</f>
        <v/>
      </c>
      <c r="E238" t="str">
        <f>IFERROR(__xludf.DUMMYFUNCTION("""COMPUTED_VALUE"""),"")</f>
        <v/>
      </c>
      <c r="F238" t="str">
        <f>IFERROR(__xludf.DUMMYFUNCTION("""COMPUTED_VALUE"""),"")</f>
        <v/>
      </c>
      <c r="G238" t="str">
        <f>IFERROR(__xludf.DUMMYFUNCTION("""COMPUTED_VALUE"""),"VA")</f>
        <v>VA</v>
      </c>
      <c r="H238" t="str">
        <f>IFERROR(__xludf.DUMMYFUNCTION("""COMPUTED_VALUE"""),"")</f>
        <v/>
      </c>
      <c r="I238" t="str">
        <f>IFERROR(__xludf.DUMMYFUNCTION("""COMPUTED_VALUE"""),"")</f>
        <v/>
      </c>
      <c r="J238" t="str">
        <f>IFERROR(__xludf.DUMMYFUNCTION("""COMPUTED_VALUE"""),"")</f>
        <v/>
      </c>
      <c r="K238" t="str">
        <f>IFERROR(__xludf.DUMMYFUNCTION("""COMPUTED_VALUE"""),"")</f>
        <v/>
      </c>
      <c r="L238" t="str">
        <f>IFERROR(__xludf.DUMMYFUNCTION("""COMPUTED_VALUE"""),"")</f>
        <v/>
      </c>
      <c r="M238" t="str">
        <f>IFERROR(__xludf.DUMMYFUNCTION("""COMPUTED_VALUE"""),"")</f>
        <v/>
      </c>
      <c r="N238" t="str">
        <f>IFERROR(__xludf.DUMMYFUNCTION("""COMPUTED_VALUE"""),"")</f>
        <v/>
      </c>
      <c r="O238" t="str">
        <f>IFERROR(__xludf.DUMMYFUNCTION("""COMPUTED_VALUE"""),"")</f>
        <v/>
      </c>
      <c r="P238" t="str">
        <f>IFERROR(__xludf.DUMMYFUNCTION("""COMPUTED_VALUE"""),"")</f>
        <v/>
      </c>
      <c r="Q238" t="str">
        <f>IFERROR(__xludf.DUMMYFUNCTION("""COMPUTED_VALUE"""),"")</f>
        <v/>
      </c>
      <c r="R238" t="str">
        <f>IFERROR(__xludf.DUMMYFUNCTION("""COMPUTED_VALUE"""),"")</f>
        <v/>
      </c>
      <c r="S238" t="str">
        <f>IFERROR(__xludf.DUMMYFUNCTION("""COMPUTED_VALUE"""),"BWHP-44")</f>
        <v>BWHP-44</v>
      </c>
      <c r="T238">
        <f>IFERROR(__xludf.DUMMYFUNCTION("""COMPUTED_VALUE"""),1.0)</f>
        <v>1</v>
      </c>
    </row>
    <row r="239">
      <c r="A239" t="str">
        <f>IFERROR(__xludf.DUMMYFUNCTION("""COMPUTED_VALUE"""),"Violent crime")</f>
        <v>Violent crime</v>
      </c>
      <c r="B239" t="str">
        <f>IFERROR(__xludf.DUMMYFUNCTION("""COMPUTED_VALUE"""),"")</f>
        <v/>
      </c>
      <c r="C239" t="str">
        <f>IFERROR(__xludf.DUMMYFUNCTION("""COMPUTED_VALUE"""),"")</f>
        <v/>
      </c>
      <c r="D239" t="str">
        <f>IFERROR(__xludf.DUMMYFUNCTION("""COMPUTED_VALUE"""),"")</f>
        <v/>
      </c>
      <c r="E239" t="str">
        <f>IFERROR(__xludf.DUMMYFUNCTION("""COMPUTED_VALUE"""),"")</f>
        <v/>
      </c>
      <c r="F239" t="str">
        <f>IFERROR(__xludf.DUMMYFUNCTION("""COMPUTED_VALUE"""),"")</f>
        <v/>
      </c>
      <c r="G239" t="str">
        <f>IFERROR(__xludf.DUMMYFUNCTION("""COMPUTED_VALUE"""),"")</f>
        <v/>
      </c>
      <c r="H239" t="str">
        <f>IFERROR(__xludf.DUMMYFUNCTION("""COMPUTED_VALUE"""),"Also linked this to homicide deaths (a more popular metric but similar idea)")</f>
        <v>Also linked this to homicide deaths (a more popular metric but similar idea)</v>
      </c>
      <c r="I239" t="str">
        <f>IFERROR(__xludf.DUMMYFUNCTION("""COMPUTED_VALUE"""),"")</f>
        <v/>
      </c>
      <c r="J239" t="str">
        <f>IFERROR(__xludf.DUMMYFUNCTION("""COMPUTED_VALUE"""),"")</f>
        <v/>
      </c>
      <c r="K239" t="str">
        <f>IFERROR(__xludf.DUMMYFUNCTION("""COMPUTED_VALUE"""),"")</f>
        <v/>
      </c>
      <c r="L239" t="str">
        <f>IFERROR(__xludf.DUMMYFUNCTION("""COMPUTED_VALUE"""),"")</f>
        <v/>
      </c>
      <c r="M239" t="str">
        <f>IFERROR(__xludf.DUMMYFUNCTION("""COMPUTED_VALUE"""),"")</f>
        <v/>
      </c>
      <c r="N239" s="19" t="str">
        <f>IFERROR(__xludf.DUMMYFUNCTION("""COMPUTED_VALUE"""),"https://www.americashealthrankings.org/explore/annual")</f>
        <v>https://www.americashealthrankings.org/explore/annual</v>
      </c>
      <c r="O239" t="str">
        <f>IFERROR(__xludf.DUMMYFUNCTION("""COMPUTED_VALUE"""),"")</f>
        <v/>
      </c>
      <c r="P239" t="str">
        <f>IFERROR(__xludf.DUMMYFUNCTION("""COMPUTED_VALUE"""),"")</f>
        <v/>
      </c>
      <c r="Q239" t="str">
        <f>IFERROR(__xludf.DUMMYFUNCTION("""COMPUTED_VALUE"""),"")</f>
        <v/>
      </c>
      <c r="R239" t="str">
        <f>IFERROR(__xludf.DUMMYFUNCTION("""COMPUTED_VALUE"""),"")</f>
        <v/>
      </c>
      <c r="S239" t="str">
        <f>IFERROR(__xludf.DUMMYFUNCTION("""COMPUTED_VALUE"""),"")</f>
        <v/>
      </c>
      <c r="T239">
        <f>IFERROR(__xludf.DUMMYFUNCTION("""COMPUTED_VALUE"""),1.0)</f>
        <v>1</v>
      </c>
    </row>
    <row r="240">
      <c r="A240" t="str">
        <f>IFERROR(__xludf.DUMMYFUNCTION("""COMPUTED_VALUE"""),"Insufficient sleep")</f>
        <v>Insufficient sleep</v>
      </c>
      <c r="B240" t="str">
        <f>IFERROR(__xludf.DUMMYFUNCTION("""COMPUTED_VALUE"""),"")</f>
        <v/>
      </c>
      <c r="C240" t="str">
        <f>IFERROR(__xludf.DUMMYFUNCTION("""COMPUTED_VALUE"""),"")</f>
        <v/>
      </c>
      <c r="D240" t="str">
        <f>IFERROR(__xludf.DUMMYFUNCTION("""COMPUTED_VALUE"""),"")</f>
        <v/>
      </c>
      <c r="E240" t="str">
        <f>IFERROR(__xludf.DUMMYFUNCTION("""COMPUTED_VALUE"""),"")</f>
        <v/>
      </c>
      <c r="F240" t="str">
        <f>IFERROR(__xludf.DUMMYFUNCTION("""COMPUTED_VALUE"""),"")</f>
        <v/>
      </c>
      <c r="G240" t="str">
        <f>IFERROR(__xludf.DUMMYFUNCTION("""COMPUTED_VALUE"""),"")</f>
        <v/>
      </c>
      <c r="H240" t="str">
        <f>IFERROR(__xludf.DUMMYFUNCTION("""COMPUTED_VALUE"""),"")</f>
        <v/>
      </c>
      <c r="I240" t="str">
        <f>IFERROR(__xludf.DUMMYFUNCTION("""COMPUTED_VALUE"""),"")</f>
        <v/>
      </c>
      <c r="J240" t="str">
        <f>IFERROR(__xludf.DUMMYFUNCTION("""COMPUTED_VALUE"""),"")</f>
        <v/>
      </c>
      <c r="K240" t="str">
        <f>IFERROR(__xludf.DUMMYFUNCTION("""COMPUTED_VALUE"""),"")</f>
        <v/>
      </c>
      <c r="L240" t="str">
        <f>IFERROR(__xludf.DUMMYFUNCTION("""COMPUTED_VALUE"""),"")</f>
        <v/>
      </c>
      <c r="M240" t="str">
        <f>IFERROR(__xludf.DUMMYFUNCTION("""COMPUTED_VALUE"""),"")</f>
        <v/>
      </c>
      <c r="N240" s="19" t="str">
        <f>IFERROR(__xludf.DUMMYFUNCTION("""COMPUTED_VALUE"""),"https://www.americashealthrankings.org/explore/annual")</f>
        <v>https://www.americashealthrankings.org/explore/annual</v>
      </c>
      <c r="O240" t="str">
        <f>IFERROR(__xludf.DUMMYFUNCTION("""COMPUTED_VALUE"""),"")</f>
        <v/>
      </c>
      <c r="P240" t="str">
        <f>IFERROR(__xludf.DUMMYFUNCTION("""COMPUTED_VALUE"""),"")</f>
        <v/>
      </c>
      <c r="Q240" t="str">
        <f>IFERROR(__xludf.DUMMYFUNCTION("""COMPUTED_VALUE"""),"")</f>
        <v/>
      </c>
      <c r="R240" t="str">
        <f>IFERROR(__xludf.DUMMYFUNCTION("""COMPUTED_VALUE"""),"")</f>
        <v/>
      </c>
      <c r="S240" t="str">
        <f>IFERROR(__xludf.DUMMYFUNCTION("""COMPUTED_VALUE"""),"")</f>
        <v/>
      </c>
      <c r="T240">
        <f>IFERROR(__xludf.DUMMYFUNCTION("""COMPUTED_VALUE"""),1.0)</f>
        <v>1</v>
      </c>
    </row>
    <row r="241">
      <c r="A241" t="str">
        <f>IFERROR(__xludf.DUMMYFUNCTION("""COMPUTED_VALUE"""),"Postnatal care coverage - newborn")</f>
        <v>Postnatal care coverage - newborn</v>
      </c>
      <c r="B241" t="str">
        <f>IFERROR(__xludf.DUMMYFUNCTION("""COMPUTED_VALUE"""),"")</f>
        <v/>
      </c>
      <c r="C241" t="str">
        <f>IFERROR(__xludf.DUMMYFUNCTION("""COMPUTED_VALUE"""),"")</f>
        <v/>
      </c>
      <c r="D241" t="str">
        <f>IFERROR(__xludf.DUMMYFUNCTION("""COMPUTED_VALUE"""),"")</f>
        <v/>
      </c>
      <c r="E241" t="str">
        <f>IFERROR(__xludf.DUMMYFUNCTION("""COMPUTED_VALUE"""),"")</f>
        <v/>
      </c>
      <c r="F241" t="str">
        <f>IFERROR(__xludf.DUMMYFUNCTION("""COMPUTED_VALUE"""),"")</f>
        <v/>
      </c>
      <c r="G241" t="str">
        <f>IFERROR(__xludf.DUMMYFUNCTION("""COMPUTED_VALUE"""),"")</f>
        <v/>
      </c>
      <c r="H241" t="str">
        <f>IFERROR(__xludf.DUMMYFUNCTION("""COMPUTED_VALUE"""),"")</f>
        <v/>
      </c>
      <c r="I24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1" t="str">
        <f>IFERROR(__xludf.DUMMYFUNCTION("""COMPUTED_VALUE"""),"")</f>
        <v/>
      </c>
      <c r="K241" t="str">
        <f>IFERROR(__xludf.DUMMYFUNCTION("""COMPUTED_VALUE"""),"")</f>
        <v/>
      </c>
      <c r="L241" t="str">
        <f>IFERROR(__xludf.DUMMYFUNCTION("""COMPUTED_VALUE"""),"")</f>
        <v/>
      </c>
      <c r="M241" t="str">
        <f>IFERROR(__xludf.DUMMYFUNCTION("""COMPUTED_VALUE"""),"")</f>
        <v/>
      </c>
      <c r="N241" t="str">
        <f>IFERROR(__xludf.DUMMYFUNCTION("""COMPUTED_VALUE"""),"")</f>
        <v/>
      </c>
      <c r="O241" t="str">
        <f>IFERROR(__xludf.DUMMYFUNCTION("""COMPUTED_VALUE"""),"")</f>
        <v/>
      </c>
      <c r="P241" t="str">
        <f>IFERROR(__xludf.DUMMYFUNCTION("""COMPUTED_VALUE"""),"")</f>
        <v/>
      </c>
      <c r="Q241" t="str">
        <f>IFERROR(__xludf.DUMMYFUNCTION("""COMPUTED_VALUE"""),"")</f>
        <v/>
      </c>
      <c r="R241" t="str">
        <f>IFERROR(__xludf.DUMMYFUNCTION("""COMPUTED_VALUE"""),"")</f>
        <v/>
      </c>
      <c r="S241" t="str">
        <f>IFERROR(__xludf.DUMMYFUNCTION("""COMPUTED_VALUE"""),"")</f>
        <v/>
      </c>
      <c r="T241">
        <f>IFERROR(__xludf.DUMMYFUNCTION("""COMPUTED_VALUE"""),1.0)</f>
        <v>1</v>
      </c>
    </row>
    <row r="242">
      <c r="A242" t="str">
        <f>IFERROR(__xludf.DUMMYFUNCTION("""COMPUTED_VALUE"""),"Care-seeking for symptoms of pneumonia")</f>
        <v>Care-seeking for symptoms of pneumonia</v>
      </c>
      <c r="B242" t="str">
        <f>IFERROR(__xludf.DUMMYFUNCTION("""COMPUTED_VALUE"""),"")</f>
        <v/>
      </c>
      <c r="C242" t="str">
        <f>IFERROR(__xludf.DUMMYFUNCTION("""COMPUTED_VALUE"""),"")</f>
        <v/>
      </c>
      <c r="D242" t="str">
        <f>IFERROR(__xludf.DUMMYFUNCTION("""COMPUTED_VALUE"""),"")</f>
        <v/>
      </c>
      <c r="E242" t="str">
        <f>IFERROR(__xludf.DUMMYFUNCTION("""COMPUTED_VALUE"""),"")</f>
        <v/>
      </c>
      <c r="F242" t="str">
        <f>IFERROR(__xludf.DUMMYFUNCTION("""COMPUTED_VALUE"""),"")</f>
        <v/>
      </c>
      <c r="G242" t="str">
        <f>IFERROR(__xludf.DUMMYFUNCTION("""COMPUTED_VALUE"""),"")</f>
        <v/>
      </c>
      <c r="H242" t="str">
        <f>IFERROR(__xludf.DUMMYFUNCTION("""COMPUTED_VALUE"""),"")</f>
        <v/>
      </c>
      <c r="I24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2" t="str">
        <f>IFERROR(__xludf.DUMMYFUNCTION("""COMPUTED_VALUE"""),"")</f>
        <v/>
      </c>
      <c r="K242" t="str">
        <f>IFERROR(__xludf.DUMMYFUNCTION("""COMPUTED_VALUE"""),"")</f>
        <v/>
      </c>
      <c r="L242" t="str">
        <f>IFERROR(__xludf.DUMMYFUNCTION("""COMPUTED_VALUE"""),"")</f>
        <v/>
      </c>
      <c r="M242" t="str">
        <f>IFERROR(__xludf.DUMMYFUNCTION("""COMPUTED_VALUE"""),"")</f>
        <v/>
      </c>
      <c r="N242" t="str">
        <f>IFERROR(__xludf.DUMMYFUNCTION("""COMPUTED_VALUE"""),"")</f>
        <v/>
      </c>
      <c r="O242" t="str">
        <f>IFERROR(__xludf.DUMMYFUNCTION("""COMPUTED_VALUE"""),"")</f>
        <v/>
      </c>
      <c r="P242" t="str">
        <f>IFERROR(__xludf.DUMMYFUNCTION("""COMPUTED_VALUE"""),"")</f>
        <v/>
      </c>
      <c r="Q242" t="str">
        <f>IFERROR(__xludf.DUMMYFUNCTION("""COMPUTED_VALUE"""),"")</f>
        <v/>
      </c>
      <c r="R242" t="str">
        <f>IFERROR(__xludf.DUMMYFUNCTION("""COMPUTED_VALUE"""),"")</f>
        <v/>
      </c>
      <c r="S242" t="str">
        <f>IFERROR(__xludf.DUMMYFUNCTION("""COMPUTED_VALUE"""),"")</f>
        <v/>
      </c>
      <c r="T242">
        <f>IFERROR(__xludf.DUMMYFUNCTION("""COMPUTED_VALUE"""),1.0)</f>
        <v>1</v>
      </c>
    </row>
    <row r="243">
      <c r="A243" t="str">
        <f>IFERROR(__xludf.DUMMYFUNCTION("""COMPUTED_VALUE"""),"Coverage of diarrhoea treatment")</f>
        <v>Coverage of diarrhoea treatment</v>
      </c>
      <c r="B243" t="str">
        <f>IFERROR(__xludf.DUMMYFUNCTION("""COMPUTED_VALUE"""),"")</f>
        <v/>
      </c>
      <c r="C243" t="str">
        <f>IFERROR(__xludf.DUMMYFUNCTION("""COMPUTED_VALUE"""),"")</f>
        <v/>
      </c>
      <c r="D243" t="str">
        <f>IFERROR(__xludf.DUMMYFUNCTION("""COMPUTED_VALUE"""),"")</f>
        <v/>
      </c>
      <c r="E243" t="str">
        <f>IFERROR(__xludf.DUMMYFUNCTION("""COMPUTED_VALUE"""),"")</f>
        <v/>
      </c>
      <c r="F243" t="str">
        <f>IFERROR(__xludf.DUMMYFUNCTION("""COMPUTED_VALUE"""),"")</f>
        <v/>
      </c>
      <c r="G243" t="str">
        <f>IFERROR(__xludf.DUMMYFUNCTION("""COMPUTED_VALUE"""),"")</f>
        <v/>
      </c>
      <c r="H243" t="str">
        <f>IFERROR(__xludf.DUMMYFUNCTION("""COMPUTED_VALUE"""),"")</f>
        <v/>
      </c>
      <c r="I24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3" t="str">
        <f>IFERROR(__xludf.DUMMYFUNCTION("""COMPUTED_VALUE"""),"")</f>
        <v/>
      </c>
      <c r="K243" t="str">
        <f>IFERROR(__xludf.DUMMYFUNCTION("""COMPUTED_VALUE"""),"")</f>
        <v/>
      </c>
      <c r="L243" t="str">
        <f>IFERROR(__xludf.DUMMYFUNCTION("""COMPUTED_VALUE"""),"")</f>
        <v/>
      </c>
      <c r="M243" t="str">
        <f>IFERROR(__xludf.DUMMYFUNCTION("""COMPUTED_VALUE"""),"")</f>
        <v/>
      </c>
      <c r="N243" t="str">
        <f>IFERROR(__xludf.DUMMYFUNCTION("""COMPUTED_VALUE"""),"")</f>
        <v/>
      </c>
      <c r="O243" t="str">
        <f>IFERROR(__xludf.DUMMYFUNCTION("""COMPUTED_VALUE"""),"")</f>
        <v/>
      </c>
      <c r="P243" t="str">
        <f>IFERROR(__xludf.DUMMYFUNCTION("""COMPUTED_VALUE"""),"")</f>
        <v/>
      </c>
      <c r="Q243" t="str">
        <f>IFERROR(__xludf.DUMMYFUNCTION("""COMPUTED_VALUE"""),"")</f>
        <v/>
      </c>
      <c r="R243" t="str">
        <f>IFERROR(__xludf.DUMMYFUNCTION("""COMPUTED_VALUE"""),"")</f>
        <v/>
      </c>
      <c r="S243" t="str">
        <f>IFERROR(__xludf.DUMMYFUNCTION("""COMPUTED_VALUE"""),"")</f>
        <v/>
      </c>
      <c r="T243">
        <f>IFERROR(__xludf.DUMMYFUNCTION("""COMPUTED_VALUE"""),1.0)</f>
        <v>1</v>
      </c>
    </row>
    <row r="244">
      <c r="A244" t="str">
        <f>IFERROR(__xludf.DUMMYFUNCTION("""COMPUTED_VALUE"""),"Vitamin A supplementation coverage")</f>
        <v>Vitamin A supplementation coverage</v>
      </c>
      <c r="B244" t="str">
        <f>IFERROR(__xludf.DUMMYFUNCTION("""COMPUTED_VALUE"""),"")</f>
        <v/>
      </c>
      <c r="C244" t="str">
        <f>IFERROR(__xludf.DUMMYFUNCTION("""COMPUTED_VALUE"""),"")</f>
        <v/>
      </c>
      <c r="D244" t="str">
        <f>IFERROR(__xludf.DUMMYFUNCTION("""COMPUTED_VALUE"""),"")</f>
        <v/>
      </c>
      <c r="E244" t="str">
        <f>IFERROR(__xludf.DUMMYFUNCTION("""COMPUTED_VALUE"""),"")</f>
        <v/>
      </c>
      <c r="F244" t="str">
        <f>IFERROR(__xludf.DUMMYFUNCTION("""COMPUTED_VALUE"""),"")</f>
        <v/>
      </c>
      <c r="G244" t="str">
        <f>IFERROR(__xludf.DUMMYFUNCTION("""COMPUTED_VALUE"""),"")</f>
        <v/>
      </c>
      <c r="H244" t="str">
        <f>IFERROR(__xludf.DUMMYFUNCTION("""COMPUTED_VALUE"""),"")</f>
        <v/>
      </c>
      <c r="I24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4" t="str">
        <f>IFERROR(__xludf.DUMMYFUNCTION("""COMPUTED_VALUE"""),"")</f>
        <v/>
      </c>
      <c r="K244" t="str">
        <f>IFERROR(__xludf.DUMMYFUNCTION("""COMPUTED_VALUE"""),"")</f>
        <v/>
      </c>
      <c r="L244" t="str">
        <f>IFERROR(__xludf.DUMMYFUNCTION("""COMPUTED_VALUE"""),"")</f>
        <v/>
      </c>
      <c r="M244" t="str">
        <f>IFERROR(__xludf.DUMMYFUNCTION("""COMPUTED_VALUE"""),"")</f>
        <v/>
      </c>
      <c r="N244" t="str">
        <f>IFERROR(__xludf.DUMMYFUNCTION("""COMPUTED_VALUE"""),"")</f>
        <v/>
      </c>
      <c r="O244" t="str">
        <f>IFERROR(__xludf.DUMMYFUNCTION("""COMPUTED_VALUE"""),"")</f>
        <v/>
      </c>
      <c r="P244" t="str">
        <f>IFERROR(__xludf.DUMMYFUNCTION("""COMPUTED_VALUE"""),"")</f>
        <v/>
      </c>
      <c r="Q244" t="str">
        <f>IFERROR(__xludf.DUMMYFUNCTION("""COMPUTED_VALUE"""),"")</f>
        <v/>
      </c>
      <c r="R244" t="str">
        <f>IFERROR(__xludf.DUMMYFUNCTION("""COMPUTED_VALUE"""),"")</f>
        <v/>
      </c>
      <c r="S244" t="str">
        <f>IFERROR(__xludf.DUMMYFUNCTION("""COMPUTED_VALUE"""),"")</f>
        <v/>
      </c>
      <c r="T244">
        <f>IFERROR(__xludf.DUMMYFUNCTION("""COMPUTED_VALUE"""),1.0)</f>
        <v>1</v>
      </c>
    </row>
    <row r="245">
      <c r="A245" t="str">
        <f>IFERROR(__xludf.DUMMYFUNCTION("""COMPUTED_VALUE"""),"Antiretroviral therapy (ART) coverage")</f>
        <v>Antiretroviral therapy (ART) coverage</v>
      </c>
      <c r="B245" t="str">
        <f>IFERROR(__xludf.DUMMYFUNCTION("""COMPUTED_VALUE"""),"")</f>
        <v/>
      </c>
      <c r="C245" t="str">
        <f>IFERROR(__xludf.DUMMYFUNCTION("""COMPUTED_VALUE"""),"")</f>
        <v/>
      </c>
      <c r="D245" t="str">
        <f>IFERROR(__xludf.DUMMYFUNCTION("""COMPUTED_VALUE"""),"")</f>
        <v/>
      </c>
      <c r="E245" t="str">
        <f>IFERROR(__xludf.DUMMYFUNCTION("""COMPUTED_VALUE"""),"")</f>
        <v/>
      </c>
      <c r="F245" t="str">
        <f>IFERROR(__xludf.DUMMYFUNCTION("""COMPUTED_VALUE"""),"")</f>
        <v/>
      </c>
      <c r="G245" t="str">
        <f>IFERROR(__xludf.DUMMYFUNCTION("""COMPUTED_VALUE"""),"")</f>
        <v/>
      </c>
      <c r="H245" t="str">
        <f>IFERROR(__xludf.DUMMYFUNCTION("""COMPUTED_VALUE"""),"")</f>
        <v/>
      </c>
      <c r="I24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5" t="str">
        <f>IFERROR(__xludf.DUMMYFUNCTION("""COMPUTED_VALUE"""),"")</f>
        <v/>
      </c>
      <c r="K245" t="str">
        <f>IFERROR(__xludf.DUMMYFUNCTION("""COMPUTED_VALUE"""),"")</f>
        <v/>
      </c>
      <c r="L245" t="str">
        <f>IFERROR(__xludf.DUMMYFUNCTION("""COMPUTED_VALUE"""),"")</f>
        <v/>
      </c>
      <c r="M245" t="str">
        <f>IFERROR(__xludf.DUMMYFUNCTION("""COMPUTED_VALUE"""),"")</f>
        <v/>
      </c>
      <c r="N245" t="str">
        <f>IFERROR(__xludf.DUMMYFUNCTION("""COMPUTED_VALUE"""),"")</f>
        <v/>
      </c>
      <c r="O245" t="str">
        <f>IFERROR(__xludf.DUMMYFUNCTION("""COMPUTED_VALUE"""),"")</f>
        <v/>
      </c>
      <c r="P245" t="str">
        <f>IFERROR(__xludf.DUMMYFUNCTION("""COMPUTED_VALUE"""),"")</f>
        <v/>
      </c>
      <c r="Q245" t="str">
        <f>IFERROR(__xludf.DUMMYFUNCTION("""COMPUTED_VALUE"""),"")</f>
        <v/>
      </c>
      <c r="R245" t="str">
        <f>IFERROR(__xludf.DUMMYFUNCTION("""COMPUTED_VALUE"""),"")</f>
        <v/>
      </c>
      <c r="S245" t="str">
        <f>IFERROR(__xludf.DUMMYFUNCTION("""COMPUTED_VALUE"""),"")</f>
        <v/>
      </c>
      <c r="T245">
        <f>IFERROR(__xludf.DUMMYFUNCTION("""COMPUTED_VALUE"""),1.0)</f>
        <v>1</v>
      </c>
    </row>
    <row r="246">
      <c r="A246" t="str">
        <f>IFERROR(__xludf.DUMMYFUNCTION("""COMPUTED_VALUE"""),"Coverage of treatment for latent TB infection (LTBI)")</f>
        <v>Coverage of treatment for latent TB infection (LTBI)</v>
      </c>
      <c r="B246" t="str">
        <f>IFERROR(__xludf.DUMMYFUNCTION("""COMPUTED_VALUE"""),"")</f>
        <v/>
      </c>
      <c r="C246" t="str">
        <f>IFERROR(__xludf.DUMMYFUNCTION("""COMPUTED_VALUE"""),"")</f>
        <v/>
      </c>
      <c r="D246" t="str">
        <f>IFERROR(__xludf.DUMMYFUNCTION("""COMPUTED_VALUE"""),"")</f>
        <v/>
      </c>
      <c r="E246" t="str">
        <f>IFERROR(__xludf.DUMMYFUNCTION("""COMPUTED_VALUE"""),"")</f>
        <v/>
      </c>
      <c r="F246" t="str">
        <f>IFERROR(__xludf.DUMMYFUNCTION("""COMPUTED_VALUE"""),"")</f>
        <v/>
      </c>
      <c r="G246" t="str">
        <f>IFERROR(__xludf.DUMMYFUNCTION("""COMPUTED_VALUE"""),"")</f>
        <v/>
      </c>
      <c r="H246" t="str">
        <f>IFERROR(__xludf.DUMMYFUNCTION("""COMPUTED_VALUE"""),"")</f>
        <v/>
      </c>
      <c r="I24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6" t="str">
        <f>IFERROR(__xludf.DUMMYFUNCTION("""COMPUTED_VALUE"""),"")</f>
        <v/>
      </c>
      <c r="K246" t="str">
        <f>IFERROR(__xludf.DUMMYFUNCTION("""COMPUTED_VALUE"""),"")</f>
        <v/>
      </c>
      <c r="L246" t="str">
        <f>IFERROR(__xludf.DUMMYFUNCTION("""COMPUTED_VALUE"""),"")</f>
        <v/>
      </c>
      <c r="M246" t="str">
        <f>IFERROR(__xludf.DUMMYFUNCTION("""COMPUTED_VALUE"""),"")</f>
        <v/>
      </c>
      <c r="N246" t="str">
        <f>IFERROR(__xludf.DUMMYFUNCTION("""COMPUTED_VALUE"""),"")</f>
        <v/>
      </c>
      <c r="O246" t="str">
        <f>IFERROR(__xludf.DUMMYFUNCTION("""COMPUTED_VALUE"""),"")</f>
        <v/>
      </c>
      <c r="P246" t="str">
        <f>IFERROR(__xludf.DUMMYFUNCTION("""COMPUTED_VALUE"""),"")</f>
        <v/>
      </c>
      <c r="Q246" t="str">
        <f>IFERROR(__xludf.DUMMYFUNCTION("""COMPUTED_VALUE"""),"")</f>
        <v/>
      </c>
      <c r="R246" t="str">
        <f>IFERROR(__xludf.DUMMYFUNCTION("""COMPUTED_VALUE"""),"")</f>
        <v/>
      </c>
      <c r="S246" t="str">
        <f>IFERROR(__xludf.DUMMYFUNCTION("""COMPUTED_VALUE"""),"")</f>
        <v/>
      </c>
      <c r="T246">
        <f>IFERROR(__xludf.DUMMYFUNCTION("""COMPUTED_VALUE"""),1.0)</f>
        <v>1</v>
      </c>
    </row>
    <row r="247">
      <c r="A247" t="str">
        <f>IFERROR(__xludf.DUMMYFUNCTION("""COMPUTED_VALUE"""),"HIV test results for TB patients")</f>
        <v>HIV test results for TB patients</v>
      </c>
      <c r="B247" t="str">
        <f>IFERROR(__xludf.DUMMYFUNCTION("""COMPUTED_VALUE"""),"")</f>
        <v/>
      </c>
      <c r="C247" t="str">
        <f>IFERROR(__xludf.DUMMYFUNCTION("""COMPUTED_VALUE"""),"")</f>
        <v/>
      </c>
      <c r="D247" t="str">
        <f>IFERROR(__xludf.DUMMYFUNCTION("""COMPUTED_VALUE"""),"")</f>
        <v/>
      </c>
      <c r="E247" t="str">
        <f>IFERROR(__xludf.DUMMYFUNCTION("""COMPUTED_VALUE"""),"")</f>
        <v/>
      </c>
      <c r="F247" t="str">
        <f>IFERROR(__xludf.DUMMYFUNCTION("""COMPUTED_VALUE"""),"")</f>
        <v/>
      </c>
      <c r="G247" t="str">
        <f>IFERROR(__xludf.DUMMYFUNCTION("""COMPUTED_VALUE"""),"")</f>
        <v/>
      </c>
      <c r="H247" t="str">
        <f>IFERROR(__xludf.DUMMYFUNCTION("""COMPUTED_VALUE"""),"")</f>
        <v/>
      </c>
      <c r="I24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7" t="str">
        <f>IFERROR(__xludf.DUMMYFUNCTION("""COMPUTED_VALUE"""),"")</f>
        <v/>
      </c>
      <c r="K247" t="str">
        <f>IFERROR(__xludf.DUMMYFUNCTION("""COMPUTED_VALUE"""),"")</f>
        <v/>
      </c>
      <c r="L247" t="str">
        <f>IFERROR(__xludf.DUMMYFUNCTION("""COMPUTED_VALUE"""),"")</f>
        <v/>
      </c>
      <c r="M247" t="str">
        <f>IFERROR(__xludf.DUMMYFUNCTION("""COMPUTED_VALUE"""),"")</f>
        <v/>
      </c>
      <c r="N247" t="str">
        <f>IFERROR(__xludf.DUMMYFUNCTION("""COMPUTED_VALUE"""),"")</f>
        <v/>
      </c>
      <c r="O247" t="str">
        <f>IFERROR(__xludf.DUMMYFUNCTION("""COMPUTED_VALUE"""),"")</f>
        <v/>
      </c>
      <c r="P247" t="str">
        <f>IFERROR(__xludf.DUMMYFUNCTION("""COMPUTED_VALUE"""),"")</f>
        <v/>
      </c>
      <c r="Q247" t="str">
        <f>IFERROR(__xludf.DUMMYFUNCTION("""COMPUTED_VALUE"""),"")</f>
        <v/>
      </c>
      <c r="R247" t="str">
        <f>IFERROR(__xludf.DUMMYFUNCTION("""COMPUTED_VALUE"""),"")</f>
        <v/>
      </c>
      <c r="S247" t="str">
        <f>IFERROR(__xludf.DUMMYFUNCTION("""COMPUTED_VALUE"""),"")</f>
        <v/>
      </c>
      <c r="T247">
        <f>IFERROR(__xludf.DUMMYFUNCTION("""COMPUTED_VALUE"""),1.0)</f>
        <v>1</v>
      </c>
    </row>
    <row r="248">
      <c r="A248" t="str">
        <f>IFERROR(__xludf.DUMMYFUNCTION("""COMPUTED_VALUE"""),"HIV-positive new and relapse TB patient on ART during TB treatment")</f>
        <v>HIV-positive new and relapse TB patient on ART during TB treatment</v>
      </c>
      <c r="B248" t="str">
        <f>IFERROR(__xludf.DUMMYFUNCTION("""COMPUTED_VALUE"""),"")</f>
        <v/>
      </c>
      <c r="C248" t="str">
        <f>IFERROR(__xludf.DUMMYFUNCTION("""COMPUTED_VALUE"""),"")</f>
        <v/>
      </c>
      <c r="D248" t="str">
        <f>IFERROR(__xludf.DUMMYFUNCTION("""COMPUTED_VALUE"""),"")</f>
        <v/>
      </c>
      <c r="E248" t="str">
        <f>IFERROR(__xludf.DUMMYFUNCTION("""COMPUTED_VALUE"""),"")</f>
        <v/>
      </c>
      <c r="F248" t="str">
        <f>IFERROR(__xludf.DUMMYFUNCTION("""COMPUTED_VALUE"""),"")</f>
        <v/>
      </c>
      <c r="G248" t="str">
        <f>IFERROR(__xludf.DUMMYFUNCTION("""COMPUTED_VALUE"""),"")</f>
        <v/>
      </c>
      <c r="H248" t="str">
        <f>IFERROR(__xludf.DUMMYFUNCTION("""COMPUTED_VALUE"""),"")</f>
        <v/>
      </c>
      <c r="I24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8" t="str">
        <f>IFERROR(__xludf.DUMMYFUNCTION("""COMPUTED_VALUE"""),"")</f>
        <v/>
      </c>
      <c r="K248" t="str">
        <f>IFERROR(__xludf.DUMMYFUNCTION("""COMPUTED_VALUE"""),"")</f>
        <v/>
      </c>
      <c r="L248" t="str">
        <f>IFERROR(__xludf.DUMMYFUNCTION("""COMPUTED_VALUE"""),"")</f>
        <v/>
      </c>
      <c r="M248" t="str">
        <f>IFERROR(__xludf.DUMMYFUNCTION("""COMPUTED_VALUE"""),"")</f>
        <v/>
      </c>
      <c r="N248" t="str">
        <f>IFERROR(__xludf.DUMMYFUNCTION("""COMPUTED_VALUE"""),"")</f>
        <v/>
      </c>
      <c r="O248" t="str">
        <f>IFERROR(__xludf.DUMMYFUNCTION("""COMPUTED_VALUE"""),"")</f>
        <v/>
      </c>
      <c r="P248" t="str">
        <f>IFERROR(__xludf.DUMMYFUNCTION("""COMPUTED_VALUE"""),"")</f>
        <v/>
      </c>
      <c r="Q248" t="str">
        <f>IFERROR(__xludf.DUMMYFUNCTION("""COMPUTED_VALUE"""),"")</f>
        <v/>
      </c>
      <c r="R248" t="str">
        <f>IFERROR(__xludf.DUMMYFUNCTION("""COMPUTED_VALUE"""),"")</f>
        <v/>
      </c>
      <c r="S248" t="str">
        <f>IFERROR(__xludf.DUMMYFUNCTION("""COMPUTED_VALUE"""),"")</f>
        <v/>
      </c>
      <c r="T248">
        <f>IFERROR(__xludf.DUMMYFUNCTION("""COMPUTED_VALUE"""),1.0)</f>
        <v>1</v>
      </c>
    </row>
    <row r="249">
      <c r="A249" t="str">
        <f>IFERROR(__xludf.DUMMYFUNCTION("""COMPUTED_VALUE"""),"Drug susceptibility testing coverage for TB patients")</f>
        <v>Drug susceptibility testing coverage for TB patients</v>
      </c>
      <c r="B249" t="str">
        <f>IFERROR(__xludf.DUMMYFUNCTION("""COMPUTED_VALUE"""),"")</f>
        <v/>
      </c>
      <c r="C249" t="str">
        <f>IFERROR(__xludf.DUMMYFUNCTION("""COMPUTED_VALUE"""),"")</f>
        <v/>
      </c>
      <c r="D249" t="str">
        <f>IFERROR(__xludf.DUMMYFUNCTION("""COMPUTED_VALUE"""),"")</f>
        <v/>
      </c>
      <c r="E249" t="str">
        <f>IFERROR(__xludf.DUMMYFUNCTION("""COMPUTED_VALUE"""),"")</f>
        <v/>
      </c>
      <c r="F249" t="str">
        <f>IFERROR(__xludf.DUMMYFUNCTION("""COMPUTED_VALUE"""),"")</f>
        <v/>
      </c>
      <c r="G249" t="str">
        <f>IFERROR(__xludf.DUMMYFUNCTION("""COMPUTED_VALUE"""),"")</f>
        <v/>
      </c>
      <c r="H249" t="str">
        <f>IFERROR(__xludf.DUMMYFUNCTION("""COMPUTED_VALUE"""),"")</f>
        <v/>
      </c>
      <c r="I24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49" t="str">
        <f>IFERROR(__xludf.DUMMYFUNCTION("""COMPUTED_VALUE"""),"")</f>
        <v/>
      </c>
      <c r="K249" t="str">
        <f>IFERROR(__xludf.DUMMYFUNCTION("""COMPUTED_VALUE"""),"")</f>
        <v/>
      </c>
      <c r="L249" t="str">
        <f>IFERROR(__xludf.DUMMYFUNCTION("""COMPUTED_VALUE"""),"")</f>
        <v/>
      </c>
      <c r="M249" t="str">
        <f>IFERROR(__xludf.DUMMYFUNCTION("""COMPUTED_VALUE"""),"")</f>
        <v/>
      </c>
      <c r="N249" t="str">
        <f>IFERROR(__xludf.DUMMYFUNCTION("""COMPUTED_VALUE"""),"")</f>
        <v/>
      </c>
      <c r="O249" t="str">
        <f>IFERROR(__xludf.DUMMYFUNCTION("""COMPUTED_VALUE"""),"")</f>
        <v/>
      </c>
      <c r="P249" t="str">
        <f>IFERROR(__xludf.DUMMYFUNCTION("""COMPUTED_VALUE"""),"")</f>
        <v/>
      </c>
      <c r="Q249" t="str">
        <f>IFERROR(__xludf.DUMMYFUNCTION("""COMPUTED_VALUE"""),"")</f>
        <v/>
      </c>
      <c r="R249" t="str">
        <f>IFERROR(__xludf.DUMMYFUNCTION("""COMPUTED_VALUE"""),"")</f>
        <v/>
      </c>
      <c r="S249" t="str">
        <f>IFERROR(__xludf.DUMMYFUNCTION("""COMPUTED_VALUE"""),"")</f>
        <v/>
      </c>
      <c r="T249">
        <f>IFERROR(__xludf.DUMMYFUNCTION("""COMPUTED_VALUE"""),1.0)</f>
        <v>1</v>
      </c>
    </row>
    <row r="250">
      <c r="A250" t="str">
        <f>IFERROR(__xludf.DUMMYFUNCTION("""COMPUTED_VALUE"""),"TB treatment coverage")</f>
        <v>TB treatment coverage</v>
      </c>
      <c r="B250" t="str">
        <f>IFERROR(__xludf.DUMMYFUNCTION("""COMPUTED_VALUE"""),"")</f>
        <v/>
      </c>
      <c r="C250" t="str">
        <f>IFERROR(__xludf.DUMMYFUNCTION("""COMPUTED_VALUE"""),"")</f>
        <v/>
      </c>
      <c r="D250" t="str">
        <f>IFERROR(__xludf.DUMMYFUNCTION("""COMPUTED_VALUE"""),"")</f>
        <v/>
      </c>
      <c r="E250" t="str">
        <f>IFERROR(__xludf.DUMMYFUNCTION("""COMPUTED_VALUE"""),"")</f>
        <v/>
      </c>
      <c r="F250" t="str">
        <f>IFERROR(__xludf.DUMMYFUNCTION("""COMPUTED_VALUE"""),"")</f>
        <v/>
      </c>
      <c r="G250" t="str">
        <f>IFERROR(__xludf.DUMMYFUNCTION("""COMPUTED_VALUE"""),"")</f>
        <v/>
      </c>
      <c r="H250" t="str">
        <f>IFERROR(__xludf.DUMMYFUNCTION("""COMPUTED_VALUE"""),"")</f>
        <v/>
      </c>
      <c r="I25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0" t="str">
        <f>IFERROR(__xludf.DUMMYFUNCTION("""COMPUTED_VALUE"""),"")</f>
        <v/>
      </c>
      <c r="K250" t="str">
        <f>IFERROR(__xludf.DUMMYFUNCTION("""COMPUTED_VALUE"""),"")</f>
        <v/>
      </c>
      <c r="L250" t="str">
        <f>IFERROR(__xludf.DUMMYFUNCTION("""COMPUTED_VALUE"""),"")</f>
        <v/>
      </c>
      <c r="M250" t="str">
        <f>IFERROR(__xludf.DUMMYFUNCTION("""COMPUTED_VALUE"""),"")</f>
        <v/>
      </c>
      <c r="N250" t="str">
        <f>IFERROR(__xludf.DUMMYFUNCTION("""COMPUTED_VALUE"""),"")</f>
        <v/>
      </c>
      <c r="O250" t="str">
        <f>IFERROR(__xludf.DUMMYFUNCTION("""COMPUTED_VALUE"""),"")</f>
        <v/>
      </c>
      <c r="P250" t="str">
        <f>IFERROR(__xludf.DUMMYFUNCTION("""COMPUTED_VALUE"""),"")</f>
        <v/>
      </c>
      <c r="Q250" t="str">
        <f>IFERROR(__xludf.DUMMYFUNCTION("""COMPUTED_VALUE"""),"")</f>
        <v/>
      </c>
      <c r="R250" t="str">
        <f>IFERROR(__xludf.DUMMYFUNCTION("""COMPUTED_VALUE"""),"")</f>
        <v/>
      </c>
      <c r="S250" t="str">
        <f>IFERROR(__xludf.DUMMYFUNCTION("""COMPUTED_VALUE"""),"")</f>
        <v/>
      </c>
      <c r="T250">
        <f>IFERROR(__xludf.DUMMYFUNCTION("""COMPUTED_VALUE"""),1.0)</f>
        <v>1</v>
      </c>
    </row>
    <row r="251">
      <c r="A251" t="str">
        <f>IFERROR(__xludf.DUMMYFUNCTION("""COMPUTED_VALUE"""),"Treatement coverage for drug-resistant TB")</f>
        <v>Treatement coverage for drug-resistant TB</v>
      </c>
      <c r="B251" t="str">
        <f>IFERROR(__xludf.DUMMYFUNCTION("""COMPUTED_VALUE"""),"")</f>
        <v/>
      </c>
      <c r="C251" t="str">
        <f>IFERROR(__xludf.DUMMYFUNCTION("""COMPUTED_VALUE"""),"")</f>
        <v/>
      </c>
      <c r="D251" t="str">
        <f>IFERROR(__xludf.DUMMYFUNCTION("""COMPUTED_VALUE"""),"")</f>
        <v/>
      </c>
      <c r="E251" t="str">
        <f>IFERROR(__xludf.DUMMYFUNCTION("""COMPUTED_VALUE"""),"")</f>
        <v/>
      </c>
      <c r="F251" t="str">
        <f>IFERROR(__xludf.DUMMYFUNCTION("""COMPUTED_VALUE"""),"")</f>
        <v/>
      </c>
      <c r="G251" t="str">
        <f>IFERROR(__xludf.DUMMYFUNCTION("""COMPUTED_VALUE"""),"")</f>
        <v/>
      </c>
      <c r="H251" t="str">
        <f>IFERROR(__xludf.DUMMYFUNCTION("""COMPUTED_VALUE"""),"")</f>
        <v/>
      </c>
      <c r="I25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1" t="str">
        <f>IFERROR(__xludf.DUMMYFUNCTION("""COMPUTED_VALUE"""),"")</f>
        <v/>
      </c>
      <c r="K251" t="str">
        <f>IFERROR(__xludf.DUMMYFUNCTION("""COMPUTED_VALUE"""),"")</f>
        <v/>
      </c>
      <c r="L251" t="str">
        <f>IFERROR(__xludf.DUMMYFUNCTION("""COMPUTED_VALUE"""),"")</f>
        <v/>
      </c>
      <c r="M251" t="str">
        <f>IFERROR(__xludf.DUMMYFUNCTION("""COMPUTED_VALUE"""),"")</f>
        <v/>
      </c>
      <c r="N251" t="str">
        <f>IFERROR(__xludf.DUMMYFUNCTION("""COMPUTED_VALUE"""),"")</f>
        <v/>
      </c>
      <c r="O251" t="str">
        <f>IFERROR(__xludf.DUMMYFUNCTION("""COMPUTED_VALUE"""),"")</f>
        <v/>
      </c>
      <c r="P251" t="str">
        <f>IFERROR(__xludf.DUMMYFUNCTION("""COMPUTED_VALUE"""),"")</f>
        <v/>
      </c>
      <c r="Q251" t="str">
        <f>IFERROR(__xludf.DUMMYFUNCTION("""COMPUTED_VALUE"""),"")</f>
        <v/>
      </c>
      <c r="R251" t="str">
        <f>IFERROR(__xludf.DUMMYFUNCTION("""COMPUTED_VALUE"""),"")</f>
        <v/>
      </c>
      <c r="S251" t="str">
        <f>IFERROR(__xludf.DUMMYFUNCTION("""COMPUTED_VALUE"""),"")</f>
        <v/>
      </c>
      <c r="T251">
        <f>IFERROR(__xludf.DUMMYFUNCTION("""COMPUTED_VALUE"""),1.0)</f>
        <v>1</v>
      </c>
    </row>
    <row r="252">
      <c r="A252" t="str">
        <f>IFERROR(__xludf.DUMMYFUNCTION("""COMPUTED_VALUE"""),"Intermittent preventive therapy for malaria during pregnancy (IPTp)")</f>
        <v>Intermittent preventive therapy for malaria during pregnancy (IPTp)</v>
      </c>
      <c r="B252" t="str">
        <f>IFERROR(__xludf.DUMMYFUNCTION("""COMPUTED_VALUE"""),"")</f>
        <v/>
      </c>
      <c r="C252" t="str">
        <f>IFERROR(__xludf.DUMMYFUNCTION("""COMPUTED_VALUE"""),"")</f>
        <v/>
      </c>
      <c r="D252" t="str">
        <f>IFERROR(__xludf.DUMMYFUNCTION("""COMPUTED_VALUE"""),"")</f>
        <v/>
      </c>
      <c r="E252" t="str">
        <f>IFERROR(__xludf.DUMMYFUNCTION("""COMPUTED_VALUE"""),"")</f>
        <v/>
      </c>
      <c r="F252" t="str">
        <f>IFERROR(__xludf.DUMMYFUNCTION("""COMPUTED_VALUE"""),"")</f>
        <v/>
      </c>
      <c r="G252" t="str">
        <f>IFERROR(__xludf.DUMMYFUNCTION("""COMPUTED_VALUE"""),"")</f>
        <v/>
      </c>
      <c r="H252" t="str">
        <f>IFERROR(__xludf.DUMMYFUNCTION("""COMPUTED_VALUE"""),"")</f>
        <v/>
      </c>
      <c r="I25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2" t="str">
        <f>IFERROR(__xludf.DUMMYFUNCTION("""COMPUTED_VALUE"""),"")</f>
        <v/>
      </c>
      <c r="K252" t="str">
        <f>IFERROR(__xludf.DUMMYFUNCTION("""COMPUTED_VALUE"""),"")</f>
        <v/>
      </c>
      <c r="L252" t="str">
        <f>IFERROR(__xludf.DUMMYFUNCTION("""COMPUTED_VALUE"""),"")</f>
        <v/>
      </c>
      <c r="M252" t="str">
        <f>IFERROR(__xludf.DUMMYFUNCTION("""COMPUTED_VALUE"""),"")</f>
        <v/>
      </c>
      <c r="N252" t="str">
        <f>IFERROR(__xludf.DUMMYFUNCTION("""COMPUTED_VALUE"""),"")</f>
        <v/>
      </c>
      <c r="O252" t="str">
        <f>IFERROR(__xludf.DUMMYFUNCTION("""COMPUTED_VALUE"""),"")</f>
        <v/>
      </c>
      <c r="P252" t="str">
        <f>IFERROR(__xludf.DUMMYFUNCTION("""COMPUTED_VALUE"""),"")</f>
        <v/>
      </c>
      <c r="Q252" t="str">
        <f>IFERROR(__xludf.DUMMYFUNCTION("""COMPUTED_VALUE"""),"")</f>
        <v/>
      </c>
      <c r="R252" t="str">
        <f>IFERROR(__xludf.DUMMYFUNCTION("""COMPUTED_VALUE"""),"")</f>
        <v/>
      </c>
      <c r="S252" t="str">
        <f>IFERROR(__xludf.DUMMYFUNCTION("""COMPUTED_VALUE"""),"")</f>
        <v/>
      </c>
      <c r="T252">
        <f>IFERROR(__xludf.DUMMYFUNCTION("""COMPUTED_VALUE"""),1.0)</f>
        <v>1</v>
      </c>
    </row>
    <row r="253">
      <c r="A253" t="str">
        <f>IFERROR(__xludf.DUMMYFUNCTION("""COMPUTED_VALUE"""),"Use of insecticide treated nets (ITNs)")</f>
        <v>Use of insecticide treated nets (ITNs)</v>
      </c>
      <c r="B253" t="str">
        <f>IFERROR(__xludf.DUMMYFUNCTION("""COMPUTED_VALUE"""),"")</f>
        <v/>
      </c>
      <c r="C253" t="str">
        <f>IFERROR(__xludf.DUMMYFUNCTION("""COMPUTED_VALUE"""),"")</f>
        <v/>
      </c>
      <c r="D253" t="str">
        <f>IFERROR(__xludf.DUMMYFUNCTION("""COMPUTED_VALUE"""),"")</f>
        <v/>
      </c>
      <c r="E253" t="str">
        <f>IFERROR(__xludf.DUMMYFUNCTION("""COMPUTED_VALUE"""),"")</f>
        <v/>
      </c>
      <c r="F253" t="str">
        <f>IFERROR(__xludf.DUMMYFUNCTION("""COMPUTED_VALUE"""),"")</f>
        <v/>
      </c>
      <c r="G253" t="str">
        <f>IFERROR(__xludf.DUMMYFUNCTION("""COMPUTED_VALUE"""),"")</f>
        <v/>
      </c>
      <c r="H253" t="str">
        <f>IFERROR(__xludf.DUMMYFUNCTION("""COMPUTED_VALUE"""),"")</f>
        <v/>
      </c>
      <c r="I25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3" t="str">
        <f>IFERROR(__xludf.DUMMYFUNCTION("""COMPUTED_VALUE"""),"")</f>
        <v/>
      </c>
      <c r="K253" t="str">
        <f>IFERROR(__xludf.DUMMYFUNCTION("""COMPUTED_VALUE"""),"")</f>
        <v/>
      </c>
      <c r="L253" t="str">
        <f>IFERROR(__xludf.DUMMYFUNCTION("""COMPUTED_VALUE"""),"")</f>
        <v/>
      </c>
      <c r="M253" t="str">
        <f>IFERROR(__xludf.DUMMYFUNCTION("""COMPUTED_VALUE"""),"")</f>
        <v/>
      </c>
      <c r="N253" t="str">
        <f>IFERROR(__xludf.DUMMYFUNCTION("""COMPUTED_VALUE"""),"")</f>
        <v/>
      </c>
      <c r="O253" t="str">
        <f>IFERROR(__xludf.DUMMYFUNCTION("""COMPUTED_VALUE"""),"")</f>
        <v/>
      </c>
      <c r="P253" t="str">
        <f>IFERROR(__xludf.DUMMYFUNCTION("""COMPUTED_VALUE"""),"")</f>
        <v/>
      </c>
      <c r="Q253" t="str">
        <f>IFERROR(__xludf.DUMMYFUNCTION("""COMPUTED_VALUE"""),"")</f>
        <v/>
      </c>
      <c r="R253" t="str">
        <f>IFERROR(__xludf.DUMMYFUNCTION("""COMPUTED_VALUE"""),"")</f>
        <v/>
      </c>
      <c r="S253" t="str">
        <f>IFERROR(__xludf.DUMMYFUNCTION("""COMPUTED_VALUE"""),"")</f>
        <v/>
      </c>
      <c r="T253">
        <f>IFERROR(__xludf.DUMMYFUNCTION("""COMPUTED_VALUE"""),1.0)</f>
        <v>1</v>
      </c>
    </row>
    <row r="254">
      <c r="A254" t="str">
        <f>IFERROR(__xludf.DUMMYFUNCTION("""COMPUTED_VALUE"""),"Treatement of confirmed malaria cases")</f>
        <v>Treatement of confirmed malaria cases</v>
      </c>
      <c r="B254" t="str">
        <f>IFERROR(__xludf.DUMMYFUNCTION("""COMPUTED_VALUE"""),"")</f>
        <v/>
      </c>
      <c r="C254" t="str">
        <f>IFERROR(__xludf.DUMMYFUNCTION("""COMPUTED_VALUE"""),"")</f>
        <v/>
      </c>
      <c r="D254" t="str">
        <f>IFERROR(__xludf.DUMMYFUNCTION("""COMPUTED_VALUE"""),"")</f>
        <v/>
      </c>
      <c r="E254" t="str">
        <f>IFERROR(__xludf.DUMMYFUNCTION("""COMPUTED_VALUE"""),"")</f>
        <v/>
      </c>
      <c r="F254" t="str">
        <f>IFERROR(__xludf.DUMMYFUNCTION("""COMPUTED_VALUE"""),"")</f>
        <v/>
      </c>
      <c r="G254" t="str">
        <f>IFERROR(__xludf.DUMMYFUNCTION("""COMPUTED_VALUE"""),"")</f>
        <v/>
      </c>
      <c r="H254" t="str">
        <f>IFERROR(__xludf.DUMMYFUNCTION("""COMPUTED_VALUE"""),"")</f>
        <v/>
      </c>
      <c r="I25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4" t="str">
        <f>IFERROR(__xludf.DUMMYFUNCTION("""COMPUTED_VALUE"""),"")</f>
        <v/>
      </c>
      <c r="K254" t="str">
        <f>IFERROR(__xludf.DUMMYFUNCTION("""COMPUTED_VALUE"""),"")</f>
        <v/>
      </c>
      <c r="L254" t="str">
        <f>IFERROR(__xludf.DUMMYFUNCTION("""COMPUTED_VALUE"""),"")</f>
        <v/>
      </c>
      <c r="M254" t="str">
        <f>IFERROR(__xludf.DUMMYFUNCTION("""COMPUTED_VALUE"""),"")</f>
        <v/>
      </c>
      <c r="N254" t="str">
        <f>IFERROR(__xludf.DUMMYFUNCTION("""COMPUTED_VALUE"""),"")</f>
        <v/>
      </c>
      <c r="O254" t="str">
        <f>IFERROR(__xludf.DUMMYFUNCTION("""COMPUTED_VALUE"""),"")</f>
        <v/>
      </c>
      <c r="P254" t="str">
        <f>IFERROR(__xludf.DUMMYFUNCTION("""COMPUTED_VALUE"""),"")</f>
        <v/>
      </c>
      <c r="Q254" t="str">
        <f>IFERROR(__xludf.DUMMYFUNCTION("""COMPUTED_VALUE"""),"")</f>
        <v/>
      </c>
      <c r="R254" t="str">
        <f>IFERROR(__xludf.DUMMYFUNCTION("""COMPUTED_VALUE"""),"")</f>
        <v/>
      </c>
      <c r="S254" t="str">
        <f>IFERROR(__xludf.DUMMYFUNCTION("""COMPUTED_VALUE"""),"")</f>
        <v/>
      </c>
      <c r="T254">
        <f>IFERROR(__xludf.DUMMYFUNCTION("""COMPUTED_VALUE"""),1.0)</f>
        <v>1</v>
      </c>
    </row>
    <row r="255">
      <c r="A255" t="str">
        <f>IFERROR(__xludf.DUMMYFUNCTION("""COMPUTED_VALUE"""),"Indoor residual spraying (IRS) coverage")</f>
        <v>Indoor residual spraying (IRS) coverage</v>
      </c>
      <c r="B255" t="str">
        <f>IFERROR(__xludf.DUMMYFUNCTION("""COMPUTED_VALUE"""),"")</f>
        <v/>
      </c>
      <c r="C255" t="str">
        <f>IFERROR(__xludf.DUMMYFUNCTION("""COMPUTED_VALUE"""),"")</f>
        <v/>
      </c>
      <c r="D255" t="str">
        <f>IFERROR(__xludf.DUMMYFUNCTION("""COMPUTED_VALUE"""),"")</f>
        <v/>
      </c>
      <c r="E255" t="str">
        <f>IFERROR(__xludf.DUMMYFUNCTION("""COMPUTED_VALUE"""),"")</f>
        <v/>
      </c>
      <c r="F255" t="str">
        <f>IFERROR(__xludf.DUMMYFUNCTION("""COMPUTED_VALUE"""),"")</f>
        <v/>
      </c>
      <c r="G255" t="str">
        <f>IFERROR(__xludf.DUMMYFUNCTION("""COMPUTED_VALUE"""),"")</f>
        <v/>
      </c>
      <c r="H255" t="str">
        <f>IFERROR(__xludf.DUMMYFUNCTION("""COMPUTED_VALUE"""),"")</f>
        <v/>
      </c>
      <c r="I255"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5" t="str">
        <f>IFERROR(__xludf.DUMMYFUNCTION("""COMPUTED_VALUE"""),"")</f>
        <v/>
      </c>
      <c r="K255" t="str">
        <f>IFERROR(__xludf.DUMMYFUNCTION("""COMPUTED_VALUE"""),"")</f>
        <v/>
      </c>
      <c r="L255" t="str">
        <f>IFERROR(__xludf.DUMMYFUNCTION("""COMPUTED_VALUE"""),"")</f>
        <v/>
      </c>
      <c r="M255" t="str">
        <f>IFERROR(__xludf.DUMMYFUNCTION("""COMPUTED_VALUE"""),"")</f>
        <v/>
      </c>
      <c r="N255" t="str">
        <f>IFERROR(__xludf.DUMMYFUNCTION("""COMPUTED_VALUE"""),"")</f>
        <v/>
      </c>
      <c r="O255" t="str">
        <f>IFERROR(__xludf.DUMMYFUNCTION("""COMPUTED_VALUE"""),"")</f>
        <v/>
      </c>
      <c r="P255" t="str">
        <f>IFERROR(__xludf.DUMMYFUNCTION("""COMPUTED_VALUE"""),"")</f>
        <v/>
      </c>
      <c r="Q255" t="str">
        <f>IFERROR(__xludf.DUMMYFUNCTION("""COMPUTED_VALUE"""),"")</f>
        <v/>
      </c>
      <c r="R255" t="str">
        <f>IFERROR(__xludf.DUMMYFUNCTION("""COMPUTED_VALUE"""),"")</f>
        <v/>
      </c>
      <c r="S255" t="str">
        <f>IFERROR(__xludf.DUMMYFUNCTION("""COMPUTED_VALUE"""),"")</f>
        <v/>
      </c>
      <c r="T255">
        <f>IFERROR(__xludf.DUMMYFUNCTION("""COMPUTED_VALUE"""),1.0)</f>
        <v>1</v>
      </c>
    </row>
    <row r="256">
      <c r="A256" t="str">
        <f>IFERROR(__xludf.DUMMYFUNCTION("""COMPUTED_VALUE"""),"Number of people requiring interventions against neglected tropical diseases")</f>
        <v>Number of people requiring interventions against neglected tropical diseases</v>
      </c>
      <c r="B256" t="str">
        <f>IFERROR(__xludf.DUMMYFUNCTION("""COMPUTED_VALUE"""),"")</f>
        <v/>
      </c>
      <c r="C256" t="str">
        <f>IFERROR(__xludf.DUMMYFUNCTION("""COMPUTED_VALUE"""),"")</f>
        <v/>
      </c>
      <c r="D256" t="str">
        <f>IFERROR(__xludf.DUMMYFUNCTION("""COMPUTED_VALUE"""),"")</f>
        <v/>
      </c>
      <c r="E256" t="str">
        <f>IFERROR(__xludf.DUMMYFUNCTION("""COMPUTED_VALUE"""),"")</f>
        <v/>
      </c>
      <c r="F256" t="str">
        <f>IFERROR(__xludf.DUMMYFUNCTION("""COMPUTED_VALUE"""),"")</f>
        <v/>
      </c>
      <c r="G256" t="str">
        <f>IFERROR(__xludf.DUMMYFUNCTION("""COMPUTED_VALUE"""),"")</f>
        <v/>
      </c>
      <c r="H256" t="str">
        <f>IFERROR(__xludf.DUMMYFUNCTION("""COMPUTED_VALUE"""),"SDG 3.3.5")</f>
        <v>SDG 3.3.5</v>
      </c>
      <c r="I25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6" t="str">
        <f>IFERROR(__xludf.DUMMYFUNCTION("""COMPUTED_VALUE"""),"")</f>
        <v/>
      </c>
      <c r="K256" t="str">
        <f>IFERROR(__xludf.DUMMYFUNCTION("""COMPUTED_VALUE"""),"")</f>
        <v/>
      </c>
      <c r="L256" t="str">
        <f>IFERROR(__xludf.DUMMYFUNCTION("""COMPUTED_VALUE"""),"")</f>
        <v/>
      </c>
      <c r="M256" t="str">
        <f>IFERROR(__xludf.DUMMYFUNCTION("""COMPUTED_VALUE"""),"")</f>
        <v/>
      </c>
      <c r="N256" t="str">
        <f>IFERROR(__xludf.DUMMYFUNCTION("""COMPUTED_VALUE"""),"")</f>
        <v/>
      </c>
      <c r="O256" t="str">
        <f>IFERROR(__xludf.DUMMYFUNCTION("""COMPUTED_VALUE"""),"")</f>
        <v/>
      </c>
      <c r="P256" t="str">
        <f>IFERROR(__xludf.DUMMYFUNCTION("""COMPUTED_VALUE"""),"")</f>
        <v/>
      </c>
      <c r="Q256" t="str">
        <f>IFERROR(__xludf.DUMMYFUNCTION("""COMPUTED_VALUE"""),"")</f>
        <v/>
      </c>
      <c r="R256" t="str">
        <f>IFERROR(__xludf.DUMMYFUNCTION("""COMPUTED_VALUE"""),"")</f>
        <v/>
      </c>
      <c r="S256" t="str">
        <f>IFERROR(__xludf.DUMMYFUNCTION("""COMPUTED_VALUE"""),"")</f>
        <v/>
      </c>
      <c r="T256">
        <f>IFERROR(__xludf.DUMMYFUNCTION("""COMPUTED_VALUE"""),1.0)</f>
        <v>1</v>
      </c>
    </row>
    <row r="257">
      <c r="A257" t="str">
        <f>IFERROR(__xludf.DUMMYFUNCTION("""COMPUTED_VALUE"""),"Coverage of preventive chemotherapy for selected neglected tropical diseases")</f>
        <v>Coverage of preventive chemotherapy for selected neglected tropical diseases</v>
      </c>
      <c r="B257" t="str">
        <f>IFERROR(__xludf.DUMMYFUNCTION("""COMPUTED_VALUE"""),"")</f>
        <v/>
      </c>
      <c r="C257" t="str">
        <f>IFERROR(__xludf.DUMMYFUNCTION("""COMPUTED_VALUE"""),"")</f>
        <v/>
      </c>
      <c r="D257" t="str">
        <f>IFERROR(__xludf.DUMMYFUNCTION("""COMPUTED_VALUE"""),"")</f>
        <v/>
      </c>
      <c r="E257" t="str">
        <f>IFERROR(__xludf.DUMMYFUNCTION("""COMPUTED_VALUE"""),"")</f>
        <v/>
      </c>
      <c r="F257" t="str">
        <f>IFERROR(__xludf.DUMMYFUNCTION("""COMPUTED_VALUE"""),"")</f>
        <v/>
      </c>
      <c r="G257" t="str">
        <f>IFERROR(__xludf.DUMMYFUNCTION("""COMPUTED_VALUE"""),"")</f>
        <v/>
      </c>
      <c r="H257" t="str">
        <f>IFERROR(__xludf.DUMMYFUNCTION("""COMPUTED_VALUE"""),"")</f>
        <v/>
      </c>
      <c r="I257"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7" t="str">
        <f>IFERROR(__xludf.DUMMYFUNCTION("""COMPUTED_VALUE"""),"")</f>
        <v/>
      </c>
      <c r="K257" t="str">
        <f>IFERROR(__xludf.DUMMYFUNCTION("""COMPUTED_VALUE"""),"")</f>
        <v/>
      </c>
      <c r="L257" t="str">
        <f>IFERROR(__xludf.DUMMYFUNCTION("""COMPUTED_VALUE"""),"")</f>
        <v/>
      </c>
      <c r="M257" t="str">
        <f>IFERROR(__xludf.DUMMYFUNCTION("""COMPUTED_VALUE"""),"")</f>
        <v/>
      </c>
      <c r="N257" t="str">
        <f>IFERROR(__xludf.DUMMYFUNCTION("""COMPUTED_VALUE"""),"")</f>
        <v/>
      </c>
      <c r="O257" t="str">
        <f>IFERROR(__xludf.DUMMYFUNCTION("""COMPUTED_VALUE"""),"")</f>
        <v/>
      </c>
      <c r="P257" t="str">
        <f>IFERROR(__xludf.DUMMYFUNCTION("""COMPUTED_VALUE"""),"")</f>
        <v/>
      </c>
      <c r="Q257" t="str">
        <f>IFERROR(__xludf.DUMMYFUNCTION("""COMPUTED_VALUE"""),"")</f>
        <v/>
      </c>
      <c r="R257" t="str">
        <f>IFERROR(__xludf.DUMMYFUNCTION("""COMPUTED_VALUE"""),"")</f>
        <v/>
      </c>
      <c r="S257" t="str">
        <f>IFERROR(__xludf.DUMMYFUNCTION("""COMPUTED_VALUE"""),"")</f>
        <v/>
      </c>
      <c r="T257">
        <f>IFERROR(__xludf.DUMMYFUNCTION("""COMPUTED_VALUE"""),1.0)</f>
        <v>1</v>
      </c>
    </row>
    <row r="258">
      <c r="A258" t="str">
        <f>IFERROR(__xludf.DUMMYFUNCTION("""COMPUTED_VALUE"""),"Perioperative mortality rate")</f>
        <v>Perioperative mortality rate</v>
      </c>
      <c r="B258" t="str">
        <f>IFERROR(__xludf.DUMMYFUNCTION("""COMPUTED_VALUE"""),"")</f>
        <v/>
      </c>
      <c r="C258" t="str">
        <f>IFERROR(__xludf.DUMMYFUNCTION("""COMPUTED_VALUE"""),"")</f>
        <v/>
      </c>
      <c r="D258" t="str">
        <f>IFERROR(__xludf.DUMMYFUNCTION("""COMPUTED_VALUE"""),"")</f>
        <v/>
      </c>
      <c r="E258" t="str">
        <f>IFERROR(__xludf.DUMMYFUNCTION("""COMPUTED_VALUE"""),"")</f>
        <v/>
      </c>
      <c r="F258" t="str">
        <f>IFERROR(__xludf.DUMMYFUNCTION("""COMPUTED_VALUE"""),"")</f>
        <v/>
      </c>
      <c r="G258" t="str">
        <f>IFERROR(__xludf.DUMMYFUNCTION("""COMPUTED_VALUE"""),"")</f>
        <v/>
      </c>
      <c r="H258" t="str">
        <f>IFERROR(__xludf.DUMMYFUNCTION("""COMPUTED_VALUE"""),"")</f>
        <v/>
      </c>
      <c r="I25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8" t="str">
        <f>IFERROR(__xludf.DUMMYFUNCTION("""COMPUTED_VALUE"""),"")</f>
        <v/>
      </c>
      <c r="K258" t="str">
        <f>IFERROR(__xludf.DUMMYFUNCTION("""COMPUTED_VALUE"""),"")</f>
        <v/>
      </c>
      <c r="L258" t="str">
        <f>IFERROR(__xludf.DUMMYFUNCTION("""COMPUTED_VALUE"""),"")</f>
        <v/>
      </c>
      <c r="M258" t="str">
        <f>IFERROR(__xludf.DUMMYFUNCTION("""COMPUTED_VALUE"""),"")</f>
        <v/>
      </c>
      <c r="N258" t="str">
        <f>IFERROR(__xludf.DUMMYFUNCTION("""COMPUTED_VALUE"""),"")</f>
        <v/>
      </c>
      <c r="O258" t="str">
        <f>IFERROR(__xludf.DUMMYFUNCTION("""COMPUTED_VALUE"""),"")</f>
        <v/>
      </c>
      <c r="P258" t="str">
        <f>IFERROR(__xludf.DUMMYFUNCTION("""COMPUTED_VALUE"""),"")</f>
        <v/>
      </c>
      <c r="Q258" t="str">
        <f>IFERROR(__xludf.DUMMYFUNCTION("""COMPUTED_VALUE"""),"")</f>
        <v/>
      </c>
      <c r="R258" t="str">
        <f>IFERROR(__xludf.DUMMYFUNCTION("""COMPUTED_VALUE"""),"")</f>
        <v/>
      </c>
      <c r="S258" t="str">
        <f>IFERROR(__xludf.DUMMYFUNCTION("""COMPUTED_VALUE"""),"")</f>
        <v/>
      </c>
      <c r="T258">
        <f>IFERROR(__xludf.DUMMYFUNCTION("""COMPUTED_VALUE"""),1.0)</f>
        <v>1</v>
      </c>
    </row>
    <row r="259">
      <c r="A259" t="str">
        <f>IFERROR(__xludf.DUMMYFUNCTION("""COMPUTED_VALUE"""),"Obstetric and gynaecological admissions owing to abortion")</f>
        <v>Obstetric and gynaecological admissions owing to abortion</v>
      </c>
      <c r="B259" t="str">
        <f>IFERROR(__xludf.DUMMYFUNCTION("""COMPUTED_VALUE"""),"")</f>
        <v/>
      </c>
      <c r="C259" t="str">
        <f>IFERROR(__xludf.DUMMYFUNCTION("""COMPUTED_VALUE"""),"")</f>
        <v/>
      </c>
      <c r="D259" t="str">
        <f>IFERROR(__xludf.DUMMYFUNCTION("""COMPUTED_VALUE"""),"")</f>
        <v/>
      </c>
      <c r="E259" t="str">
        <f>IFERROR(__xludf.DUMMYFUNCTION("""COMPUTED_VALUE"""),"")</f>
        <v/>
      </c>
      <c r="F259" t="str">
        <f>IFERROR(__xludf.DUMMYFUNCTION("""COMPUTED_VALUE"""),"")</f>
        <v/>
      </c>
      <c r="G259" t="str">
        <f>IFERROR(__xludf.DUMMYFUNCTION("""COMPUTED_VALUE"""),"")</f>
        <v/>
      </c>
      <c r="H259" t="str">
        <f>IFERROR(__xludf.DUMMYFUNCTION("""COMPUTED_VALUE"""),"")</f>
        <v/>
      </c>
      <c r="I259"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59" t="str">
        <f>IFERROR(__xludf.DUMMYFUNCTION("""COMPUTED_VALUE"""),"")</f>
        <v/>
      </c>
      <c r="K259" t="str">
        <f>IFERROR(__xludf.DUMMYFUNCTION("""COMPUTED_VALUE"""),"")</f>
        <v/>
      </c>
      <c r="L259" t="str">
        <f>IFERROR(__xludf.DUMMYFUNCTION("""COMPUTED_VALUE"""),"")</f>
        <v/>
      </c>
      <c r="M259" t="str">
        <f>IFERROR(__xludf.DUMMYFUNCTION("""COMPUTED_VALUE"""),"")</f>
        <v/>
      </c>
      <c r="N259" t="str">
        <f>IFERROR(__xludf.DUMMYFUNCTION("""COMPUTED_VALUE"""),"")</f>
        <v/>
      </c>
      <c r="O259" t="str">
        <f>IFERROR(__xludf.DUMMYFUNCTION("""COMPUTED_VALUE"""),"")</f>
        <v/>
      </c>
      <c r="P259" t="str">
        <f>IFERROR(__xludf.DUMMYFUNCTION("""COMPUTED_VALUE"""),"")</f>
        <v/>
      </c>
      <c r="Q259" t="str">
        <f>IFERROR(__xludf.DUMMYFUNCTION("""COMPUTED_VALUE"""),"")</f>
        <v/>
      </c>
      <c r="R259" t="str">
        <f>IFERROR(__xludf.DUMMYFUNCTION("""COMPUTED_VALUE"""),"")</f>
        <v/>
      </c>
      <c r="S259" t="str">
        <f>IFERROR(__xludf.DUMMYFUNCTION("""COMPUTED_VALUE"""),"")</f>
        <v/>
      </c>
      <c r="T259">
        <f>IFERROR(__xludf.DUMMYFUNCTION("""COMPUTED_VALUE"""),1.0)</f>
        <v>1</v>
      </c>
    </row>
    <row r="260">
      <c r="A260" t="str">
        <f>IFERROR(__xludf.DUMMYFUNCTION("""COMPUTED_VALUE"""),"Institutional maternal mortality ratio")</f>
        <v>Institutional maternal mortality ratio</v>
      </c>
      <c r="B260" t="str">
        <f>IFERROR(__xludf.DUMMYFUNCTION("""COMPUTED_VALUE"""),"")</f>
        <v/>
      </c>
      <c r="C260" t="str">
        <f>IFERROR(__xludf.DUMMYFUNCTION("""COMPUTED_VALUE"""),"")</f>
        <v/>
      </c>
      <c r="D260" t="str">
        <f>IFERROR(__xludf.DUMMYFUNCTION("""COMPUTED_VALUE"""),"")</f>
        <v/>
      </c>
      <c r="E260" t="str">
        <f>IFERROR(__xludf.DUMMYFUNCTION("""COMPUTED_VALUE"""),"")</f>
        <v/>
      </c>
      <c r="F260" t="str">
        <f>IFERROR(__xludf.DUMMYFUNCTION("""COMPUTED_VALUE"""),"")</f>
        <v/>
      </c>
      <c r="G260" t="str">
        <f>IFERROR(__xludf.DUMMYFUNCTION("""COMPUTED_VALUE"""),"")</f>
        <v/>
      </c>
      <c r="H260" t="str">
        <f>IFERROR(__xludf.DUMMYFUNCTION("""COMPUTED_VALUE"""),"")</f>
        <v/>
      </c>
      <c r="I26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60" t="str">
        <f>IFERROR(__xludf.DUMMYFUNCTION("""COMPUTED_VALUE"""),"")</f>
        <v/>
      </c>
      <c r="K260" t="str">
        <f>IFERROR(__xludf.DUMMYFUNCTION("""COMPUTED_VALUE"""),"")</f>
        <v/>
      </c>
      <c r="L260" t="str">
        <f>IFERROR(__xludf.DUMMYFUNCTION("""COMPUTED_VALUE"""),"")</f>
        <v/>
      </c>
      <c r="M260" t="str">
        <f>IFERROR(__xludf.DUMMYFUNCTION("""COMPUTED_VALUE"""),"")</f>
        <v/>
      </c>
      <c r="N260" t="str">
        <f>IFERROR(__xludf.DUMMYFUNCTION("""COMPUTED_VALUE"""),"")</f>
        <v/>
      </c>
      <c r="O260" t="str">
        <f>IFERROR(__xludf.DUMMYFUNCTION("""COMPUTED_VALUE"""),"")</f>
        <v/>
      </c>
      <c r="P260" t="str">
        <f>IFERROR(__xludf.DUMMYFUNCTION("""COMPUTED_VALUE"""),"")</f>
        <v/>
      </c>
      <c r="Q260" t="str">
        <f>IFERROR(__xludf.DUMMYFUNCTION("""COMPUTED_VALUE"""),"")</f>
        <v/>
      </c>
      <c r="R260" t="str">
        <f>IFERROR(__xludf.DUMMYFUNCTION("""COMPUTED_VALUE"""),"")</f>
        <v/>
      </c>
      <c r="S260" t="str">
        <f>IFERROR(__xludf.DUMMYFUNCTION("""COMPUTED_VALUE"""),"")</f>
        <v/>
      </c>
      <c r="T260">
        <f>IFERROR(__xludf.DUMMYFUNCTION("""COMPUTED_VALUE"""),1.0)</f>
        <v>1</v>
      </c>
    </row>
    <row r="261">
      <c r="A261" t="str">
        <f>IFERROR(__xludf.DUMMYFUNCTION("""COMPUTED_VALUE"""),"Maternal death reviews")</f>
        <v>Maternal death reviews</v>
      </c>
      <c r="B261" t="str">
        <f>IFERROR(__xludf.DUMMYFUNCTION("""COMPUTED_VALUE"""),"")</f>
        <v/>
      </c>
      <c r="C261" t="str">
        <f>IFERROR(__xludf.DUMMYFUNCTION("""COMPUTED_VALUE"""),"")</f>
        <v/>
      </c>
      <c r="D261" t="str">
        <f>IFERROR(__xludf.DUMMYFUNCTION("""COMPUTED_VALUE"""),"")</f>
        <v/>
      </c>
      <c r="E261" t="str">
        <f>IFERROR(__xludf.DUMMYFUNCTION("""COMPUTED_VALUE"""),"")</f>
        <v/>
      </c>
      <c r="F261" t="str">
        <f>IFERROR(__xludf.DUMMYFUNCTION("""COMPUTED_VALUE"""),"")</f>
        <v/>
      </c>
      <c r="G261" t="str">
        <f>IFERROR(__xludf.DUMMYFUNCTION("""COMPUTED_VALUE"""),"")</f>
        <v/>
      </c>
      <c r="H261" t="str">
        <f>IFERROR(__xludf.DUMMYFUNCTION("""COMPUTED_VALUE"""),"")</f>
        <v/>
      </c>
      <c r="I261"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61" t="str">
        <f>IFERROR(__xludf.DUMMYFUNCTION("""COMPUTED_VALUE"""),"")</f>
        <v/>
      </c>
      <c r="K261" t="str">
        <f>IFERROR(__xludf.DUMMYFUNCTION("""COMPUTED_VALUE"""),"")</f>
        <v/>
      </c>
      <c r="L261" t="str">
        <f>IFERROR(__xludf.DUMMYFUNCTION("""COMPUTED_VALUE"""),"")</f>
        <v/>
      </c>
      <c r="M261" t="str">
        <f>IFERROR(__xludf.DUMMYFUNCTION("""COMPUTED_VALUE"""),"")</f>
        <v/>
      </c>
      <c r="N261" t="str">
        <f>IFERROR(__xludf.DUMMYFUNCTION("""COMPUTED_VALUE"""),"")</f>
        <v/>
      </c>
      <c r="O261" t="str">
        <f>IFERROR(__xludf.DUMMYFUNCTION("""COMPUTED_VALUE"""),"")</f>
        <v/>
      </c>
      <c r="P261" t="str">
        <f>IFERROR(__xludf.DUMMYFUNCTION("""COMPUTED_VALUE"""),"")</f>
        <v/>
      </c>
      <c r="Q261" t="str">
        <f>IFERROR(__xludf.DUMMYFUNCTION("""COMPUTED_VALUE"""),"")</f>
        <v/>
      </c>
      <c r="R261" t="str">
        <f>IFERROR(__xludf.DUMMYFUNCTION("""COMPUTED_VALUE"""),"")</f>
        <v/>
      </c>
      <c r="S261" t="str">
        <f>IFERROR(__xludf.DUMMYFUNCTION("""COMPUTED_VALUE"""),"")</f>
        <v/>
      </c>
      <c r="T261">
        <f>IFERROR(__xludf.DUMMYFUNCTION("""COMPUTED_VALUE"""),1.0)</f>
        <v>1</v>
      </c>
    </row>
    <row r="262">
      <c r="A262" t="str">
        <f>IFERROR(__xludf.DUMMYFUNCTION("""COMPUTED_VALUE"""),"ART retention rate")</f>
        <v>ART retention rate</v>
      </c>
      <c r="B262" t="str">
        <f>IFERROR(__xludf.DUMMYFUNCTION("""COMPUTED_VALUE"""),"")</f>
        <v/>
      </c>
      <c r="C262" t="str">
        <f>IFERROR(__xludf.DUMMYFUNCTION("""COMPUTED_VALUE"""),"")</f>
        <v/>
      </c>
      <c r="D262" t="str">
        <f>IFERROR(__xludf.DUMMYFUNCTION("""COMPUTED_VALUE"""),"")</f>
        <v/>
      </c>
      <c r="E262" t="str">
        <f>IFERROR(__xludf.DUMMYFUNCTION("""COMPUTED_VALUE"""),"")</f>
        <v/>
      </c>
      <c r="F262" t="str">
        <f>IFERROR(__xludf.DUMMYFUNCTION("""COMPUTED_VALUE"""),"")</f>
        <v/>
      </c>
      <c r="G262" t="str">
        <f>IFERROR(__xludf.DUMMYFUNCTION("""COMPUTED_VALUE"""),"")</f>
        <v/>
      </c>
      <c r="H262" t="str">
        <f>IFERROR(__xludf.DUMMYFUNCTION("""COMPUTED_VALUE"""),"")</f>
        <v/>
      </c>
      <c r="I262"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62" t="str">
        <f>IFERROR(__xludf.DUMMYFUNCTION("""COMPUTED_VALUE"""),"")</f>
        <v/>
      </c>
      <c r="K262" t="str">
        <f>IFERROR(__xludf.DUMMYFUNCTION("""COMPUTED_VALUE"""),"")</f>
        <v/>
      </c>
      <c r="L262" t="str">
        <f>IFERROR(__xludf.DUMMYFUNCTION("""COMPUTED_VALUE"""),"")</f>
        <v/>
      </c>
      <c r="M262" t="str">
        <f>IFERROR(__xludf.DUMMYFUNCTION("""COMPUTED_VALUE"""),"")</f>
        <v/>
      </c>
      <c r="N262" t="str">
        <f>IFERROR(__xludf.DUMMYFUNCTION("""COMPUTED_VALUE"""),"")</f>
        <v/>
      </c>
      <c r="O262" t="str">
        <f>IFERROR(__xludf.DUMMYFUNCTION("""COMPUTED_VALUE"""),"")</f>
        <v/>
      </c>
      <c r="P262" t="str">
        <f>IFERROR(__xludf.DUMMYFUNCTION("""COMPUTED_VALUE"""),"")</f>
        <v/>
      </c>
      <c r="Q262" t="str">
        <f>IFERROR(__xludf.DUMMYFUNCTION("""COMPUTED_VALUE"""),"")</f>
        <v/>
      </c>
      <c r="R262" t="str">
        <f>IFERROR(__xludf.DUMMYFUNCTION("""COMPUTED_VALUE"""),"")</f>
        <v/>
      </c>
      <c r="S262" t="str">
        <f>IFERROR(__xludf.DUMMYFUNCTION("""COMPUTED_VALUE"""),"")</f>
        <v/>
      </c>
      <c r="T262">
        <f>IFERROR(__xludf.DUMMYFUNCTION("""COMPUTED_VALUE"""),1.0)</f>
        <v>1</v>
      </c>
    </row>
    <row r="263">
      <c r="A263" t="str">
        <f>IFERROR(__xludf.DUMMYFUNCTION("""COMPUTED_VALUE"""),"TB treatment success rate")</f>
        <v>TB treatment success rate</v>
      </c>
      <c r="B263" t="str">
        <f>IFERROR(__xludf.DUMMYFUNCTION("""COMPUTED_VALUE"""),"")</f>
        <v/>
      </c>
      <c r="C263" t="str">
        <f>IFERROR(__xludf.DUMMYFUNCTION("""COMPUTED_VALUE"""),"")</f>
        <v/>
      </c>
      <c r="D263" t="str">
        <f>IFERROR(__xludf.DUMMYFUNCTION("""COMPUTED_VALUE"""),"")</f>
        <v/>
      </c>
      <c r="E263" t="str">
        <f>IFERROR(__xludf.DUMMYFUNCTION("""COMPUTED_VALUE"""),"")</f>
        <v/>
      </c>
      <c r="F263" t="str">
        <f>IFERROR(__xludf.DUMMYFUNCTION("""COMPUTED_VALUE"""),"")</f>
        <v/>
      </c>
      <c r="G263" t="str">
        <f>IFERROR(__xludf.DUMMYFUNCTION("""COMPUTED_VALUE"""),"")</f>
        <v/>
      </c>
      <c r="H263" t="str">
        <f>IFERROR(__xludf.DUMMYFUNCTION("""COMPUTED_VALUE"""),"")</f>
        <v/>
      </c>
      <c r="I26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63" t="str">
        <f>IFERROR(__xludf.DUMMYFUNCTION("""COMPUTED_VALUE"""),"")</f>
        <v/>
      </c>
      <c r="K263" t="str">
        <f>IFERROR(__xludf.DUMMYFUNCTION("""COMPUTED_VALUE"""),"")</f>
        <v/>
      </c>
      <c r="L263" t="str">
        <f>IFERROR(__xludf.DUMMYFUNCTION("""COMPUTED_VALUE"""),"")</f>
        <v/>
      </c>
      <c r="M263" t="str">
        <f>IFERROR(__xludf.DUMMYFUNCTION("""COMPUTED_VALUE"""),"")</f>
        <v/>
      </c>
      <c r="N263" t="str">
        <f>IFERROR(__xludf.DUMMYFUNCTION("""COMPUTED_VALUE"""),"")</f>
        <v/>
      </c>
      <c r="O263" t="str">
        <f>IFERROR(__xludf.DUMMYFUNCTION("""COMPUTED_VALUE"""),"")</f>
        <v/>
      </c>
      <c r="P263" t="str">
        <f>IFERROR(__xludf.DUMMYFUNCTION("""COMPUTED_VALUE"""),"")</f>
        <v/>
      </c>
      <c r="Q263" t="str">
        <f>IFERROR(__xludf.DUMMYFUNCTION("""COMPUTED_VALUE"""),"")</f>
        <v/>
      </c>
      <c r="R263" t="str">
        <f>IFERROR(__xludf.DUMMYFUNCTION("""COMPUTED_VALUE"""),"")</f>
        <v/>
      </c>
      <c r="S263" t="str">
        <f>IFERROR(__xludf.DUMMYFUNCTION("""COMPUTED_VALUE"""),"")</f>
        <v/>
      </c>
      <c r="T263">
        <f>IFERROR(__xludf.DUMMYFUNCTION("""COMPUTED_VALUE"""),1.0)</f>
        <v>1</v>
      </c>
    </row>
    <row r="264">
      <c r="A264" t="str">
        <f>IFERROR(__xludf.DUMMYFUNCTION("""COMPUTED_VALUE"""),"Service-specific availability and readiness")</f>
        <v>Service-specific availability and readiness</v>
      </c>
      <c r="B264" t="str">
        <f>IFERROR(__xludf.DUMMYFUNCTION("""COMPUTED_VALUE"""),"")</f>
        <v/>
      </c>
      <c r="C264" t="str">
        <f>IFERROR(__xludf.DUMMYFUNCTION("""COMPUTED_VALUE"""),"")</f>
        <v/>
      </c>
      <c r="D264" t="str">
        <f>IFERROR(__xludf.DUMMYFUNCTION("""COMPUTED_VALUE"""),"")</f>
        <v/>
      </c>
      <c r="E264" t="str">
        <f>IFERROR(__xludf.DUMMYFUNCTION("""COMPUTED_VALUE"""),"")</f>
        <v/>
      </c>
      <c r="F264" t="str">
        <f>IFERROR(__xludf.DUMMYFUNCTION("""COMPUTED_VALUE"""),"")</f>
        <v/>
      </c>
      <c r="G264" t="str">
        <f>IFERROR(__xludf.DUMMYFUNCTION("""COMPUTED_VALUE"""),"")</f>
        <v/>
      </c>
      <c r="H264" t="str">
        <f>IFERROR(__xludf.DUMMYFUNCTION("""COMPUTED_VALUE"""),"")</f>
        <v/>
      </c>
      <c r="I26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64" t="str">
        <f>IFERROR(__xludf.DUMMYFUNCTION("""COMPUTED_VALUE"""),"")</f>
        <v/>
      </c>
      <c r="K264" t="str">
        <f>IFERROR(__xludf.DUMMYFUNCTION("""COMPUTED_VALUE"""),"")</f>
        <v/>
      </c>
      <c r="L264" t="str">
        <f>IFERROR(__xludf.DUMMYFUNCTION("""COMPUTED_VALUE"""),"")</f>
        <v/>
      </c>
      <c r="M264" t="str">
        <f>IFERROR(__xludf.DUMMYFUNCTION("""COMPUTED_VALUE"""),"")</f>
        <v/>
      </c>
      <c r="N264" t="str">
        <f>IFERROR(__xludf.DUMMYFUNCTION("""COMPUTED_VALUE"""),"")</f>
        <v/>
      </c>
      <c r="O264" t="str">
        <f>IFERROR(__xludf.DUMMYFUNCTION("""COMPUTED_VALUE"""),"")</f>
        <v/>
      </c>
      <c r="P264" t="str">
        <f>IFERROR(__xludf.DUMMYFUNCTION("""COMPUTED_VALUE"""),"")</f>
        <v/>
      </c>
      <c r="Q264" t="str">
        <f>IFERROR(__xludf.DUMMYFUNCTION("""COMPUTED_VALUE"""),"")</f>
        <v/>
      </c>
      <c r="R264" t="str">
        <f>IFERROR(__xludf.DUMMYFUNCTION("""COMPUTED_VALUE"""),"")</f>
        <v/>
      </c>
      <c r="S264" t="str">
        <f>IFERROR(__xludf.DUMMYFUNCTION("""COMPUTED_VALUE"""),"")</f>
        <v/>
      </c>
      <c r="T264">
        <f>IFERROR(__xludf.DUMMYFUNCTION("""COMPUTED_VALUE"""),1.0)</f>
        <v>1</v>
      </c>
    </row>
    <row r="265">
      <c r="A265" t="str">
        <f>IFERROR(__xludf.DUMMYFUNCTION("""COMPUTED_VALUE"""),"Medication management")</f>
        <v>Medication management</v>
      </c>
      <c r="B265" t="str">
        <f>IFERROR(__xludf.DUMMYFUNCTION("""COMPUTED_VALUE"""),"")</f>
        <v/>
      </c>
      <c r="C265" t="str">
        <f>IFERROR(__xludf.DUMMYFUNCTION("""COMPUTED_VALUE"""),"")</f>
        <v/>
      </c>
      <c r="D265" t="str">
        <f>IFERROR(__xludf.DUMMYFUNCTION("""COMPUTED_VALUE"""),"")</f>
        <v/>
      </c>
      <c r="E265" t="str">
        <f>IFERROR(__xludf.DUMMYFUNCTION("""COMPUTED_VALUE"""),"")</f>
        <v/>
      </c>
      <c r="F265" t="str">
        <f>IFERROR(__xludf.DUMMYFUNCTION("""COMPUTED_VALUE"""),"")</f>
        <v/>
      </c>
      <c r="G265" t="str">
        <f>IFERROR(__xludf.DUMMYFUNCTION("""COMPUTED_VALUE"""),"")</f>
        <v/>
      </c>
      <c r="H265" t="str">
        <f>IFERROR(__xludf.DUMMYFUNCTION("""COMPUTED_VALUE"""),"")</f>
        <v/>
      </c>
      <c r="I265" t="str">
        <f>IFERROR(__xludf.DUMMYFUNCTION("""COMPUTED_VALUE"""),"")</f>
        <v/>
      </c>
      <c r="J265" t="str">
        <f>IFERROR(__xludf.DUMMYFUNCTION("""COMPUTED_VALUE"""),"")</f>
        <v/>
      </c>
      <c r="K265" t="str">
        <f>IFERROR(__xludf.DUMMYFUNCTION("""COMPUTED_VALUE"""),"")</f>
        <v/>
      </c>
      <c r="L265" t="str">
        <f>IFERROR(__xludf.DUMMYFUNCTION("""COMPUTED_VALUE"""),"")</f>
        <v/>
      </c>
      <c r="M265" t="str">
        <f>IFERROR(__xludf.DUMMYFUNCTION("""COMPUTED_VALUE"""),"")</f>
        <v/>
      </c>
      <c r="N265" t="str">
        <f>IFERROR(__xludf.DUMMYFUNCTION("""COMPUTED_VALUE"""),"")</f>
        <v/>
      </c>
      <c r="O265" t="str">
        <f>IFERROR(__xludf.DUMMYFUNCTION("""COMPUTED_VALUE"""),"")</f>
        <v/>
      </c>
      <c r="P265"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265" t="str">
        <f>IFERROR(__xludf.DUMMYFUNCTION("""COMPUTED_VALUE"""),"")</f>
        <v/>
      </c>
      <c r="R265" t="str">
        <f>IFERROR(__xludf.DUMMYFUNCTION("""COMPUTED_VALUE"""),"")</f>
        <v/>
      </c>
      <c r="S265" t="str">
        <f>IFERROR(__xludf.DUMMYFUNCTION("""COMPUTED_VALUE"""),"")</f>
        <v/>
      </c>
      <c r="T265">
        <f>IFERROR(__xludf.DUMMYFUNCTION("""COMPUTED_VALUE"""),1.0)</f>
        <v>1</v>
      </c>
    </row>
    <row r="266">
      <c r="A266" t="str">
        <f>IFERROR(__xludf.DUMMYFUNCTION("""COMPUTED_VALUE"""),"Hospital 30 day mortality")</f>
        <v>Hospital 30 day mortality</v>
      </c>
      <c r="B266" t="str">
        <f>IFERROR(__xludf.DUMMYFUNCTION("""COMPUTED_VALUE"""),"")</f>
        <v/>
      </c>
      <c r="C266" t="str">
        <f>IFERROR(__xludf.DUMMYFUNCTION("""COMPUTED_VALUE"""),"")</f>
        <v/>
      </c>
      <c r="D266" t="str">
        <f>IFERROR(__xludf.DUMMYFUNCTION("""COMPUTED_VALUE"""),"")</f>
        <v/>
      </c>
      <c r="E266" t="str">
        <f>IFERROR(__xludf.DUMMYFUNCTION("""COMPUTED_VALUE"""),"")</f>
        <v/>
      </c>
      <c r="F266" t="str">
        <f>IFERROR(__xludf.DUMMYFUNCTION("""COMPUTED_VALUE"""),"")</f>
        <v/>
      </c>
      <c r="G266" t="str">
        <f>IFERROR(__xludf.DUMMYFUNCTION("""COMPUTED_VALUE"""),"")</f>
        <v/>
      </c>
      <c r="H266" t="str">
        <f>IFERROR(__xludf.DUMMYFUNCTION("""COMPUTED_VALUE"""),"")</f>
        <v/>
      </c>
      <c r="I266" t="str">
        <f>IFERROR(__xludf.DUMMYFUNCTION("""COMPUTED_VALUE"""),"")</f>
        <v/>
      </c>
      <c r="J266"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266" t="str">
        <f>IFERROR(__xludf.DUMMYFUNCTION("""COMPUTED_VALUE"""),"")</f>
        <v/>
      </c>
      <c r="L266" t="str">
        <f>IFERROR(__xludf.DUMMYFUNCTION("""COMPUTED_VALUE"""),"")</f>
        <v/>
      </c>
      <c r="M266" t="str">
        <f>IFERROR(__xludf.DUMMYFUNCTION("""COMPUTED_VALUE"""),"")</f>
        <v/>
      </c>
      <c r="N266" t="str">
        <f>IFERROR(__xludf.DUMMYFUNCTION("""COMPUTED_VALUE"""),"")</f>
        <v/>
      </c>
      <c r="O266" t="str">
        <f>IFERROR(__xludf.DUMMYFUNCTION("""COMPUTED_VALUE"""),"")</f>
        <v/>
      </c>
      <c r="P266" t="str">
        <f>IFERROR(__xludf.DUMMYFUNCTION("""COMPUTED_VALUE"""),"")</f>
        <v/>
      </c>
      <c r="Q266" t="str">
        <f>IFERROR(__xludf.DUMMYFUNCTION("""COMPUTED_VALUE"""),"")</f>
        <v/>
      </c>
      <c r="R266" t="str">
        <f>IFERROR(__xludf.DUMMYFUNCTION("""COMPUTED_VALUE"""),"")</f>
        <v/>
      </c>
      <c r="S266" t="str">
        <f>IFERROR(__xludf.DUMMYFUNCTION("""COMPUTED_VALUE"""),"")</f>
        <v/>
      </c>
      <c r="T266">
        <f>IFERROR(__xludf.DUMMYFUNCTION("""COMPUTED_VALUE"""),1.0)</f>
        <v>1</v>
      </c>
    </row>
    <row r="267">
      <c r="A267" t="str">
        <f>IFERROR(__xludf.DUMMYFUNCTION("""COMPUTED_VALUE"""),"Central-line associated bloodstream infection")</f>
        <v>Central-line associated bloodstream infection</v>
      </c>
      <c r="B267" t="str">
        <f>IFERROR(__xludf.DUMMYFUNCTION("""COMPUTED_VALUE"""),"")</f>
        <v/>
      </c>
      <c r="C267" t="str">
        <f>IFERROR(__xludf.DUMMYFUNCTION("""COMPUTED_VALUE"""),"")</f>
        <v/>
      </c>
      <c r="D267" t="str">
        <f>IFERROR(__xludf.DUMMYFUNCTION("""COMPUTED_VALUE"""),"")</f>
        <v/>
      </c>
      <c r="E267" t="str">
        <f>IFERROR(__xludf.DUMMYFUNCTION("""COMPUTED_VALUE"""),"")</f>
        <v/>
      </c>
      <c r="F267" t="str">
        <f>IFERROR(__xludf.DUMMYFUNCTION("""COMPUTED_VALUE"""),"")</f>
        <v/>
      </c>
      <c r="G267" t="str">
        <f>IFERROR(__xludf.DUMMYFUNCTION("""COMPUTED_VALUE"""),"")</f>
        <v/>
      </c>
      <c r="H267" t="str">
        <f>IFERROR(__xludf.DUMMYFUNCTION("""COMPUTED_VALUE"""),"")</f>
        <v/>
      </c>
      <c r="I267" t="str">
        <f>IFERROR(__xludf.DUMMYFUNCTION("""COMPUTED_VALUE"""),"")</f>
        <v/>
      </c>
      <c r="J267" s="19" t="str">
        <f>IFERROR(__xludf.DUMMYFUNCTION("""COMPUTED_VALUE"""),"https://interactives.commonwealthfund.org/2018/state-scorecard/files/Radley_State_Scorecard_2018.pdf")</f>
        <v>https://interactives.commonwealthfund.org/2018/state-scorecard/files/Radley_State_Scorecard_2018.pdf</v>
      </c>
      <c r="K267" t="str">
        <f>IFERROR(__xludf.DUMMYFUNCTION("""COMPUTED_VALUE"""),"")</f>
        <v/>
      </c>
      <c r="L267" t="str">
        <f>IFERROR(__xludf.DUMMYFUNCTION("""COMPUTED_VALUE"""),"")</f>
        <v/>
      </c>
      <c r="M267" t="str">
        <f>IFERROR(__xludf.DUMMYFUNCTION("""COMPUTED_VALUE"""),"")</f>
        <v/>
      </c>
      <c r="N267" t="str">
        <f>IFERROR(__xludf.DUMMYFUNCTION("""COMPUTED_VALUE"""),"")</f>
        <v/>
      </c>
      <c r="O267" t="str">
        <f>IFERROR(__xludf.DUMMYFUNCTION("""COMPUTED_VALUE"""),"")</f>
        <v/>
      </c>
      <c r="P267" t="str">
        <f>IFERROR(__xludf.DUMMYFUNCTION("""COMPUTED_VALUE"""),"")</f>
        <v/>
      </c>
      <c r="Q267" t="str">
        <f>IFERROR(__xludf.DUMMYFUNCTION("""COMPUTED_VALUE"""),"")</f>
        <v/>
      </c>
      <c r="R267" t="str">
        <f>IFERROR(__xludf.DUMMYFUNCTION("""COMPUTED_VALUE"""),"")</f>
        <v/>
      </c>
      <c r="S267" t="str">
        <f>IFERROR(__xludf.DUMMYFUNCTION("""COMPUTED_VALUE"""),"")</f>
        <v/>
      </c>
      <c r="T267">
        <f>IFERROR(__xludf.DUMMYFUNCTION("""COMPUTED_VALUE"""),1.0)</f>
        <v>1</v>
      </c>
    </row>
    <row r="268">
      <c r="A268" t="str">
        <f>IFERROR(__xludf.DUMMYFUNCTION("""COMPUTED_VALUE"""),"Hospital patients discharged without instructions for home recovery")</f>
        <v>Hospital patients discharged without instructions for home recovery</v>
      </c>
      <c r="B268" t="str">
        <f>IFERROR(__xludf.DUMMYFUNCTION("""COMPUTED_VALUE"""),"")</f>
        <v/>
      </c>
      <c r="C268" t="str">
        <f>IFERROR(__xludf.DUMMYFUNCTION("""COMPUTED_VALUE"""),"")</f>
        <v/>
      </c>
      <c r="D268" t="str">
        <f>IFERROR(__xludf.DUMMYFUNCTION("""COMPUTED_VALUE"""),"")</f>
        <v/>
      </c>
      <c r="E268" t="str">
        <f>IFERROR(__xludf.DUMMYFUNCTION("""COMPUTED_VALUE"""),"")</f>
        <v/>
      </c>
      <c r="F268" t="str">
        <f>IFERROR(__xludf.DUMMYFUNCTION("""COMPUTED_VALUE"""),"")</f>
        <v/>
      </c>
      <c r="G268" t="str">
        <f>IFERROR(__xludf.DUMMYFUNCTION("""COMPUTED_VALUE"""),"")</f>
        <v/>
      </c>
      <c r="H268" t="str">
        <f>IFERROR(__xludf.DUMMYFUNCTION("""COMPUTED_VALUE"""),"Also calling it gaps in hospital discharge planning")</f>
        <v>Also calling it gaps in hospital discharge planning</v>
      </c>
      <c r="I268" t="str">
        <f>IFERROR(__xludf.DUMMYFUNCTION("""COMPUTED_VALUE"""),"")</f>
        <v/>
      </c>
      <c r="J268" t="str">
        <f>IFERROR(__xludf.DUMMYFUNCTION("""COMPUTED_VALUE"""),"https://interactives.commonwealthfund.org/2018/state-scorecard/files/Radley_State_Scorecard_2018.pdf, https://international.commonwealthfund.org/stats/")</f>
        <v>https://interactives.commonwealthfund.org/2018/state-scorecard/files/Radley_State_Scorecard_2018.pdf, https://international.commonwealthfund.org/stats/</v>
      </c>
      <c r="K268" t="str">
        <f>IFERROR(__xludf.DUMMYFUNCTION("""COMPUTED_VALUE"""),"")</f>
        <v/>
      </c>
      <c r="L268" t="str">
        <f>IFERROR(__xludf.DUMMYFUNCTION("""COMPUTED_VALUE"""),"")</f>
        <v/>
      </c>
      <c r="M268" t="str">
        <f>IFERROR(__xludf.DUMMYFUNCTION("""COMPUTED_VALUE"""),"")</f>
        <v/>
      </c>
      <c r="N268" t="str">
        <f>IFERROR(__xludf.DUMMYFUNCTION("""COMPUTED_VALUE"""),"")</f>
        <v/>
      </c>
      <c r="O268" t="str">
        <f>IFERROR(__xludf.DUMMYFUNCTION("""COMPUTED_VALUE"""),"")</f>
        <v/>
      </c>
      <c r="P268" t="str">
        <f>IFERROR(__xludf.DUMMYFUNCTION("""COMPUTED_VALUE"""),"")</f>
        <v/>
      </c>
      <c r="Q268" t="str">
        <f>IFERROR(__xludf.DUMMYFUNCTION("""COMPUTED_VALUE"""),"")</f>
        <v/>
      </c>
      <c r="R268" t="str">
        <f>IFERROR(__xludf.DUMMYFUNCTION("""COMPUTED_VALUE"""),"")</f>
        <v/>
      </c>
      <c r="S268" t="str">
        <f>IFERROR(__xludf.DUMMYFUNCTION("""COMPUTED_VALUE"""),"")</f>
        <v/>
      </c>
      <c r="T268">
        <f>IFERROR(__xludf.DUMMYFUNCTION("""COMPUTED_VALUE"""),1.0)</f>
        <v>1</v>
      </c>
    </row>
    <row r="269">
      <c r="A269" t="str">
        <f>IFERROR(__xludf.DUMMYFUNCTION("""COMPUTED_VALUE"""),"Hospital patients who did not receive patient-centered care")</f>
        <v>Hospital patients who did not receive patient-centered care</v>
      </c>
      <c r="B269" t="str">
        <f>IFERROR(__xludf.DUMMYFUNCTION("""COMPUTED_VALUE"""),"")</f>
        <v/>
      </c>
      <c r="C269" t="str">
        <f>IFERROR(__xludf.DUMMYFUNCTION("""COMPUTED_VALUE"""),"")</f>
        <v/>
      </c>
      <c r="D269" t="str">
        <f>IFERROR(__xludf.DUMMYFUNCTION("""COMPUTED_VALUE"""),"")</f>
        <v/>
      </c>
      <c r="E269" t="str">
        <f>IFERROR(__xludf.DUMMYFUNCTION("""COMPUTED_VALUE"""),"")</f>
        <v/>
      </c>
      <c r="F269" t="str">
        <f>IFERROR(__xludf.DUMMYFUNCTION("""COMPUTED_VALUE"""),"")</f>
        <v/>
      </c>
      <c r="G269" t="str">
        <f>IFERROR(__xludf.DUMMYFUNCTION("""COMPUTED_VALUE"""),"")</f>
        <v/>
      </c>
      <c r="H269" t="str">
        <f>IFERROR(__xludf.DUMMYFUNCTION("""COMPUTED_VALUE"""),"")</f>
        <v/>
      </c>
      <c r="I269" t="str">
        <f>IFERROR(__xludf.DUMMYFUNCTION("""COMPUTED_VALUE"""),"")</f>
        <v/>
      </c>
      <c r="J269" s="19" t="str">
        <f>IFERROR(__xludf.DUMMYFUNCTION("""COMPUTED_VALUE"""),"https://interactives.commonwealthfund.org/2018/state-scorecard/files/Radley_State_Scorecard_2018.pdf")</f>
        <v>https://interactives.commonwealthfund.org/2018/state-scorecard/files/Radley_State_Scorecard_2018.pdf</v>
      </c>
      <c r="K269" t="str">
        <f>IFERROR(__xludf.DUMMYFUNCTION("""COMPUTED_VALUE"""),"")</f>
        <v/>
      </c>
      <c r="L269" t="str">
        <f>IFERROR(__xludf.DUMMYFUNCTION("""COMPUTED_VALUE"""),"")</f>
        <v/>
      </c>
      <c r="M269" t="str">
        <f>IFERROR(__xludf.DUMMYFUNCTION("""COMPUTED_VALUE"""),"")</f>
        <v/>
      </c>
      <c r="N269" t="str">
        <f>IFERROR(__xludf.DUMMYFUNCTION("""COMPUTED_VALUE"""),"")</f>
        <v/>
      </c>
      <c r="O269" t="str">
        <f>IFERROR(__xludf.DUMMYFUNCTION("""COMPUTED_VALUE"""),"")</f>
        <v/>
      </c>
      <c r="P269" t="str">
        <f>IFERROR(__xludf.DUMMYFUNCTION("""COMPUTED_VALUE"""),"")</f>
        <v/>
      </c>
      <c r="Q269" t="str">
        <f>IFERROR(__xludf.DUMMYFUNCTION("""COMPUTED_VALUE"""),"")</f>
        <v/>
      </c>
      <c r="R269" t="str">
        <f>IFERROR(__xludf.DUMMYFUNCTION("""COMPUTED_VALUE"""),"")</f>
        <v/>
      </c>
      <c r="S269" t="str">
        <f>IFERROR(__xludf.DUMMYFUNCTION("""COMPUTED_VALUE"""),"")</f>
        <v/>
      </c>
      <c r="T269">
        <f>IFERROR(__xludf.DUMMYFUNCTION("""COMPUTED_VALUE"""),1.0)</f>
        <v>1</v>
      </c>
    </row>
    <row r="270">
      <c r="A270" t="str">
        <f>IFERROR(__xludf.DUMMYFUNCTION("""COMPUTED_VALUE"""),"Home health patients who did not get better at walking or moving around")</f>
        <v>Home health patients who did not get better at walking or moving around</v>
      </c>
      <c r="B270" t="str">
        <f>IFERROR(__xludf.DUMMYFUNCTION("""COMPUTED_VALUE"""),"")</f>
        <v/>
      </c>
      <c r="C270" t="str">
        <f>IFERROR(__xludf.DUMMYFUNCTION("""COMPUTED_VALUE"""),"")</f>
        <v/>
      </c>
      <c r="D270" t="str">
        <f>IFERROR(__xludf.DUMMYFUNCTION("""COMPUTED_VALUE"""),"")</f>
        <v/>
      </c>
      <c r="E270" t="str">
        <f>IFERROR(__xludf.DUMMYFUNCTION("""COMPUTED_VALUE"""),"")</f>
        <v/>
      </c>
      <c r="F270" t="str">
        <f>IFERROR(__xludf.DUMMYFUNCTION("""COMPUTED_VALUE"""),"")</f>
        <v/>
      </c>
      <c r="G270" t="str">
        <f>IFERROR(__xludf.DUMMYFUNCTION("""COMPUTED_VALUE"""),"")</f>
        <v/>
      </c>
      <c r="H270" t="str">
        <f>IFERROR(__xludf.DUMMYFUNCTION("""COMPUTED_VALUE"""),"")</f>
        <v/>
      </c>
      <c r="I270" t="str">
        <f>IFERROR(__xludf.DUMMYFUNCTION("""COMPUTED_VALUE"""),"")</f>
        <v/>
      </c>
      <c r="J270" s="19" t="str">
        <f>IFERROR(__xludf.DUMMYFUNCTION("""COMPUTED_VALUE"""),"https://interactives.commonwealthfund.org/2018/state-scorecard/files/Radley_State_Scorecard_2018.pdf")</f>
        <v>https://interactives.commonwealthfund.org/2018/state-scorecard/files/Radley_State_Scorecard_2018.pdf</v>
      </c>
      <c r="K270" t="str">
        <f>IFERROR(__xludf.DUMMYFUNCTION("""COMPUTED_VALUE"""),"")</f>
        <v/>
      </c>
      <c r="L270" t="str">
        <f>IFERROR(__xludf.DUMMYFUNCTION("""COMPUTED_VALUE"""),"")</f>
        <v/>
      </c>
      <c r="M270" t="str">
        <f>IFERROR(__xludf.DUMMYFUNCTION("""COMPUTED_VALUE"""),"")</f>
        <v/>
      </c>
      <c r="N270" t="str">
        <f>IFERROR(__xludf.DUMMYFUNCTION("""COMPUTED_VALUE"""),"")</f>
        <v/>
      </c>
      <c r="O270" t="str">
        <f>IFERROR(__xludf.DUMMYFUNCTION("""COMPUTED_VALUE"""),"")</f>
        <v/>
      </c>
      <c r="P270" t="str">
        <f>IFERROR(__xludf.DUMMYFUNCTION("""COMPUTED_VALUE"""),"")</f>
        <v/>
      </c>
      <c r="Q270" t="str">
        <f>IFERROR(__xludf.DUMMYFUNCTION("""COMPUTED_VALUE"""),"")</f>
        <v/>
      </c>
      <c r="R270" t="str">
        <f>IFERROR(__xludf.DUMMYFUNCTION("""COMPUTED_VALUE"""),"")</f>
        <v/>
      </c>
      <c r="S270" t="str">
        <f>IFERROR(__xludf.DUMMYFUNCTION("""COMPUTED_VALUE"""),"")</f>
        <v/>
      </c>
      <c r="T270">
        <f>IFERROR(__xludf.DUMMYFUNCTION("""COMPUTED_VALUE"""),1.0)</f>
        <v>1</v>
      </c>
    </row>
    <row r="271">
      <c r="A271" t="str">
        <f>IFERROR(__xludf.DUMMYFUNCTION("""COMPUTED_VALUE"""),"Health Professional Did Not Review Their Prescriptions in Past Year")</f>
        <v>Health Professional Did Not Review Their Prescriptions in Past Year</v>
      </c>
      <c r="B271" t="str">
        <f>IFERROR(__xludf.DUMMYFUNCTION("""COMPUTED_VALUE"""),"")</f>
        <v/>
      </c>
      <c r="C271" t="str">
        <f>IFERROR(__xludf.DUMMYFUNCTION("""COMPUTED_VALUE"""),"")</f>
        <v/>
      </c>
      <c r="D271" t="str">
        <f>IFERROR(__xludf.DUMMYFUNCTION("""COMPUTED_VALUE"""),"")</f>
        <v/>
      </c>
      <c r="E271" t="str">
        <f>IFERROR(__xludf.DUMMYFUNCTION("""COMPUTED_VALUE"""),"")</f>
        <v/>
      </c>
      <c r="F271" t="str">
        <f>IFERROR(__xludf.DUMMYFUNCTION("""COMPUTED_VALUE"""),"")</f>
        <v/>
      </c>
      <c r="G271" t="str">
        <f>IFERROR(__xludf.DUMMYFUNCTION("""COMPUTED_VALUE"""),"")</f>
        <v/>
      </c>
      <c r="H271" t="str">
        <f>IFERROR(__xludf.DUMMYFUNCTION("""COMPUTED_VALUE"""),"")</f>
        <v/>
      </c>
      <c r="I271" t="str">
        <f>IFERROR(__xludf.DUMMYFUNCTION("""COMPUTED_VALUE"""),"")</f>
        <v/>
      </c>
      <c r="J271" s="19" t="str">
        <f>IFERROR(__xludf.DUMMYFUNCTION("""COMPUTED_VALUE"""),"https://international.commonwealthfund.org/stats/")</f>
        <v>https://international.commonwealthfund.org/stats/</v>
      </c>
      <c r="K271" t="str">
        <f>IFERROR(__xludf.DUMMYFUNCTION("""COMPUTED_VALUE"""),"")</f>
        <v/>
      </c>
      <c r="L271" t="str">
        <f>IFERROR(__xludf.DUMMYFUNCTION("""COMPUTED_VALUE"""),"")</f>
        <v/>
      </c>
      <c r="M271" t="str">
        <f>IFERROR(__xludf.DUMMYFUNCTION("""COMPUTED_VALUE"""),"")</f>
        <v/>
      </c>
      <c r="N271" t="str">
        <f>IFERROR(__xludf.DUMMYFUNCTION("""COMPUTED_VALUE"""),"")</f>
        <v/>
      </c>
      <c r="O271" t="str">
        <f>IFERROR(__xludf.DUMMYFUNCTION("""COMPUTED_VALUE"""),"")</f>
        <v/>
      </c>
      <c r="P271" t="str">
        <f>IFERROR(__xludf.DUMMYFUNCTION("""COMPUTED_VALUE"""),"")</f>
        <v/>
      </c>
      <c r="Q271" t="str">
        <f>IFERROR(__xludf.DUMMYFUNCTION("""COMPUTED_VALUE"""),"")</f>
        <v/>
      </c>
      <c r="R271" t="str">
        <f>IFERROR(__xludf.DUMMYFUNCTION("""COMPUTED_VALUE"""),"")</f>
        <v/>
      </c>
      <c r="S271" t="str">
        <f>IFERROR(__xludf.DUMMYFUNCTION("""COMPUTED_VALUE"""),"")</f>
        <v/>
      </c>
      <c r="T271">
        <f>IFERROR(__xludf.DUMMYFUNCTION("""COMPUTED_VALUE"""),1.0)</f>
        <v>1</v>
      </c>
    </row>
    <row r="272">
      <c r="A272" t="str">
        <f>IFERROR(__xludf.DUMMYFUNCTION("""COMPUTED_VALUE"""),"Experienced a Coordination Problem in Past Two Years")</f>
        <v>Experienced a Coordination Problem in Past Two Years</v>
      </c>
      <c r="B272" t="str">
        <f>IFERROR(__xludf.DUMMYFUNCTION("""COMPUTED_VALUE"""),"")</f>
        <v/>
      </c>
      <c r="C272" t="str">
        <f>IFERROR(__xludf.DUMMYFUNCTION("""COMPUTED_VALUE"""),"")</f>
        <v/>
      </c>
      <c r="D272" t="str">
        <f>IFERROR(__xludf.DUMMYFUNCTION("""COMPUTED_VALUE"""),"")</f>
        <v/>
      </c>
      <c r="E272" t="str">
        <f>IFERROR(__xludf.DUMMYFUNCTION("""COMPUTED_VALUE"""),"")</f>
        <v/>
      </c>
      <c r="F272" t="str">
        <f>IFERROR(__xludf.DUMMYFUNCTION("""COMPUTED_VALUE"""),"")</f>
        <v/>
      </c>
      <c r="G272" t="str">
        <f>IFERROR(__xludf.DUMMYFUNCTION("""COMPUTED_VALUE"""),"")</f>
        <v/>
      </c>
      <c r="H272" t="str">
        <f>IFERROR(__xludf.DUMMYFUNCTION("""COMPUTED_VALUE"""),"")</f>
        <v/>
      </c>
      <c r="I272" t="str">
        <f>IFERROR(__xludf.DUMMYFUNCTION("""COMPUTED_VALUE"""),"")</f>
        <v/>
      </c>
      <c r="J272" s="19" t="str">
        <f>IFERROR(__xludf.DUMMYFUNCTION("""COMPUTED_VALUE"""),"https://international.commonwealthfund.org/stats/")</f>
        <v>https://international.commonwealthfund.org/stats/</v>
      </c>
      <c r="K272" t="str">
        <f>IFERROR(__xludf.DUMMYFUNCTION("""COMPUTED_VALUE"""),"")</f>
        <v/>
      </c>
      <c r="L272" t="str">
        <f>IFERROR(__xludf.DUMMYFUNCTION("""COMPUTED_VALUE"""),"")</f>
        <v/>
      </c>
      <c r="M272" t="str">
        <f>IFERROR(__xludf.DUMMYFUNCTION("""COMPUTED_VALUE"""),"")</f>
        <v/>
      </c>
      <c r="N272" t="str">
        <f>IFERROR(__xludf.DUMMYFUNCTION("""COMPUTED_VALUE"""),"")</f>
        <v/>
      </c>
      <c r="O272" t="str">
        <f>IFERROR(__xludf.DUMMYFUNCTION("""COMPUTED_VALUE"""),"")</f>
        <v/>
      </c>
      <c r="P272" t="str">
        <f>IFERROR(__xludf.DUMMYFUNCTION("""COMPUTED_VALUE"""),"")</f>
        <v/>
      </c>
      <c r="Q272" t="str">
        <f>IFERROR(__xludf.DUMMYFUNCTION("""COMPUTED_VALUE"""),"")</f>
        <v/>
      </c>
      <c r="R272" t="str">
        <f>IFERROR(__xludf.DUMMYFUNCTION("""COMPUTED_VALUE"""),"")</f>
        <v/>
      </c>
      <c r="S272" t="str">
        <f>IFERROR(__xludf.DUMMYFUNCTION("""COMPUTED_VALUE"""),"")</f>
        <v/>
      </c>
      <c r="T272">
        <f>IFERROR(__xludf.DUMMYFUNCTION("""COMPUTED_VALUE"""),1.0)</f>
        <v>1</v>
      </c>
    </row>
    <row r="273">
      <c r="A273" t="str">
        <f>IFERROR(__xludf.DUMMYFUNCTION("""COMPUTED_VALUE"""),"Diabetes related lower extemity amputation rates per 100,000 population")</f>
        <v>Diabetes related lower extemity amputation rates per 100,000 population</v>
      </c>
      <c r="B273" t="str">
        <f>IFERROR(__xludf.DUMMYFUNCTION("""COMPUTED_VALUE"""),"")</f>
        <v/>
      </c>
      <c r="C273" t="str">
        <f>IFERROR(__xludf.DUMMYFUNCTION("""COMPUTED_VALUE"""),"")</f>
        <v/>
      </c>
      <c r="D273" t="str">
        <f>IFERROR(__xludf.DUMMYFUNCTION("""COMPUTED_VALUE"""),"")</f>
        <v/>
      </c>
      <c r="E273" t="str">
        <f>IFERROR(__xludf.DUMMYFUNCTION("""COMPUTED_VALUE"""),"")</f>
        <v/>
      </c>
      <c r="F273" t="str">
        <f>IFERROR(__xludf.DUMMYFUNCTION("""COMPUTED_VALUE"""),"")</f>
        <v/>
      </c>
      <c r="G273" t="str">
        <f>IFERROR(__xludf.DUMMYFUNCTION("""COMPUTED_VALUE"""),"")</f>
        <v/>
      </c>
      <c r="H273" t="str">
        <f>IFERROR(__xludf.DUMMYFUNCTION("""COMPUTED_VALUE"""),"")</f>
        <v/>
      </c>
      <c r="I273" t="str">
        <f>IFERROR(__xludf.DUMMYFUNCTION("""COMPUTED_VALUE"""),"")</f>
        <v/>
      </c>
      <c r="J273" s="19" t="str">
        <f>IFERROR(__xludf.DUMMYFUNCTION("""COMPUTED_VALUE"""),"https://international.commonwealthfund.org/stats/")</f>
        <v>https://international.commonwealthfund.org/stats/</v>
      </c>
      <c r="K273" t="str">
        <f>IFERROR(__xludf.DUMMYFUNCTION("""COMPUTED_VALUE"""),"")</f>
        <v/>
      </c>
      <c r="L273" t="str">
        <f>IFERROR(__xludf.DUMMYFUNCTION("""COMPUTED_VALUE"""),"")</f>
        <v/>
      </c>
      <c r="M273" t="str">
        <f>IFERROR(__xludf.DUMMYFUNCTION("""COMPUTED_VALUE"""),"")</f>
        <v/>
      </c>
      <c r="N273" t="str">
        <f>IFERROR(__xludf.DUMMYFUNCTION("""COMPUTED_VALUE"""),"")</f>
        <v/>
      </c>
      <c r="O273" t="str">
        <f>IFERROR(__xludf.DUMMYFUNCTION("""COMPUTED_VALUE"""),"")</f>
        <v/>
      </c>
      <c r="P273" t="str">
        <f>IFERROR(__xludf.DUMMYFUNCTION("""COMPUTED_VALUE"""),"")</f>
        <v/>
      </c>
      <c r="Q273" t="str">
        <f>IFERROR(__xludf.DUMMYFUNCTION("""COMPUTED_VALUE"""),"")</f>
        <v/>
      </c>
      <c r="R273" t="str">
        <f>IFERROR(__xludf.DUMMYFUNCTION("""COMPUTED_VALUE"""),"")</f>
        <v/>
      </c>
      <c r="S273" t="str">
        <f>IFERROR(__xludf.DUMMYFUNCTION("""COMPUTED_VALUE"""),"")</f>
        <v/>
      </c>
      <c r="T273">
        <f>IFERROR(__xludf.DUMMYFUNCTION("""COMPUTED_VALUE"""),1.0)</f>
        <v>1</v>
      </c>
    </row>
    <row r="274">
      <c r="A274" t="str">
        <f>IFERROR(__xludf.DUMMYFUNCTION("""COMPUTED_VALUE"""),"Breast cancer five-year survival rate")</f>
        <v>Breast cancer five-year survival rate</v>
      </c>
      <c r="B274" t="str">
        <f>IFERROR(__xludf.DUMMYFUNCTION("""COMPUTED_VALUE"""),"")</f>
        <v/>
      </c>
      <c r="C274" t="str">
        <f>IFERROR(__xludf.DUMMYFUNCTION("""COMPUTED_VALUE"""),"")</f>
        <v/>
      </c>
      <c r="D274" t="str">
        <f>IFERROR(__xludf.DUMMYFUNCTION("""COMPUTED_VALUE"""),"")</f>
        <v/>
      </c>
      <c r="E274" t="str">
        <f>IFERROR(__xludf.DUMMYFUNCTION("""COMPUTED_VALUE"""),"")</f>
        <v/>
      </c>
      <c r="F274" t="str">
        <f>IFERROR(__xludf.DUMMYFUNCTION("""COMPUTED_VALUE"""),"")</f>
        <v/>
      </c>
      <c r="G274" t="str">
        <f>IFERROR(__xludf.DUMMYFUNCTION("""COMPUTED_VALUE"""),"")</f>
        <v/>
      </c>
      <c r="H274" t="str">
        <f>IFERROR(__xludf.DUMMYFUNCTION("""COMPUTED_VALUE"""),"")</f>
        <v/>
      </c>
      <c r="I274" t="str">
        <f>IFERROR(__xludf.DUMMYFUNCTION("""COMPUTED_VALUE"""),"")</f>
        <v/>
      </c>
      <c r="J274" s="19" t="str">
        <f>IFERROR(__xludf.DUMMYFUNCTION("""COMPUTED_VALUE"""),"https://international.commonwealthfund.org/stats/")</f>
        <v>https://international.commonwealthfund.org/stats/</v>
      </c>
      <c r="K274" t="str">
        <f>IFERROR(__xludf.DUMMYFUNCTION("""COMPUTED_VALUE"""),"")</f>
        <v/>
      </c>
      <c r="L274" t="str">
        <f>IFERROR(__xludf.DUMMYFUNCTION("""COMPUTED_VALUE"""),"")</f>
        <v/>
      </c>
      <c r="M274" t="str">
        <f>IFERROR(__xludf.DUMMYFUNCTION("""COMPUTED_VALUE"""),"")</f>
        <v/>
      </c>
      <c r="N274" t="str">
        <f>IFERROR(__xludf.DUMMYFUNCTION("""COMPUTED_VALUE"""),"")</f>
        <v/>
      </c>
      <c r="O274" t="str">
        <f>IFERROR(__xludf.DUMMYFUNCTION("""COMPUTED_VALUE"""),"")</f>
        <v/>
      </c>
      <c r="P274" t="str">
        <f>IFERROR(__xludf.DUMMYFUNCTION("""COMPUTED_VALUE"""),"")</f>
        <v/>
      </c>
      <c r="Q274" t="str">
        <f>IFERROR(__xludf.DUMMYFUNCTION("""COMPUTED_VALUE"""),"")</f>
        <v/>
      </c>
      <c r="R274" t="str">
        <f>IFERROR(__xludf.DUMMYFUNCTION("""COMPUTED_VALUE"""),"")</f>
        <v/>
      </c>
      <c r="S274" t="str">
        <f>IFERROR(__xludf.DUMMYFUNCTION("""COMPUTED_VALUE"""),"")</f>
        <v/>
      </c>
      <c r="T274">
        <f>IFERROR(__xludf.DUMMYFUNCTION("""COMPUTED_VALUE"""),1.0)</f>
        <v>1</v>
      </c>
    </row>
    <row r="275">
      <c r="A275" t="str">
        <f>IFERROR(__xludf.DUMMYFUNCTION("""COMPUTED_VALUE"""),"Mortality after hospital admission for acute myocardial infarction per 100 admissions, patients age 45 and older")</f>
        <v>Mortality after hospital admission for acute myocardial infarction per 100 admissions, patients age 45 and older</v>
      </c>
      <c r="B275" t="str">
        <f>IFERROR(__xludf.DUMMYFUNCTION("""COMPUTED_VALUE"""),"")</f>
        <v/>
      </c>
      <c r="C275" t="str">
        <f>IFERROR(__xludf.DUMMYFUNCTION("""COMPUTED_VALUE"""),"")</f>
        <v/>
      </c>
      <c r="D275" t="str">
        <f>IFERROR(__xludf.DUMMYFUNCTION("""COMPUTED_VALUE"""),"")</f>
        <v/>
      </c>
      <c r="E275" t="str">
        <f>IFERROR(__xludf.DUMMYFUNCTION("""COMPUTED_VALUE"""),"")</f>
        <v/>
      </c>
      <c r="F275" t="str">
        <f>IFERROR(__xludf.DUMMYFUNCTION("""COMPUTED_VALUE"""),"")</f>
        <v/>
      </c>
      <c r="G275" t="str">
        <f>IFERROR(__xludf.DUMMYFUNCTION("""COMPUTED_VALUE"""),"")</f>
        <v/>
      </c>
      <c r="H275" t="str">
        <f>IFERROR(__xludf.DUMMYFUNCTION("""COMPUTED_VALUE"""),"")</f>
        <v/>
      </c>
      <c r="I275" t="str">
        <f>IFERROR(__xludf.DUMMYFUNCTION("""COMPUTED_VALUE"""),"")</f>
        <v/>
      </c>
      <c r="J275" s="19" t="str">
        <f>IFERROR(__xludf.DUMMYFUNCTION("""COMPUTED_VALUE"""),"https://international.commonwealthfund.org/stats/")</f>
        <v>https://international.commonwealthfund.org/stats/</v>
      </c>
      <c r="K275" t="str">
        <f>IFERROR(__xludf.DUMMYFUNCTION("""COMPUTED_VALUE"""),"")</f>
        <v/>
      </c>
      <c r="L275" t="str">
        <f>IFERROR(__xludf.DUMMYFUNCTION("""COMPUTED_VALUE"""),"")</f>
        <v/>
      </c>
      <c r="M275" t="str">
        <f>IFERROR(__xludf.DUMMYFUNCTION("""COMPUTED_VALUE"""),"")</f>
        <v/>
      </c>
      <c r="N275" t="str">
        <f>IFERROR(__xludf.DUMMYFUNCTION("""COMPUTED_VALUE"""),"")</f>
        <v/>
      </c>
      <c r="O275" t="str">
        <f>IFERROR(__xludf.DUMMYFUNCTION("""COMPUTED_VALUE"""),"")</f>
        <v/>
      </c>
      <c r="P275" t="str">
        <f>IFERROR(__xludf.DUMMYFUNCTION("""COMPUTED_VALUE"""),"")</f>
        <v/>
      </c>
      <c r="Q275" t="str">
        <f>IFERROR(__xludf.DUMMYFUNCTION("""COMPUTED_VALUE"""),"")</f>
        <v/>
      </c>
      <c r="R275" t="str">
        <f>IFERROR(__xludf.DUMMYFUNCTION("""COMPUTED_VALUE"""),"")</f>
        <v/>
      </c>
      <c r="S275" t="str">
        <f>IFERROR(__xludf.DUMMYFUNCTION("""COMPUTED_VALUE"""),"")</f>
        <v/>
      </c>
      <c r="T275">
        <f>IFERROR(__xludf.DUMMYFUNCTION("""COMPUTED_VALUE"""),1.0)</f>
        <v>1</v>
      </c>
    </row>
    <row r="276">
      <c r="A276" t="str">
        <f>IFERROR(__xludf.DUMMYFUNCTION("""COMPUTED_VALUE"""),"Overall views of health care system")</f>
        <v>Overall views of health care system</v>
      </c>
      <c r="B276" t="str">
        <f>IFERROR(__xludf.DUMMYFUNCTION("""COMPUTED_VALUE"""),"")</f>
        <v/>
      </c>
      <c r="C276" t="str">
        <f>IFERROR(__xludf.DUMMYFUNCTION("""COMPUTED_VALUE"""),"")</f>
        <v/>
      </c>
      <c r="D276" t="str">
        <f>IFERROR(__xludf.DUMMYFUNCTION("""COMPUTED_VALUE"""),"")</f>
        <v/>
      </c>
      <c r="E276" t="str">
        <f>IFERROR(__xludf.DUMMYFUNCTION("""COMPUTED_VALUE"""),"")</f>
        <v/>
      </c>
      <c r="F276" t="str">
        <f>IFERROR(__xludf.DUMMYFUNCTION("""COMPUTED_VALUE"""),"")</f>
        <v/>
      </c>
      <c r="G276" t="str">
        <f>IFERROR(__xludf.DUMMYFUNCTION("""COMPUTED_VALUE"""),"")</f>
        <v/>
      </c>
      <c r="H276" t="str">
        <f>IFERROR(__xludf.DUMMYFUNCTION("""COMPUTED_VALUE"""),"Commonwealth grouping of 3 responses measured")</f>
        <v>Commonwealth grouping of 3 responses measured</v>
      </c>
      <c r="I276" t="str">
        <f>IFERROR(__xludf.DUMMYFUNCTION("""COMPUTED_VALUE"""),"")</f>
        <v/>
      </c>
      <c r="J276" s="19" t="str">
        <f>IFERROR(__xludf.DUMMYFUNCTION("""COMPUTED_VALUE"""),"https://international.commonwealthfund.org/stats/")</f>
        <v>https://international.commonwealthfund.org/stats/</v>
      </c>
      <c r="K276" t="str">
        <f>IFERROR(__xludf.DUMMYFUNCTION("""COMPUTED_VALUE"""),"")</f>
        <v/>
      </c>
      <c r="L276" t="str">
        <f>IFERROR(__xludf.DUMMYFUNCTION("""COMPUTED_VALUE"""),"")</f>
        <v/>
      </c>
      <c r="M276" t="str">
        <f>IFERROR(__xludf.DUMMYFUNCTION("""COMPUTED_VALUE"""),"")</f>
        <v/>
      </c>
      <c r="N276" t="str">
        <f>IFERROR(__xludf.DUMMYFUNCTION("""COMPUTED_VALUE"""),"")</f>
        <v/>
      </c>
      <c r="O276" t="str">
        <f>IFERROR(__xludf.DUMMYFUNCTION("""COMPUTED_VALUE"""),"")</f>
        <v/>
      </c>
      <c r="P276" t="str">
        <f>IFERROR(__xludf.DUMMYFUNCTION("""COMPUTED_VALUE"""),"")</f>
        <v/>
      </c>
      <c r="Q276" t="str">
        <f>IFERROR(__xludf.DUMMYFUNCTION("""COMPUTED_VALUE"""),"")</f>
        <v/>
      </c>
      <c r="R276" t="str">
        <f>IFERROR(__xludf.DUMMYFUNCTION("""COMPUTED_VALUE"""),"")</f>
        <v/>
      </c>
      <c r="S276" t="str">
        <f>IFERROR(__xludf.DUMMYFUNCTION("""COMPUTED_VALUE"""),"")</f>
        <v/>
      </c>
      <c r="T276">
        <f>IFERROR(__xludf.DUMMYFUNCTION("""COMPUTED_VALUE"""),1.0)</f>
        <v>1</v>
      </c>
    </row>
    <row r="277">
      <c r="A277" t="str">
        <f>IFERROR(__xludf.DUMMYFUNCTION("""COMPUTED_VALUE"""),"Opioid prescription rate")</f>
        <v>Opioid prescription rate</v>
      </c>
      <c r="B277" t="str">
        <f>IFERROR(__xludf.DUMMYFUNCTION("""COMPUTED_VALUE"""),"")</f>
        <v/>
      </c>
      <c r="C277" t="str">
        <f>IFERROR(__xludf.DUMMYFUNCTION("""COMPUTED_VALUE"""),"")</f>
        <v/>
      </c>
      <c r="D277" t="str">
        <f>IFERROR(__xludf.DUMMYFUNCTION("""COMPUTED_VALUE"""),"")</f>
        <v/>
      </c>
      <c r="E277" t="str">
        <f>IFERROR(__xludf.DUMMYFUNCTION("""COMPUTED_VALUE"""),"")</f>
        <v/>
      </c>
      <c r="F277" t="str">
        <f>IFERROR(__xludf.DUMMYFUNCTION("""COMPUTED_VALUE"""),"")</f>
        <v/>
      </c>
      <c r="G277" t="str">
        <f>IFERROR(__xludf.DUMMYFUNCTION("""COMPUTED_VALUE"""),"")</f>
        <v/>
      </c>
      <c r="H277" t="str">
        <f>IFERROR(__xludf.DUMMYFUNCTION("""COMPUTED_VALUE"""),"")</f>
        <v/>
      </c>
      <c r="I277" t="str">
        <f>IFERROR(__xludf.DUMMYFUNCTION("""COMPUTED_VALUE"""),"")</f>
        <v/>
      </c>
      <c r="J277" t="str">
        <f>IFERROR(__xludf.DUMMYFUNCTION("""COMPUTED_VALUE"""),"")</f>
        <v/>
      </c>
      <c r="K277" t="str">
        <f>IFERROR(__xludf.DUMMYFUNCTION("""COMPUTED_VALUE"""),"")</f>
        <v/>
      </c>
      <c r="L277" s="19" t="str">
        <f>IFERROR(__xludf.DUMMYFUNCTION("""COMPUTED_VALUE"""),"https://usafacts.org/missions/promote-welfare/12")</f>
        <v>https://usafacts.org/missions/promote-welfare/12</v>
      </c>
      <c r="M277" t="str">
        <f>IFERROR(__xludf.DUMMYFUNCTION("""COMPUTED_VALUE"""),"")</f>
        <v/>
      </c>
      <c r="N277" t="str">
        <f>IFERROR(__xludf.DUMMYFUNCTION("""COMPUTED_VALUE"""),"")</f>
        <v/>
      </c>
      <c r="O277" t="str">
        <f>IFERROR(__xludf.DUMMYFUNCTION("""COMPUTED_VALUE"""),"")</f>
        <v/>
      </c>
      <c r="P277" t="str">
        <f>IFERROR(__xludf.DUMMYFUNCTION("""COMPUTED_VALUE"""),"")</f>
        <v/>
      </c>
      <c r="Q277" t="str">
        <f>IFERROR(__xludf.DUMMYFUNCTION("""COMPUTED_VALUE"""),"")</f>
        <v/>
      </c>
      <c r="R277" t="str">
        <f>IFERROR(__xludf.DUMMYFUNCTION("""COMPUTED_VALUE"""),"")</f>
        <v/>
      </c>
      <c r="S277" t="str">
        <f>IFERROR(__xludf.DUMMYFUNCTION("""COMPUTED_VALUE"""),"")</f>
        <v/>
      </c>
      <c r="T277">
        <f>IFERROR(__xludf.DUMMYFUNCTION("""COMPUTED_VALUE"""),1.0)</f>
        <v>1</v>
      </c>
    </row>
    <row r="278">
      <c r="A278" t="str">
        <f>IFERROR(__xludf.DUMMYFUNCTION("""COMPUTED_VALUE"""),"Outpatient service utilization")</f>
        <v>Outpatient service utilization</v>
      </c>
      <c r="B278" t="str">
        <f>IFERROR(__xludf.DUMMYFUNCTION("""COMPUTED_VALUE"""),"")</f>
        <v/>
      </c>
      <c r="C278" t="str">
        <f>IFERROR(__xludf.DUMMYFUNCTION("""COMPUTED_VALUE"""),"")</f>
        <v/>
      </c>
      <c r="D278" t="str">
        <f>IFERROR(__xludf.DUMMYFUNCTION("""COMPUTED_VALUE"""),"")</f>
        <v/>
      </c>
      <c r="E278" t="str">
        <f>IFERROR(__xludf.DUMMYFUNCTION("""COMPUTED_VALUE"""),"")</f>
        <v/>
      </c>
      <c r="F278" t="str">
        <f>IFERROR(__xludf.DUMMYFUNCTION("""COMPUTED_VALUE"""),"")</f>
        <v/>
      </c>
      <c r="G278" t="str">
        <f>IFERROR(__xludf.DUMMYFUNCTION("""COMPUTED_VALUE"""),"")</f>
        <v/>
      </c>
      <c r="H278" t="str">
        <f>IFERROR(__xludf.DUMMYFUNCTION("""COMPUTED_VALUE"""),"")</f>
        <v/>
      </c>
      <c r="I278"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78" t="str">
        <f>IFERROR(__xludf.DUMMYFUNCTION("""COMPUTED_VALUE"""),"")</f>
        <v/>
      </c>
      <c r="K278" t="str">
        <f>IFERROR(__xludf.DUMMYFUNCTION("""COMPUTED_VALUE"""),"")</f>
        <v/>
      </c>
      <c r="L278" t="str">
        <f>IFERROR(__xludf.DUMMYFUNCTION("""COMPUTED_VALUE"""),"")</f>
        <v/>
      </c>
      <c r="M278" t="str">
        <f>IFERROR(__xludf.DUMMYFUNCTION("""COMPUTED_VALUE"""),"")</f>
        <v/>
      </c>
      <c r="N278" t="str">
        <f>IFERROR(__xludf.DUMMYFUNCTION("""COMPUTED_VALUE"""),"")</f>
        <v/>
      </c>
      <c r="O278" t="str">
        <f>IFERROR(__xludf.DUMMYFUNCTION("""COMPUTED_VALUE"""),"")</f>
        <v/>
      </c>
      <c r="P278" t="str">
        <f>IFERROR(__xludf.DUMMYFUNCTION("""COMPUTED_VALUE"""),"")</f>
        <v/>
      </c>
      <c r="Q278" t="str">
        <f>IFERROR(__xludf.DUMMYFUNCTION("""COMPUTED_VALUE"""),"")</f>
        <v/>
      </c>
      <c r="R278" t="str">
        <f>IFERROR(__xludf.DUMMYFUNCTION("""COMPUTED_VALUE"""),"")</f>
        <v/>
      </c>
      <c r="S278" t="str">
        <f>IFERROR(__xludf.DUMMYFUNCTION("""COMPUTED_VALUE"""),"")</f>
        <v/>
      </c>
      <c r="T278">
        <f>IFERROR(__xludf.DUMMYFUNCTION("""COMPUTED_VALUE"""),1.0)</f>
        <v>1</v>
      </c>
    </row>
    <row r="279">
      <c r="A279" t="str">
        <f>IFERROR(__xludf.DUMMYFUNCTION("""COMPUTED_VALUE"""),"Many veterans have to wait too long to obtain health care")</f>
        <v>Many veterans have to wait too long to obtain health care</v>
      </c>
      <c r="B279" t="str">
        <f>IFERROR(__xludf.DUMMYFUNCTION("""COMPUTED_VALUE"""),"")</f>
        <v/>
      </c>
      <c r="C279" t="str">
        <f>IFERROR(__xludf.DUMMYFUNCTION("""COMPUTED_VALUE"""),"")</f>
        <v/>
      </c>
      <c r="D279" t="str">
        <f>IFERROR(__xludf.DUMMYFUNCTION("""COMPUTED_VALUE"""),"")</f>
        <v/>
      </c>
      <c r="E279" t="str">
        <f>IFERROR(__xludf.DUMMYFUNCTION("""COMPUTED_VALUE"""),"")</f>
        <v/>
      </c>
      <c r="F279" t="str">
        <f>IFERROR(__xludf.DUMMYFUNCTION("""COMPUTED_VALUE"""),"")</f>
        <v/>
      </c>
      <c r="G279" t="str">
        <f>IFERROR(__xludf.DUMMYFUNCTION("""COMPUTED_VALUE"""),"VA")</f>
        <v>VA</v>
      </c>
      <c r="H279" t="str">
        <f>IFERROR(__xludf.DUMMYFUNCTION("""COMPUTED_VALUE"""),"")</f>
        <v/>
      </c>
      <c r="I279" t="str">
        <f>IFERROR(__xludf.DUMMYFUNCTION("""COMPUTED_VALUE"""),"")</f>
        <v/>
      </c>
      <c r="J279" t="str">
        <f>IFERROR(__xludf.DUMMYFUNCTION("""COMPUTED_VALUE"""),"")</f>
        <v/>
      </c>
      <c r="K279" t="str">
        <f>IFERROR(__xludf.DUMMYFUNCTION("""COMPUTED_VALUE"""),"")</f>
        <v/>
      </c>
      <c r="L279" t="str">
        <f>IFERROR(__xludf.DUMMYFUNCTION("""COMPUTED_VALUE"""),"")</f>
        <v/>
      </c>
      <c r="M279" t="str">
        <f>IFERROR(__xludf.DUMMYFUNCTION("""COMPUTED_VALUE"""),"")</f>
        <v/>
      </c>
      <c r="N279" t="str">
        <f>IFERROR(__xludf.DUMMYFUNCTION("""COMPUTED_VALUE"""),"")</f>
        <v/>
      </c>
      <c r="O279" t="str">
        <f>IFERROR(__xludf.DUMMYFUNCTION("""COMPUTED_VALUE"""),"")</f>
        <v/>
      </c>
      <c r="P279" t="str">
        <f>IFERROR(__xludf.DUMMYFUNCTION("""COMPUTED_VALUE"""),"")</f>
        <v/>
      </c>
      <c r="Q279" t="str">
        <f>IFERROR(__xludf.DUMMYFUNCTION("""COMPUTED_VALUE"""),"")</f>
        <v/>
      </c>
      <c r="R279" t="str">
        <f>IFERROR(__xludf.DUMMYFUNCTION("""COMPUTED_VALUE"""),"")</f>
        <v/>
      </c>
      <c r="S279" t="str">
        <f>IFERROR(__xludf.DUMMYFUNCTION("""COMPUTED_VALUE"""),"BWHP-37")</f>
        <v>BWHP-37</v>
      </c>
      <c r="T279">
        <f>IFERROR(__xludf.DUMMYFUNCTION("""COMPUTED_VALUE"""),1.0)</f>
        <v>1</v>
      </c>
    </row>
    <row r="280">
      <c r="A280" t="str">
        <f>IFERROR(__xludf.DUMMYFUNCTION("""COMPUTED_VALUE"""),"Number of Medicare enrollees")</f>
        <v>Number of Medicare enrollees</v>
      </c>
      <c r="B280" t="str">
        <f>IFERROR(__xludf.DUMMYFUNCTION("""COMPUTED_VALUE"""),"")</f>
        <v/>
      </c>
      <c r="C280" t="str">
        <f>IFERROR(__xludf.DUMMYFUNCTION("""COMPUTED_VALUE"""),"")</f>
        <v/>
      </c>
      <c r="D280" t="str">
        <f>IFERROR(__xludf.DUMMYFUNCTION("""COMPUTED_VALUE"""),"")</f>
        <v/>
      </c>
      <c r="E280" t="str">
        <f>IFERROR(__xludf.DUMMYFUNCTION("""COMPUTED_VALUE"""),"")</f>
        <v/>
      </c>
      <c r="F280" t="str">
        <f>IFERROR(__xludf.DUMMYFUNCTION("""COMPUTED_VALUE"""),"")</f>
        <v/>
      </c>
      <c r="G280" t="str">
        <f>IFERROR(__xludf.DUMMYFUNCTION("""COMPUTED_VALUE"""),"")</f>
        <v/>
      </c>
      <c r="H280" t="str">
        <f>IFERROR(__xludf.DUMMYFUNCTION("""COMPUTED_VALUE"""),"")</f>
        <v/>
      </c>
      <c r="I280" t="str">
        <f>IFERROR(__xludf.DUMMYFUNCTION("""COMPUTED_VALUE"""),"")</f>
        <v/>
      </c>
      <c r="J280" t="str">
        <f>IFERROR(__xludf.DUMMYFUNCTION("""COMPUTED_VALUE"""),"")</f>
        <v/>
      </c>
      <c r="K280" t="str">
        <f>IFERROR(__xludf.DUMMYFUNCTION("""COMPUTED_VALUE"""),"")</f>
        <v/>
      </c>
      <c r="L280" t="str">
        <f>IFERROR(__xludf.DUMMYFUNCTION("""COMPUTED_VALUE"""),"")</f>
        <v/>
      </c>
      <c r="M280" t="str">
        <f>IFERROR(__xludf.DUMMYFUNCTION("""COMPUTED_VALUE"""),"")</f>
        <v/>
      </c>
      <c r="N280" t="str">
        <f>IFERROR(__xludf.DUMMYFUNCTION("""COMPUTED_VALUE"""),"")</f>
        <v/>
      </c>
      <c r="O280" t="str">
        <f>IFERROR(__xludf.DUMMYFUNCTION("""COMPUTED_VALUE"""),"")</f>
        <v/>
      </c>
      <c r="P280" t="str">
        <f>IFERROR(__xludf.DUMMYFUNCTION("""COMPUTED_VALUE"""),"")</f>
        <v/>
      </c>
      <c r="Q280" t="str">
        <f>IFERROR(__xludf.DUMMYFUNCTION("""COMPUTED_VALUE"""),"")</f>
        <v/>
      </c>
      <c r="R280" t="str">
        <f>IFERROR(__xludf.DUMMYFUNCTION("""COMPUTED_VALUE"""),"CHSI")</f>
        <v>CHSI</v>
      </c>
      <c r="S280" t="str">
        <f>IFERROR(__xludf.DUMMYFUNCTION("""COMPUTED_VALUE"""),"")</f>
        <v/>
      </c>
      <c r="T280">
        <f>IFERROR(__xludf.DUMMYFUNCTION("""COMPUTED_VALUE"""),1.0)</f>
        <v>1</v>
      </c>
    </row>
    <row r="281">
      <c r="A281" t="str">
        <f>IFERROR(__xludf.DUMMYFUNCTION("""COMPUTED_VALUE"""),"Medical technology")</f>
        <v>Medical technology</v>
      </c>
      <c r="B281" t="str">
        <f>IFERROR(__xludf.DUMMYFUNCTION("""COMPUTED_VALUE"""),"")</f>
        <v/>
      </c>
      <c r="C281" t="str">
        <f>IFERROR(__xludf.DUMMYFUNCTION("""COMPUTED_VALUE"""),"")</f>
        <v/>
      </c>
      <c r="D281" t="str">
        <f>IFERROR(__xludf.DUMMYFUNCTION("""COMPUTED_VALUE"""),"")</f>
        <v/>
      </c>
      <c r="E281" t="str">
        <f>IFERROR(__xludf.DUMMYFUNCTION("""COMPUTED_VALUE"""),"")</f>
        <v/>
      </c>
      <c r="F281" t="str">
        <f>IFERROR(__xludf.DUMMYFUNCTION("""COMPUTED_VALUE"""),"")</f>
        <v/>
      </c>
      <c r="G281" t="str">
        <f>IFERROR(__xludf.DUMMYFUNCTION("""COMPUTED_VALUE"""),"")</f>
        <v/>
      </c>
      <c r="H281" t="str">
        <f>IFERROR(__xludf.DUMMYFUNCTION("""COMPUTED_VALUE"""),"")</f>
        <v/>
      </c>
      <c r="I281" t="str">
        <f>IFERROR(__xludf.DUMMYFUNCTION("""COMPUTED_VALUE"""),"")</f>
        <v/>
      </c>
      <c r="J281" t="str">
        <f>IFERROR(__xludf.DUMMYFUNCTION("""COMPUTED_VALUE"""),"")</f>
        <v/>
      </c>
      <c r="K281" s="19" t="str">
        <f>IFERROR(__xludf.DUMMYFUNCTION("""COMPUTED_VALUE"""),"https://stats.oecd.org/index.aspx?DataSetCode=HEALTH_STAT")</f>
        <v>https://stats.oecd.org/index.aspx?DataSetCode=HEALTH_STAT</v>
      </c>
      <c r="L281" t="str">
        <f>IFERROR(__xludf.DUMMYFUNCTION("""COMPUTED_VALUE"""),"")</f>
        <v/>
      </c>
      <c r="M281" t="str">
        <f>IFERROR(__xludf.DUMMYFUNCTION("""COMPUTED_VALUE"""),"")</f>
        <v/>
      </c>
      <c r="N281" t="str">
        <f>IFERROR(__xludf.DUMMYFUNCTION("""COMPUTED_VALUE"""),"")</f>
        <v/>
      </c>
      <c r="O281" t="str">
        <f>IFERROR(__xludf.DUMMYFUNCTION("""COMPUTED_VALUE"""),"")</f>
        <v/>
      </c>
      <c r="P281" t="str">
        <f>IFERROR(__xludf.DUMMYFUNCTION("""COMPUTED_VALUE"""),"")</f>
        <v/>
      </c>
      <c r="Q281" t="str">
        <f>IFERROR(__xludf.DUMMYFUNCTION("""COMPUTED_VALUE"""),"")</f>
        <v/>
      </c>
      <c r="R281" t="str">
        <f>IFERROR(__xludf.DUMMYFUNCTION("""COMPUTED_VALUE"""),"")</f>
        <v/>
      </c>
      <c r="S281" t="str">
        <f>IFERROR(__xludf.DUMMYFUNCTION("""COMPUTED_VALUE"""),"")</f>
        <v/>
      </c>
      <c r="T281">
        <f>IFERROR(__xludf.DUMMYFUNCTION("""COMPUTED_VALUE"""),1.0)</f>
        <v>1</v>
      </c>
    </row>
    <row r="282">
      <c r="A282" t="str">
        <f>IFERROR(__xludf.DUMMYFUNCTION("""COMPUTED_VALUE"""),"Pharma consumption, sales, and generic market")</f>
        <v>Pharma consumption, sales, and generic market</v>
      </c>
      <c r="B282" t="str">
        <f>IFERROR(__xludf.DUMMYFUNCTION("""COMPUTED_VALUE"""),"")</f>
        <v/>
      </c>
      <c r="C282" t="str">
        <f>IFERROR(__xludf.DUMMYFUNCTION("""COMPUTED_VALUE"""),"")</f>
        <v/>
      </c>
      <c r="D282" t="str">
        <f>IFERROR(__xludf.DUMMYFUNCTION("""COMPUTED_VALUE"""),"")</f>
        <v/>
      </c>
      <c r="E282" t="str">
        <f>IFERROR(__xludf.DUMMYFUNCTION("""COMPUTED_VALUE"""),"")</f>
        <v/>
      </c>
      <c r="F282" t="str">
        <f>IFERROR(__xludf.DUMMYFUNCTION("""COMPUTED_VALUE"""),"")</f>
        <v/>
      </c>
      <c r="G282" t="str">
        <f>IFERROR(__xludf.DUMMYFUNCTION("""COMPUTED_VALUE"""),"")</f>
        <v/>
      </c>
      <c r="H282" t="str">
        <f>IFERROR(__xludf.DUMMYFUNCTION("""COMPUTED_VALUE"""),"")</f>
        <v/>
      </c>
      <c r="I282" t="str">
        <f>IFERROR(__xludf.DUMMYFUNCTION("""COMPUTED_VALUE"""),"")</f>
        <v/>
      </c>
      <c r="J282" t="str">
        <f>IFERROR(__xludf.DUMMYFUNCTION("""COMPUTED_VALUE"""),"")</f>
        <v/>
      </c>
      <c r="K282" s="19" t="str">
        <f>IFERROR(__xludf.DUMMYFUNCTION("""COMPUTED_VALUE"""),"https://stats.oecd.org/index.aspx?DataSetCode=HEALTH_STAT")</f>
        <v>https://stats.oecd.org/index.aspx?DataSetCode=HEALTH_STAT</v>
      </c>
      <c r="L282" t="str">
        <f>IFERROR(__xludf.DUMMYFUNCTION("""COMPUTED_VALUE"""),"")</f>
        <v/>
      </c>
      <c r="M282" t="str">
        <f>IFERROR(__xludf.DUMMYFUNCTION("""COMPUTED_VALUE"""),"")</f>
        <v/>
      </c>
      <c r="N282" t="str">
        <f>IFERROR(__xludf.DUMMYFUNCTION("""COMPUTED_VALUE"""),"")</f>
        <v/>
      </c>
      <c r="O282" t="str">
        <f>IFERROR(__xludf.DUMMYFUNCTION("""COMPUTED_VALUE"""),"")</f>
        <v/>
      </c>
      <c r="P282" t="str">
        <f>IFERROR(__xludf.DUMMYFUNCTION("""COMPUTED_VALUE"""),"")</f>
        <v/>
      </c>
      <c r="Q282" t="str">
        <f>IFERROR(__xludf.DUMMYFUNCTION("""COMPUTED_VALUE"""),"")</f>
        <v/>
      </c>
      <c r="R282" t="str">
        <f>IFERROR(__xludf.DUMMYFUNCTION("""COMPUTED_VALUE"""),"")</f>
        <v/>
      </c>
      <c r="S282" t="str">
        <f>IFERROR(__xludf.DUMMYFUNCTION("""COMPUTED_VALUE"""),"")</f>
        <v/>
      </c>
      <c r="T282">
        <f>IFERROR(__xludf.DUMMYFUNCTION("""COMPUTED_VALUE"""),1.0)</f>
        <v>1</v>
      </c>
    </row>
    <row r="283">
      <c r="A283" t="str">
        <f>IFERROR(__xludf.DUMMYFUNCTION("""COMPUTED_VALUE"""),"Long term care recipients")</f>
        <v>Long term care recipients</v>
      </c>
      <c r="B283" t="str">
        <f>IFERROR(__xludf.DUMMYFUNCTION("""COMPUTED_VALUE"""),"")</f>
        <v/>
      </c>
      <c r="C283" t="str">
        <f>IFERROR(__xludf.DUMMYFUNCTION("""COMPUTED_VALUE"""),"")</f>
        <v/>
      </c>
      <c r="D283" t="str">
        <f>IFERROR(__xludf.DUMMYFUNCTION("""COMPUTED_VALUE"""),"")</f>
        <v/>
      </c>
      <c r="E283" t="str">
        <f>IFERROR(__xludf.DUMMYFUNCTION("""COMPUTED_VALUE"""),"")</f>
        <v/>
      </c>
      <c r="F283" t="str">
        <f>IFERROR(__xludf.DUMMYFUNCTION("""COMPUTED_VALUE"""),"")</f>
        <v/>
      </c>
      <c r="G283" t="str">
        <f>IFERROR(__xludf.DUMMYFUNCTION("""COMPUTED_VALUE"""),"")</f>
        <v/>
      </c>
      <c r="H283" t="str">
        <f>IFERROR(__xludf.DUMMYFUNCTION("""COMPUTED_VALUE"""),"By home / institution")</f>
        <v>By home / institution</v>
      </c>
      <c r="I283" t="str">
        <f>IFERROR(__xludf.DUMMYFUNCTION("""COMPUTED_VALUE"""),"")</f>
        <v/>
      </c>
      <c r="J283" t="str">
        <f>IFERROR(__xludf.DUMMYFUNCTION("""COMPUTED_VALUE"""),"")</f>
        <v/>
      </c>
      <c r="K283" s="19" t="str">
        <f>IFERROR(__xludf.DUMMYFUNCTION("""COMPUTED_VALUE"""),"https://stats.oecd.org/index.aspx?DataSetCode=HEALTH_STAT")</f>
        <v>https://stats.oecd.org/index.aspx?DataSetCode=HEALTH_STAT</v>
      </c>
      <c r="L283" t="str">
        <f>IFERROR(__xludf.DUMMYFUNCTION("""COMPUTED_VALUE"""),"")</f>
        <v/>
      </c>
      <c r="M283" t="str">
        <f>IFERROR(__xludf.DUMMYFUNCTION("""COMPUTED_VALUE"""),"")</f>
        <v/>
      </c>
      <c r="N283" t="str">
        <f>IFERROR(__xludf.DUMMYFUNCTION("""COMPUTED_VALUE"""),"")</f>
        <v/>
      </c>
      <c r="O283" t="str">
        <f>IFERROR(__xludf.DUMMYFUNCTION("""COMPUTED_VALUE"""),"")</f>
        <v/>
      </c>
      <c r="P283" t="str">
        <f>IFERROR(__xludf.DUMMYFUNCTION("""COMPUTED_VALUE"""),"")</f>
        <v/>
      </c>
      <c r="Q283" t="str">
        <f>IFERROR(__xludf.DUMMYFUNCTION("""COMPUTED_VALUE"""),"")</f>
        <v/>
      </c>
      <c r="R283" t="str">
        <f>IFERROR(__xludf.DUMMYFUNCTION("""COMPUTED_VALUE"""),"")</f>
        <v/>
      </c>
      <c r="S283" t="str">
        <f>IFERROR(__xludf.DUMMYFUNCTION("""COMPUTED_VALUE"""),"")</f>
        <v/>
      </c>
      <c r="T283">
        <f>IFERROR(__xludf.DUMMYFUNCTION("""COMPUTED_VALUE"""),1.0)</f>
        <v>1</v>
      </c>
    </row>
    <row r="284">
      <c r="A284" t="str">
        <f>IFERROR(__xludf.DUMMYFUNCTION("""COMPUTED_VALUE"""),"Hip and knee replacements")</f>
        <v>Hip and knee replacements</v>
      </c>
      <c r="B284" t="str">
        <f>IFERROR(__xludf.DUMMYFUNCTION("""COMPUTED_VALUE"""),"")</f>
        <v/>
      </c>
      <c r="C284" t="str">
        <f>IFERROR(__xludf.DUMMYFUNCTION("""COMPUTED_VALUE"""),"")</f>
        <v/>
      </c>
      <c r="D284" t="str">
        <f>IFERROR(__xludf.DUMMYFUNCTION("""COMPUTED_VALUE"""),"")</f>
        <v/>
      </c>
      <c r="E284" t="str">
        <f>IFERROR(__xludf.DUMMYFUNCTION("""COMPUTED_VALUE"""),"")</f>
        <v/>
      </c>
      <c r="F284" t="str">
        <f>IFERROR(__xludf.DUMMYFUNCTION("""COMPUTED_VALUE"""),"")</f>
        <v/>
      </c>
      <c r="G284" t="str">
        <f>IFERROR(__xludf.DUMMYFUNCTION("""COMPUTED_VALUE"""),"")</f>
        <v/>
      </c>
      <c r="H284" t="str">
        <f>IFERROR(__xludf.DUMMYFUNCTION("""COMPUTED_VALUE"""),"")</f>
        <v/>
      </c>
      <c r="I284" t="str">
        <f>IFERROR(__xludf.DUMMYFUNCTION("""COMPUTED_VALUE"""),"")</f>
        <v/>
      </c>
      <c r="J284" t="str">
        <f>IFERROR(__xludf.DUMMYFUNCTION("""COMPUTED_VALUE"""),"")</f>
        <v/>
      </c>
      <c r="K284"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284" t="str">
        <f>IFERROR(__xludf.DUMMYFUNCTION("""COMPUTED_VALUE"""),"")</f>
        <v/>
      </c>
      <c r="M284" t="str">
        <f>IFERROR(__xludf.DUMMYFUNCTION("""COMPUTED_VALUE"""),"")</f>
        <v/>
      </c>
      <c r="N284" t="str">
        <f>IFERROR(__xludf.DUMMYFUNCTION("""COMPUTED_VALUE"""),"")</f>
        <v/>
      </c>
      <c r="O284" t="str">
        <f>IFERROR(__xludf.DUMMYFUNCTION("""COMPUTED_VALUE"""),"")</f>
        <v/>
      </c>
      <c r="P284" t="str">
        <f>IFERROR(__xludf.DUMMYFUNCTION("""COMPUTED_VALUE"""),"")</f>
        <v/>
      </c>
      <c r="Q284" t="str">
        <f>IFERROR(__xludf.DUMMYFUNCTION("""COMPUTED_VALUE"""),"")</f>
        <v/>
      </c>
      <c r="R284" t="str">
        <f>IFERROR(__xludf.DUMMYFUNCTION("""COMPUTED_VALUE"""),"")</f>
        <v/>
      </c>
      <c r="S284" t="str">
        <f>IFERROR(__xludf.DUMMYFUNCTION("""COMPUTED_VALUE"""),"")</f>
        <v/>
      </c>
      <c r="T284">
        <f>IFERROR(__xludf.DUMMYFUNCTION("""COMPUTED_VALUE"""),1.0)</f>
        <v>1</v>
      </c>
    </row>
    <row r="285">
      <c r="A285" t="str">
        <f>IFERROR(__xludf.DUMMYFUNCTION("""COMPUTED_VALUE"""),"Hospital occupancy rate")</f>
        <v>Hospital occupancy rate</v>
      </c>
      <c r="B285" t="str">
        <f>IFERROR(__xludf.DUMMYFUNCTION("""COMPUTED_VALUE"""),"")</f>
        <v/>
      </c>
      <c r="C285" t="str">
        <f>IFERROR(__xludf.DUMMYFUNCTION("""COMPUTED_VALUE"""),"")</f>
        <v/>
      </c>
      <c r="D285" t="str">
        <f>IFERROR(__xludf.DUMMYFUNCTION("""COMPUTED_VALUE"""),"")</f>
        <v/>
      </c>
      <c r="E285" t="str">
        <f>IFERROR(__xludf.DUMMYFUNCTION("""COMPUTED_VALUE"""),"")</f>
        <v/>
      </c>
      <c r="F285" t="str">
        <f>IFERROR(__xludf.DUMMYFUNCTION("""COMPUTED_VALUE"""),"")</f>
        <v/>
      </c>
      <c r="G285" t="str">
        <f>IFERROR(__xludf.DUMMYFUNCTION("""COMPUTED_VALUE"""),"")</f>
        <v/>
      </c>
      <c r="H285" t="str">
        <f>IFERROR(__xludf.DUMMYFUNCTION("""COMPUTED_VALUE"""),"")</f>
        <v/>
      </c>
      <c r="I285" t="str">
        <f>IFERROR(__xludf.DUMMYFUNCTION("""COMPUTED_VALUE"""),"")</f>
        <v/>
      </c>
      <c r="J285" t="str">
        <f>IFERROR(__xludf.DUMMYFUNCTION("""COMPUTED_VALUE"""),"")</f>
        <v/>
      </c>
      <c r="K285" t="str">
        <f>IFERROR(__xludf.DUMMYFUNCTION("""COMPUTED_VALUE"""),"")</f>
        <v/>
      </c>
      <c r="L285" s="19" t="str">
        <f>IFERROR(__xludf.DUMMYFUNCTION("""COMPUTED_VALUE"""),"https://usafacts.org/missions/promote-welfare/12")</f>
        <v>https://usafacts.org/missions/promote-welfare/12</v>
      </c>
      <c r="M285" t="str">
        <f>IFERROR(__xludf.DUMMYFUNCTION("""COMPUTED_VALUE"""),"")</f>
        <v/>
      </c>
      <c r="N285" t="str">
        <f>IFERROR(__xludf.DUMMYFUNCTION("""COMPUTED_VALUE"""),"")</f>
        <v/>
      </c>
      <c r="O285" t="str">
        <f>IFERROR(__xludf.DUMMYFUNCTION("""COMPUTED_VALUE"""),"")</f>
        <v/>
      </c>
      <c r="P285" t="str">
        <f>IFERROR(__xludf.DUMMYFUNCTION("""COMPUTED_VALUE"""),"")</f>
        <v/>
      </c>
      <c r="Q285" t="str">
        <f>IFERROR(__xludf.DUMMYFUNCTION("""COMPUTED_VALUE"""),"")</f>
        <v/>
      </c>
      <c r="R285" t="str">
        <f>IFERROR(__xludf.DUMMYFUNCTION("""COMPUTED_VALUE"""),"")</f>
        <v/>
      </c>
      <c r="S285" t="str">
        <f>IFERROR(__xludf.DUMMYFUNCTION("""COMPUTED_VALUE"""),"")</f>
        <v/>
      </c>
      <c r="T285">
        <f>IFERROR(__xludf.DUMMYFUNCTION("""COMPUTED_VALUE"""),1.0)</f>
        <v>1</v>
      </c>
    </row>
    <row r="286">
      <c r="A286" t="str">
        <f>IFERROR(__xludf.DUMMYFUNCTION("""COMPUTED_VALUE"""),"There are too many VA health professional and leadership vacancies leading to poor care and outcomes")</f>
        <v>There are too many VA health professional and leadership vacancies leading to poor care and outcomes</v>
      </c>
      <c r="B286" t="str">
        <f>IFERROR(__xludf.DUMMYFUNCTION("""COMPUTED_VALUE"""),"")</f>
        <v/>
      </c>
      <c r="C286" t="str">
        <f>IFERROR(__xludf.DUMMYFUNCTION("""COMPUTED_VALUE"""),"")</f>
        <v/>
      </c>
      <c r="D286" t="str">
        <f>IFERROR(__xludf.DUMMYFUNCTION("""COMPUTED_VALUE"""),"")</f>
        <v/>
      </c>
      <c r="E286" t="str">
        <f>IFERROR(__xludf.DUMMYFUNCTION("""COMPUTED_VALUE"""),"")</f>
        <v/>
      </c>
      <c r="F286" t="str">
        <f>IFERROR(__xludf.DUMMYFUNCTION("""COMPUTED_VALUE"""),"")</f>
        <v/>
      </c>
      <c r="G286" t="str">
        <f>IFERROR(__xludf.DUMMYFUNCTION("""COMPUTED_VALUE"""),"VA")</f>
        <v>VA</v>
      </c>
      <c r="H286" t="str">
        <f>IFERROR(__xludf.DUMMYFUNCTION("""COMPUTED_VALUE"""),"")</f>
        <v/>
      </c>
      <c r="I286" t="str">
        <f>IFERROR(__xludf.DUMMYFUNCTION("""COMPUTED_VALUE"""),"")</f>
        <v/>
      </c>
      <c r="J286" t="str">
        <f>IFERROR(__xludf.DUMMYFUNCTION("""COMPUTED_VALUE"""),"")</f>
        <v/>
      </c>
      <c r="K286" t="str">
        <f>IFERROR(__xludf.DUMMYFUNCTION("""COMPUTED_VALUE"""),"")</f>
        <v/>
      </c>
      <c r="L286" t="str">
        <f>IFERROR(__xludf.DUMMYFUNCTION("""COMPUTED_VALUE"""),"")</f>
        <v/>
      </c>
      <c r="M286" t="str">
        <f>IFERROR(__xludf.DUMMYFUNCTION("""COMPUTED_VALUE"""),"")</f>
        <v/>
      </c>
      <c r="N286" t="str">
        <f>IFERROR(__xludf.DUMMYFUNCTION("""COMPUTED_VALUE"""),"")</f>
        <v/>
      </c>
      <c r="O286" t="str">
        <f>IFERROR(__xludf.DUMMYFUNCTION("""COMPUTED_VALUE"""),"")</f>
        <v/>
      </c>
      <c r="P286" t="str">
        <f>IFERROR(__xludf.DUMMYFUNCTION("""COMPUTED_VALUE"""),"")</f>
        <v/>
      </c>
      <c r="Q286" t="str">
        <f>IFERROR(__xludf.DUMMYFUNCTION("""COMPUTED_VALUE"""),"")</f>
        <v/>
      </c>
      <c r="R286" t="str">
        <f>IFERROR(__xludf.DUMMYFUNCTION("""COMPUTED_VALUE"""),"")</f>
        <v/>
      </c>
      <c r="S286" t="str">
        <f>IFERROR(__xludf.DUMMYFUNCTION("""COMPUTED_VALUE"""),"BWHP-41")</f>
        <v>BWHP-41</v>
      </c>
      <c r="T286">
        <f>IFERROR(__xludf.DUMMYFUNCTION("""COMPUTED_VALUE"""),1.0)</f>
        <v>1</v>
      </c>
    </row>
    <row r="287">
      <c r="A287" t="str">
        <f>IFERROR(__xludf.DUMMYFUNCTION("""COMPUTED_VALUE"""),"Modernizing CMS")</f>
        <v>Modernizing CMS</v>
      </c>
      <c r="B287" t="str">
        <f>IFERROR(__xludf.DUMMYFUNCTION("""COMPUTED_VALUE"""),"")</f>
        <v/>
      </c>
      <c r="C287" t="str">
        <f>IFERROR(__xludf.DUMMYFUNCTION("""COMPUTED_VALUE"""),"")</f>
        <v/>
      </c>
      <c r="D287" t="str">
        <f>IFERROR(__xludf.DUMMYFUNCTION("""COMPUTED_VALUE"""),"")</f>
        <v/>
      </c>
      <c r="E287" t="str">
        <f>IFERROR(__xludf.DUMMYFUNCTION("""COMPUTED_VALUE"""),"")</f>
        <v/>
      </c>
      <c r="F287" t="str">
        <f>IFERROR(__xludf.DUMMYFUNCTION("""COMPUTED_VALUE"""),"")</f>
        <v/>
      </c>
      <c r="G287" t="str">
        <f>IFERROR(__xludf.DUMMYFUNCTION("""COMPUTED_VALUE"""),"")</f>
        <v/>
      </c>
      <c r="H287" t="str">
        <f>IFERROR(__xludf.DUMMYFUNCTION("""COMPUTED_VALUE"""),"Better work efficiency for CMS employees")</f>
        <v>Better work efficiency for CMS employees</v>
      </c>
      <c r="I287" t="str">
        <f>IFERROR(__xludf.DUMMYFUNCTION("""COMPUTED_VALUE"""),"")</f>
        <v/>
      </c>
      <c r="J287" t="str">
        <f>IFERROR(__xludf.DUMMYFUNCTION("""COMPUTED_VALUE"""),"")</f>
        <v/>
      </c>
      <c r="K287" t="str">
        <f>IFERROR(__xludf.DUMMYFUNCTION("""COMPUTED_VALUE"""),"")</f>
        <v/>
      </c>
      <c r="L287" t="str">
        <f>IFERROR(__xludf.DUMMYFUNCTION("""COMPUTED_VALUE"""),"")</f>
        <v/>
      </c>
      <c r="M287" t="str">
        <f>IFERROR(__xludf.DUMMYFUNCTION("""COMPUTED_VALUE"""),"")</f>
        <v/>
      </c>
      <c r="N287" t="str">
        <f>IFERROR(__xludf.DUMMYFUNCTION("""COMPUTED_VALUE"""),"")</f>
        <v/>
      </c>
      <c r="O287" t="str">
        <f>IFERROR(__xludf.DUMMYFUNCTION("""COMPUTED_VALUE"""),"")</f>
        <v/>
      </c>
      <c r="P287" s="19" t="str">
        <f>IFERROR(__xludf.DUMMYFUNCTION("""COMPUTED_VALUE"""),"https://www.cms.gov/about-cms/story-page/our-16-strategic-initiatives.html")</f>
        <v>https://www.cms.gov/about-cms/story-page/our-16-strategic-initiatives.html</v>
      </c>
      <c r="Q287" t="str">
        <f>IFERROR(__xludf.DUMMYFUNCTION("""COMPUTED_VALUE"""),"")</f>
        <v/>
      </c>
      <c r="R287" t="str">
        <f>IFERROR(__xludf.DUMMYFUNCTION("""COMPUTED_VALUE"""),"")</f>
        <v/>
      </c>
      <c r="S287" t="str">
        <f>IFERROR(__xludf.DUMMYFUNCTION("""COMPUTED_VALUE"""),"")</f>
        <v/>
      </c>
      <c r="T287">
        <f>IFERROR(__xludf.DUMMYFUNCTION("""COMPUTED_VALUE"""),1.0)</f>
        <v>1</v>
      </c>
    </row>
    <row r="288">
      <c r="A288" t="str">
        <f>IFERROR(__xludf.DUMMYFUNCTION("""COMPUTED_VALUE"""),"Health workforce migration")</f>
        <v>Health workforce migration</v>
      </c>
      <c r="B288" t="str">
        <f>IFERROR(__xludf.DUMMYFUNCTION("""COMPUTED_VALUE"""),"")</f>
        <v/>
      </c>
      <c r="C288" t="str">
        <f>IFERROR(__xludf.DUMMYFUNCTION("""COMPUTED_VALUE"""),"")</f>
        <v/>
      </c>
      <c r="D288" t="str">
        <f>IFERROR(__xludf.DUMMYFUNCTION("""COMPUTED_VALUE"""),"")</f>
        <v/>
      </c>
      <c r="E288" t="str">
        <f>IFERROR(__xludf.DUMMYFUNCTION("""COMPUTED_VALUE"""),"")</f>
        <v/>
      </c>
      <c r="F288" t="str">
        <f>IFERROR(__xludf.DUMMYFUNCTION("""COMPUTED_VALUE"""),"")</f>
        <v/>
      </c>
      <c r="G288" t="str">
        <f>IFERROR(__xludf.DUMMYFUNCTION("""COMPUTED_VALUE"""),"")</f>
        <v/>
      </c>
      <c r="H288" t="str">
        <f>IFERROR(__xludf.DUMMYFUNCTION("""COMPUTED_VALUE"""),"Migration of doctors and nurses. Foreign trained docs, nurses, etc")</f>
        <v>Migration of doctors and nurses. Foreign trained docs, nurses, etc</v>
      </c>
      <c r="I288" t="str">
        <f>IFERROR(__xludf.DUMMYFUNCTION("""COMPUTED_VALUE"""),"")</f>
        <v/>
      </c>
      <c r="J288" t="str">
        <f>IFERROR(__xludf.DUMMYFUNCTION("""COMPUTED_VALUE"""),"")</f>
        <v/>
      </c>
      <c r="K288" s="19" t="str">
        <f>IFERROR(__xludf.DUMMYFUNCTION("""COMPUTED_VALUE"""),"https://stats.oecd.org/index.aspx?DataSetCode=HEALTH_STAT")</f>
        <v>https://stats.oecd.org/index.aspx?DataSetCode=HEALTH_STAT</v>
      </c>
      <c r="L288" t="str">
        <f>IFERROR(__xludf.DUMMYFUNCTION("""COMPUTED_VALUE"""),"")</f>
        <v/>
      </c>
      <c r="M288" t="str">
        <f>IFERROR(__xludf.DUMMYFUNCTION("""COMPUTED_VALUE"""),"")</f>
        <v/>
      </c>
      <c r="N288" t="str">
        <f>IFERROR(__xludf.DUMMYFUNCTION("""COMPUTED_VALUE"""),"")</f>
        <v/>
      </c>
      <c r="O288" t="str">
        <f>IFERROR(__xludf.DUMMYFUNCTION("""COMPUTED_VALUE"""),"")</f>
        <v/>
      </c>
      <c r="P288" t="str">
        <f>IFERROR(__xludf.DUMMYFUNCTION("""COMPUTED_VALUE"""),"")</f>
        <v/>
      </c>
      <c r="Q288" t="str">
        <f>IFERROR(__xludf.DUMMYFUNCTION("""COMPUTED_VALUE"""),"")</f>
        <v/>
      </c>
      <c r="R288" t="str">
        <f>IFERROR(__xludf.DUMMYFUNCTION("""COMPUTED_VALUE"""),"")</f>
        <v/>
      </c>
      <c r="S288" t="str">
        <f>IFERROR(__xludf.DUMMYFUNCTION("""COMPUTED_VALUE"""),"")</f>
        <v/>
      </c>
      <c r="T288">
        <f>IFERROR(__xludf.DUMMYFUNCTION("""COMPUTED_VALUE"""),1.0)</f>
        <v>1</v>
      </c>
    </row>
    <row r="289">
      <c r="A289" t="str">
        <f>IFERROR(__xludf.DUMMYFUNCTION("""COMPUTED_VALUE"""),"Informal care givers")</f>
        <v>Informal care givers</v>
      </c>
      <c r="B289" t="str">
        <f>IFERROR(__xludf.DUMMYFUNCTION("""COMPUTED_VALUE"""),"")</f>
        <v/>
      </c>
      <c r="C289" t="str">
        <f>IFERROR(__xludf.DUMMYFUNCTION("""COMPUTED_VALUE"""),"")</f>
        <v/>
      </c>
      <c r="D289" t="str">
        <f>IFERROR(__xludf.DUMMYFUNCTION("""COMPUTED_VALUE"""),"")</f>
        <v/>
      </c>
      <c r="E289" t="str">
        <f>IFERROR(__xludf.DUMMYFUNCTION("""COMPUTED_VALUE"""),"")</f>
        <v/>
      </c>
      <c r="F289" t="str">
        <f>IFERROR(__xludf.DUMMYFUNCTION("""COMPUTED_VALUE"""),"")</f>
        <v/>
      </c>
      <c r="G289" t="str">
        <f>IFERROR(__xludf.DUMMYFUNCTION("""COMPUTED_VALUE"""),"")</f>
        <v/>
      </c>
      <c r="H289" t="str">
        <f>IFERROR(__xludf.DUMMYFUNCTION("""COMPUTED_VALUE"""),"")</f>
        <v/>
      </c>
      <c r="I289" t="str">
        <f>IFERROR(__xludf.DUMMYFUNCTION("""COMPUTED_VALUE"""),"")</f>
        <v/>
      </c>
      <c r="J289" t="str">
        <f>IFERROR(__xludf.DUMMYFUNCTION("""COMPUTED_VALUE"""),"")</f>
        <v/>
      </c>
      <c r="K289" s="19" t="str">
        <f>IFERROR(__xludf.DUMMYFUNCTION("""COMPUTED_VALUE"""),"https://www.oecd-ilibrary.org/docserver/health_glance-2017-en.pdf?expires=1564008067&amp;id=id&amp;accname=guest&amp;checksum=D0ABDB5402647B576A76E200E17FD74F")</f>
        <v>https://www.oecd-ilibrary.org/docserver/health_glance-2017-en.pdf?expires=1564008067&amp;id=id&amp;accname=guest&amp;checksum=D0ABDB5402647B576A76E200E17FD74F</v>
      </c>
      <c r="L289" t="str">
        <f>IFERROR(__xludf.DUMMYFUNCTION("""COMPUTED_VALUE"""),"")</f>
        <v/>
      </c>
      <c r="M289" t="str">
        <f>IFERROR(__xludf.DUMMYFUNCTION("""COMPUTED_VALUE"""),"")</f>
        <v/>
      </c>
      <c r="N289" t="str">
        <f>IFERROR(__xludf.DUMMYFUNCTION("""COMPUTED_VALUE"""),"")</f>
        <v/>
      </c>
      <c r="O289" t="str">
        <f>IFERROR(__xludf.DUMMYFUNCTION("""COMPUTED_VALUE"""),"")</f>
        <v/>
      </c>
      <c r="P289" t="str">
        <f>IFERROR(__xludf.DUMMYFUNCTION("""COMPUTED_VALUE"""),"")</f>
        <v/>
      </c>
      <c r="Q289" t="str">
        <f>IFERROR(__xludf.DUMMYFUNCTION("""COMPUTED_VALUE"""),"")</f>
        <v/>
      </c>
      <c r="R289" t="str">
        <f>IFERROR(__xludf.DUMMYFUNCTION("""COMPUTED_VALUE"""),"")</f>
        <v/>
      </c>
      <c r="S289" t="str">
        <f>IFERROR(__xludf.DUMMYFUNCTION("""COMPUTED_VALUE"""),"")</f>
        <v/>
      </c>
      <c r="T289">
        <f>IFERROR(__xludf.DUMMYFUNCTION("""COMPUTED_VALUE"""),1.0)</f>
        <v>1</v>
      </c>
    </row>
    <row r="290">
      <c r="A290" t="str">
        <f>IFERROR(__xludf.DUMMYFUNCTION("""COMPUTED_VALUE"""),"Death registration")</f>
        <v>Death registration</v>
      </c>
      <c r="B290" t="str">
        <f>IFERROR(__xludf.DUMMYFUNCTION("""COMPUTED_VALUE"""),"")</f>
        <v/>
      </c>
      <c r="C290" t="str">
        <f>IFERROR(__xludf.DUMMYFUNCTION("""COMPUTED_VALUE"""),"")</f>
        <v/>
      </c>
      <c r="D290" t="str">
        <f>IFERROR(__xludf.DUMMYFUNCTION("""COMPUTED_VALUE"""),"")</f>
        <v/>
      </c>
      <c r="E290" t="str">
        <f>IFERROR(__xludf.DUMMYFUNCTION("""COMPUTED_VALUE"""),"")</f>
        <v/>
      </c>
      <c r="F290" t="str">
        <f>IFERROR(__xludf.DUMMYFUNCTION("""COMPUTED_VALUE"""),"")</f>
        <v/>
      </c>
      <c r="G290" t="str">
        <f>IFERROR(__xludf.DUMMYFUNCTION("""COMPUTED_VALUE"""),"")</f>
        <v/>
      </c>
      <c r="H290" t="str">
        <f>IFERROR(__xludf.DUMMYFUNCTION("""COMPUTED_VALUE"""),"SDG 17.19.2")</f>
        <v>SDG 17.19.2</v>
      </c>
      <c r="I290"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90" t="str">
        <f>IFERROR(__xludf.DUMMYFUNCTION("""COMPUTED_VALUE"""),"")</f>
        <v/>
      </c>
      <c r="K290" t="str">
        <f>IFERROR(__xludf.DUMMYFUNCTION("""COMPUTED_VALUE"""),"")</f>
        <v/>
      </c>
      <c r="L290" t="str">
        <f>IFERROR(__xludf.DUMMYFUNCTION("""COMPUTED_VALUE"""),"")</f>
        <v/>
      </c>
      <c r="M290" t="str">
        <f>IFERROR(__xludf.DUMMYFUNCTION("""COMPUTED_VALUE"""),"")</f>
        <v/>
      </c>
      <c r="N290" t="str">
        <f>IFERROR(__xludf.DUMMYFUNCTION("""COMPUTED_VALUE"""),"")</f>
        <v/>
      </c>
      <c r="O290" t="str">
        <f>IFERROR(__xludf.DUMMYFUNCTION("""COMPUTED_VALUE"""),"")</f>
        <v/>
      </c>
      <c r="P290" t="str">
        <f>IFERROR(__xludf.DUMMYFUNCTION("""COMPUTED_VALUE"""),"")</f>
        <v/>
      </c>
      <c r="Q290" t="str">
        <f>IFERROR(__xludf.DUMMYFUNCTION("""COMPUTED_VALUE"""),"")</f>
        <v/>
      </c>
      <c r="R290" t="str">
        <f>IFERROR(__xludf.DUMMYFUNCTION("""COMPUTED_VALUE"""),"")</f>
        <v/>
      </c>
      <c r="S290" t="str">
        <f>IFERROR(__xludf.DUMMYFUNCTION("""COMPUTED_VALUE"""),"")</f>
        <v/>
      </c>
      <c r="T290">
        <f>IFERROR(__xludf.DUMMYFUNCTION("""COMPUTED_VALUE"""),1.0)</f>
        <v>1</v>
      </c>
    </row>
    <row r="291">
      <c r="A291" t="str">
        <f>IFERROR(__xludf.DUMMYFUNCTION("""COMPUTED_VALUE"""),"eMedicare")</f>
        <v>eMedicare</v>
      </c>
      <c r="B291" t="str">
        <f>IFERROR(__xludf.DUMMYFUNCTION("""COMPUTED_VALUE"""),"")</f>
        <v/>
      </c>
      <c r="C291" t="str">
        <f>IFERROR(__xludf.DUMMYFUNCTION("""COMPUTED_VALUE"""),"")</f>
        <v/>
      </c>
      <c r="D291" t="str">
        <f>IFERROR(__xludf.DUMMYFUNCTION("""COMPUTED_VALUE"""),"")</f>
        <v/>
      </c>
      <c r="E291" t="str">
        <f>IFERROR(__xludf.DUMMYFUNCTION("""COMPUTED_VALUE"""),"")</f>
        <v/>
      </c>
      <c r="F291" t="str">
        <f>IFERROR(__xludf.DUMMYFUNCTION("""COMPUTED_VALUE"""),"")</f>
        <v/>
      </c>
      <c r="G291" t="str">
        <f>IFERROR(__xludf.DUMMYFUNCTION("""COMPUTED_VALUE"""),"")</f>
        <v/>
      </c>
      <c r="H291" t="str">
        <f>IFERROR(__xludf.DUMMYFUNCTION("""COMPUTED_VALUE"""),"")</f>
        <v/>
      </c>
      <c r="I291" t="str">
        <f>IFERROR(__xludf.DUMMYFUNCTION("""COMPUTED_VALUE"""),"")</f>
        <v/>
      </c>
      <c r="J291" t="str">
        <f>IFERROR(__xludf.DUMMYFUNCTION("""COMPUTED_VALUE"""),"")</f>
        <v/>
      </c>
      <c r="K291" t="str">
        <f>IFERROR(__xludf.DUMMYFUNCTION("""COMPUTED_VALUE"""),"")</f>
        <v/>
      </c>
      <c r="L291" t="str">
        <f>IFERROR(__xludf.DUMMYFUNCTION("""COMPUTED_VALUE"""),"")</f>
        <v/>
      </c>
      <c r="M291" t="str">
        <f>IFERROR(__xludf.DUMMYFUNCTION("""COMPUTED_VALUE"""),"")</f>
        <v/>
      </c>
      <c r="N291" t="str">
        <f>IFERROR(__xludf.DUMMYFUNCTION("""COMPUTED_VALUE"""),"")</f>
        <v/>
      </c>
      <c r="O291" t="str">
        <f>IFERROR(__xludf.DUMMYFUNCTION("""COMPUTED_VALUE"""),"")</f>
        <v/>
      </c>
      <c r="P291" s="19" t="str">
        <f>IFERROR(__xludf.DUMMYFUNCTION("""COMPUTED_VALUE"""),"https://www.cms.gov/about-cms/story-page/our-16-strategic-initiatives.html")</f>
        <v>https://www.cms.gov/about-cms/story-page/our-16-strategic-initiatives.html</v>
      </c>
      <c r="Q291" t="str">
        <f>IFERROR(__xludf.DUMMYFUNCTION("""COMPUTED_VALUE"""),"")</f>
        <v/>
      </c>
      <c r="R291" t="str">
        <f>IFERROR(__xludf.DUMMYFUNCTION("""COMPUTED_VALUE"""),"")</f>
        <v/>
      </c>
      <c r="S291" t="str">
        <f>IFERROR(__xludf.DUMMYFUNCTION("""COMPUTED_VALUE"""),"")</f>
        <v/>
      </c>
      <c r="T291">
        <f>IFERROR(__xludf.DUMMYFUNCTION("""COMPUTED_VALUE"""),1.0)</f>
        <v>1</v>
      </c>
    </row>
    <row r="292">
      <c r="A292" t="str">
        <f>IFERROR(__xludf.DUMMYFUNCTION("""COMPUTED_VALUE"""),"Primary Care Physicians’ Use of Electronic Medical Records")</f>
        <v>Primary Care Physicians’ Use of Electronic Medical Records</v>
      </c>
      <c r="B292" t="str">
        <f>IFERROR(__xludf.DUMMYFUNCTION("""COMPUTED_VALUE"""),"")</f>
        <v/>
      </c>
      <c r="C292" t="str">
        <f>IFERROR(__xludf.DUMMYFUNCTION("""COMPUTED_VALUE"""),"")</f>
        <v/>
      </c>
      <c r="D292" t="str">
        <f>IFERROR(__xludf.DUMMYFUNCTION("""COMPUTED_VALUE"""),"")</f>
        <v/>
      </c>
      <c r="E292" t="str">
        <f>IFERROR(__xludf.DUMMYFUNCTION("""COMPUTED_VALUE"""),"")</f>
        <v/>
      </c>
      <c r="F292" t="str">
        <f>IFERROR(__xludf.DUMMYFUNCTION("""COMPUTED_VALUE"""),"")</f>
        <v/>
      </c>
      <c r="G292" t="str">
        <f>IFERROR(__xludf.DUMMYFUNCTION("""COMPUTED_VALUE"""),"")</f>
        <v/>
      </c>
      <c r="H292" t="str">
        <f>IFERROR(__xludf.DUMMYFUNCTION("""COMPUTED_VALUE"""),"")</f>
        <v/>
      </c>
      <c r="I292" t="str">
        <f>IFERROR(__xludf.DUMMYFUNCTION("""COMPUTED_VALUE"""),"")</f>
        <v/>
      </c>
      <c r="J292" s="19" t="str">
        <f>IFERROR(__xludf.DUMMYFUNCTION("""COMPUTED_VALUE"""),"https://international.commonwealthfund.org/stats/")</f>
        <v>https://international.commonwealthfund.org/stats/</v>
      </c>
      <c r="K292" t="str">
        <f>IFERROR(__xludf.DUMMYFUNCTION("""COMPUTED_VALUE"""),"")</f>
        <v/>
      </c>
      <c r="L292" t="str">
        <f>IFERROR(__xludf.DUMMYFUNCTION("""COMPUTED_VALUE"""),"")</f>
        <v/>
      </c>
      <c r="M292" t="str">
        <f>IFERROR(__xludf.DUMMYFUNCTION("""COMPUTED_VALUE"""),"")</f>
        <v/>
      </c>
      <c r="N292" t="str">
        <f>IFERROR(__xludf.DUMMYFUNCTION("""COMPUTED_VALUE"""),"")</f>
        <v/>
      </c>
      <c r="O292" t="str">
        <f>IFERROR(__xludf.DUMMYFUNCTION("""COMPUTED_VALUE"""),"")</f>
        <v/>
      </c>
      <c r="P292" t="str">
        <f>IFERROR(__xludf.DUMMYFUNCTION("""COMPUTED_VALUE"""),"")</f>
        <v/>
      </c>
      <c r="Q292" t="str">
        <f>IFERROR(__xludf.DUMMYFUNCTION("""COMPUTED_VALUE"""),"")</f>
        <v/>
      </c>
      <c r="R292" t="str">
        <f>IFERROR(__xludf.DUMMYFUNCTION("""COMPUTED_VALUE"""),"")</f>
        <v/>
      </c>
      <c r="S292" t="str">
        <f>IFERROR(__xludf.DUMMYFUNCTION("""COMPUTED_VALUE"""),"")</f>
        <v/>
      </c>
      <c r="T292">
        <f>IFERROR(__xludf.DUMMYFUNCTION("""COMPUTED_VALUE"""),1.0)</f>
        <v>1</v>
      </c>
    </row>
    <row r="293">
      <c r="A293" t="str">
        <f>IFERROR(__xludf.DUMMYFUNCTION("""COMPUTED_VALUE"""),"External source of current spending on health (% of current expenditure on health)")</f>
        <v>External source of current spending on health (% of current expenditure on health)</v>
      </c>
      <c r="B293" t="str">
        <f>IFERROR(__xludf.DUMMYFUNCTION("""COMPUTED_VALUE"""),"")</f>
        <v/>
      </c>
      <c r="C293" t="str">
        <f>IFERROR(__xludf.DUMMYFUNCTION("""COMPUTED_VALUE"""),"")</f>
        <v/>
      </c>
      <c r="D293" t="str">
        <f>IFERROR(__xludf.DUMMYFUNCTION("""COMPUTED_VALUE"""),"")</f>
        <v/>
      </c>
      <c r="E293" t="str">
        <f>IFERROR(__xludf.DUMMYFUNCTION("""COMPUTED_VALUE"""),"")</f>
        <v/>
      </c>
      <c r="F293" t="str">
        <f>IFERROR(__xludf.DUMMYFUNCTION("""COMPUTED_VALUE"""),"")</f>
        <v/>
      </c>
      <c r="G293" t="str">
        <f>IFERROR(__xludf.DUMMYFUNCTION("""COMPUTED_VALUE"""),"")</f>
        <v/>
      </c>
      <c r="H293" t="str">
        <f>IFERROR(__xludf.DUMMYFUNCTION("""COMPUTED_VALUE"""),"")</f>
        <v/>
      </c>
      <c r="I293"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93" t="str">
        <f>IFERROR(__xludf.DUMMYFUNCTION("""COMPUTED_VALUE"""),"")</f>
        <v/>
      </c>
      <c r="K293" t="str">
        <f>IFERROR(__xludf.DUMMYFUNCTION("""COMPUTED_VALUE"""),"")</f>
        <v/>
      </c>
      <c r="L293" t="str">
        <f>IFERROR(__xludf.DUMMYFUNCTION("""COMPUTED_VALUE"""),"")</f>
        <v/>
      </c>
      <c r="M293" t="str">
        <f>IFERROR(__xludf.DUMMYFUNCTION("""COMPUTED_VALUE"""),"")</f>
        <v/>
      </c>
      <c r="N293" t="str">
        <f>IFERROR(__xludf.DUMMYFUNCTION("""COMPUTED_VALUE"""),"")</f>
        <v/>
      </c>
      <c r="O293" t="str">
        <f>IFERROR(__xludf.DUMMYFUNCTION("""COMPUTED_VALUE"""),"")</f>
        <v/>
      </c>
      <c r="P293" t="str">
        <f>IFERROR(__xludf.DUMMYFUNCTION("""COMPUTED_VALUE"""),"")</f>
        <v/>
      </c>
      <c r="Q293" t="str">
        <f>IFERROR(__xludf.DUMMYFUNCTION("""COMPUTED_VALUE"""),"")</f>
        <v/>
      </c>
      <c r="R293" t="str">
        <f>IFERROR(__xludf.DUMMYFUNCTION("""COMPUTED_VALUE"""),"")</f>
        <v/>
      </c>
      <c r="S293" t="str">
        <f>IFERROR(__xludf.DUMMYFUNCTION("""COMPUTED_VALUE"""),"")</f>
        <v/>
      </c>
      <c r="T293">
        <f>IFERROR(__xludf.DUMMYFUNCTION("""COMPUTED_VALUE"""),1.0)</f>
        <v>1</v>
      </c>
    </row>
    <row r="294">
      <c r="A294" t="str">
        <f>IFERROR(__xludf.DUMMYFUNCTION("""COMPUTED_VALUE"""),"Total net official development assitance to medical research and basic health sectors")</f>
        <v>Total net official development assitance to medical research and basic health sectors</v>
      </c>
      <c r="B294" t="str">
        <f>IFERROR(__xludf.DUMMYFUNCTION("""COMPUTED_VALUE"""),"")</f>
        <v/>
      </c>
      <c r="C294" t="str">
        <f>IFERROR(__xludf.DUMMYFUNCTION("""COMPUTED_VALUE"""),"")</f>
        <v/>
      </c>
      <c r="D294" t="str">
        <f>IFERROR(__xludf.DUMMYFUNCTION("""COMPUTED_VALUE"""),"")</f>
        <v/>
      </c>
      <c r="E294" t="str">
        <f>IFERROR(__xludf.DUMMYFUNCTION("""COMPUTED_VALUE"""),"")</f>
        <v/>
      </c>
      <c r="F294" t="str">
        <f>IFERROR(__xludf.DUMMYFUNCTION("""COMPUTED_VALUE"""),"")</f>
        <v/>
      </c>
      <c r="G294" t="str">
        <f>IFERROR(__xludf.DUMMYFUNCTION("""COMPUTED_VALUE"""),"")</f>
        <v/>
      </c>
      <c r="H294" t="str">
        <f>IFERROR(__xludf.DUMMYFUNCTION("""COMPUTED_VALUE"""),"SDG 3.b.2")</f>
        <v>SDG 3.b.2</v>
      </c>
      <c r="I29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294" t="str">
        <f>IFERROR(__xludf.DUMMYFUNCTION("""COMPUTED_VALUE"""),"")</f>
        <v/>
      </c>
      <c r="K294" t="str">
        <f>IFERROR(__xludf.DUMMYFUNCTION("""COMPUTED_VALUE"""),"")</f>
        <v/>
      </c>
      <c r="L294" t="str">
        <f>IFERROR(__xludf.DUMMYFUNCTION("""COMPUTED_VALUE"""),"")</f>
        <v/>
      </c>
      <c r="M294" t="str">
        <f>IFERROR(__xludf.DUMMYFUNCTION("""COMPUTED_VALUE"""),"")</f>
        <v/>
      </c>
      <c r="N294" t="str">
        <f>IFERROR(__xludf.DUMMYFUNCTION("""COMPUTED_VALUE"""),"")</f>
        <v/>
      </c>
      <c r="O294" t="str">
        <f>IFERROR(__xludf.DUMMYFUNCTION("""COMPUTED_VALUE"""),"")</f>
        <v/>
      </c>
      <c r="P294" t="str">
        <f>IFERROR(__xludf.DUMMYFUNCTION("""COMPUTED_VALUE"""),"")</f>
        <v/>
      </c>
      <c r="Q294" t="str">
        <f>IFERROR(__xludf.DUMMYFUNCTION("""COMPUTED_VALUE"""),"")</f>
        <v/>
      </c>
      <c r="R294" t="str">
        <f>IFERROR(__xludf.DUMMYFUNCTION("""COMPUTED_VALUE"""),"")</f>
        <v/>
      </c>
      <c r="S294" t="str">
        <f>IFERROR(__xludf.DUMMYFUNCTION("""COMPUTED_VALUE"""),"")</f>
        <v/>
      </c>
      <c r="T294">
        <f>IFERROR(__xludf.DUMMYFUNCTION("""COMPUTED_VALUE"""),1.0)</f>
        <v>1</v>
      </c>
    </row>
    <row r="295">
      <c r="A295" t="str">
        <f>IFERROR(__xludf.DUMMYFUNCTION("""COMPUTED_VALUE"""),"Spending on pharmaceuticals per capita")</f>
        <v>Spending on pharmaceuticals per capita</v>
      </c>
      <c r="B295" t="str">
        <f>IFERROR(__xludf.DUMMYFUNCTION("""COMPUTED_VALUE"""),"")</f>
        <v/>
      </c>
      <c r="C295" t="str">
        <f>IFERROR(__xludf.DUMMYFUNCTION("""COMPUTED_VALUE"""),"")</f>
        <v/>
      </c>
      <c r="D295" t="str">
        <f>IFERROR(__xludf.DUMMYFUNCTION("""COMPUTED_VALUE"""),"")</f>
        <v/>
      </c>
      <c r="E295" t="str">
        <f>IFERROR(__xludf.DUMMYFUNCTION("""COMPUTED_VALUE"""),"")</f>
        <v/>
      </c>
      <c r="F295" t="str">
        <f>IFERROR(__xludf.DUMMYFUNCTION("""COMPUTED_VALUE"""),"")</f>
        <v/>
      </c>
      <c r="G295" t="str">
        <f>IFERROR(__xludf.DUMMYFUNCTION("""COMPUTED_VALUE"""),"")</f>
        <v/>
      </c>
      <c r="H295" t="str">
        <f>IFERROR(__xludf.DUMMYFUNCTION("""COMPUTED_VALUE"""),"")</f>
        <v/>
      </c>
      <c r="I295" t="str">
        <f>IFERROR(__xludf.DUMMYFUNCTION("""COMPUTED_VALUE"""),"")</f>
        <v/>
      </c>
      <c r="J295" s="19" t="str">
        <f>IFERROR(__xludf.DUMMYFUNCTION("""COMPUTED_VALUE"""),"https://international.commonwealthfund.org/stats/")</f>
        <v>https://international.commonwealthfund.org/stats/</v>
      </c>
      <c r="K295" t="str">
        <f>IFERROR(__xludf.DUMMYFUNCTION("""COMPUTED_VALUE"""),"")</f>
        <v/>
      </c>
      <c r="L295" t="str">
        <f>IFERROR(__xludf.DUMMYFUNCTION("""COMPUTED_VALUE"""),"")</f>
        <v/>
      </c>
      <c r="M295" t="str">
        <f>IFERROR(__xludf.DUMMYFUNCTION("""COMPUTED_VALUE"""),"")</f>
        <v/>
      </c>
      <c r="N295" t="str">
        <f>IFERROR(__xludf.DUMMYFUNCTION("""COMPUTED_VALUE"""),"")</f>
        <v/>
      </c>
      <c r="O295" t="str">
        <f>IFERROR(__xludf.DUMMYFUNCTION("""COMPUTED_VALUE"""),"")</f>
        <v/>
      </c>
      <c r="P295" t="str">
        <f>IFERROR(__xludf.DUMMYFUNCTION("""COMPUTED_VALUE"""),"")</f>
        <v/>
      </c>
      <c r="Q295" t="str">
        <f>IFERROR(__xludf.DUMMYFUNCTION("""COMPUTED_VALUE"""),"")</f>
        <v/>
      </c>
      <c r="R295" t="str">
        <f>IFERROR(__xludf.DUMMYFUNCTION("""COMPUTED_VALUE"""),"")</f>
        <v/>
      </c>
      <c r="S295" t="str">
        <f>IFERROR(__xludf.DUMMYFUNCTION("""COMPUTED_VALUE"""),"")</f>
        <v/>
      </c>
      <c r="T295">
        <f>IFERROR(__xludf.DUMMYFUNCTION("""COMPUTED_VALUE"""),1.0)</f>
        <v>1</v>
      </c>
    </row>
    <row r="296">
      <c r="A296" t="str">
        <f>IFERROR(__xludf.DUMMYFUNCTION("""COMPUTED_VALUE"""),"Strengthening Medicare")</f>
        <v>Strengthening Medicare</v>
      </c>
      <c r="B296" t="str">
        <f>IFERROR(__xludf.DUMMYFUNCTION("""COMPUTED_VALUE"""),"")</f>
        <v/>
      </c>
      <c r="C296" t="str">
        <f>IFERROR(__xludf.DUMMYFUNCTION("""COMPUTED_VALUE"""),"")</f>
        <v/>
      </c>
      <c r="D296" t="str">
        <f>IFERROR(__xludf.DUMMYFUNCTION("""COMPUTED_VALUE"""),"")</f>
        <v/>
      </c>
      <c r="E296" t="str">
        <f>IFERROR(__xludf.DUMMYFUNCTION("""COMPUTED_VALUE"""),"")</f>
        <v/>
      </c>
      <c r="F296" t="str">
        <f>IFERROR(__xludf.DUMMYFUNCTION("""COMPUTED_VALUE"""),"")</f>
        <v/>
      </c>
      <c r="G296" t="str">
        <f>IFERROR(__xludf.DUMMYFUNCTION("""COMPUTED_VALUE"""),"")</f>
        <v/>
      </c>
      <c r="H296" t="str">
        <f>IFERROR(__xludf.DUMMYFUNCTION("""COMPUTED_VALUE"""),"")</f>
        <v/>
      </c>
      <c r="I296" t="str">
        <f>IFERROR(__xludf.DUMMYFUNCTION("""COMPUTED_VALUE"""),"")</f>
        <v/>
      </c>
      <c r="J296" t="str">
        <f>IFERROR(__xludf.DUMMYFUNCTION("""COMPUTED_VALUE"""),"")</f>
        <v/>
      </c>
      <c r="K296" t="str">
        <f>IFERROR(__xludf.DUMMYFUNCTION("""COMPUTED_VALUE"""),"")</f>
        <v/>
      </c>
      <c r="L296" t="str">
        <f>IFERROR(__xludf.DUMMYFUNCTION("""COMPUTED_VALUE"""),"")</f>
        <v/>
      </c>
      <c r="M296" t="str">
        <f>IFERROR(__xludf.DUMMYFUNCTION("""COMPUTED_VALUE"""),"")</f>
        <v/>
      </c>
      <c r="N296" t="str">
        <f>IFERROR(__xludf.DUMMYFUNCTION("""COMPUTED_VALUE"""),"")</f>
        <v/>
      </c>
      <c r="O296" t="str">
        <f>IFERROR(__xludf.DUMMYFUNCTION("""COMPUTED_VALUE"""),"")</f>
        <v/>
      </c>
      <c r="P296" s="19" t="str">
        <f>IFERROR(__xludf.DUMMYFUNCTION("""COMPUTED_VALUE"""),"https://www.cms.gov/about-cms/story-page/our-16-strategic-initiatives.html")</f>
        <v>https://www.cms.gov/about-cms/story-page/our-16-strategic-initiatives.html</v>
      </c>
      <c r="Q296" t="str">
        <f>IFERROR(__xludf.DUMMYFUNCTION("""COMPUTED_VALUE"""),"")</f>
        <v/>
      </c>
      <c r="R296" t="str">
        <f>IFERROR(__xludf.DUMMYFUNCTION("""COMPUTED_VALUE"""),"")</f>
        <v/>
      </c>
      <c r="S296" t="str">
        <f>IFERROR(__xludf.DUMMYFUNCTION("""COMPUTED_VALUE"""),"")</f>
        <v/>
      </c>
      <c r="T296">
        <f>IFERROR(__xludf.DUMMYFUNCTION("""COMPUTED_VALUE"""),1.0)</f>
        <v>1</v>
      </c>
    </row>
    <row r="297">
      <c r="A297" t="str">
        <f>IFERROR(__xludf.DUMMYFUNCTION("""COMPUTED_VALUE"""),"Transforming Medicaid")</f>
        <v>Transforming Medicaid</v>
      </c>
      <c r="B297" t="str">
        <f>IFERROR(__xludf.DUMMYFUNCTION("""COMPUTED_VALUE"""),"")</f>
        <v/>
      </c>
      <c r="C297" t="str">
        <f>IFERROR(__xludf.DUMMYFUNCTION("""COMPUTED_VALUE"""),"")</f>
        <v/>
      </c>
      <c r="D297" t="str">
        <f>IFERROR(__xludf.DUMMYFUNCTION("""COMPUTED_VALUE"""),"")</f>
        <v/>
      </c>
      <c r="E297" t="str">
        <f>IFERROR(__xludf.DUMMYFUNCTION("""COMPUTED_VALUE"""),"")</f>
        <v/>
      </c>
      <c r="F297" t="str">
        <f>IFERROR(__xludf.DUMMYFUNCTION("""COMPUTED_VALUE"""),"")</f>
        <v/>
      </c>
      <c r="G297" t="str">
        <f>IFERROR(__xludf.DUMMYFUNCTION("""COMPUTED_VALUE"""),"")</f>
        <v/>
      </c>
      <c r="H297" t="str">
        <f>IFERROR(__xludf.DUMMYFUNCTION("""COMPUTED_VALUE"""),"")</f>
        <v/>
      </c>
      <c r="I297" t="str">
        <f>IFERROR(__xludf.DUMMYFUNCTION("""COMPUTED_VALUE"""),"")</f>
        <v/>
      </c>
      <c r="J297" t="str">
        <f>IFERROR(__xludf.DUMMYFUNCTION("""COMPUTED_VALUE"""),"")</f>
        <v/>
      </c>
      <c r="K297" t="str">
        <f>IFERROR(__xludf.DUMMYFUNCTION("""COMPUTED_VALUE"""),"")</f>
        <v/>
      </c>
      <c r="L297" t="str">
        <f>IFERROR(__xludf.DUMMYFUNCTION("""COMPUTED_VALUE"""),"")</f>
        <v/>
      </c>
      <c r="M297" t="str">
        <f>IFERROR(__xludf.DUMMYFUNCTION("""COMPUTED_VALUE"""),"")</f>
        <v/>
      </c>
      <c r="N297" t="str">
        <f>IFERROR(__xludf.DUMMYFUNCTION("""COMPUTED_VALUE"""),"")</f>
        <v/>
      </c>
      <c r="O297" t="str">
        <f>IFERROR(__xludf.DUMMYFUNCTION("""COMPUTED_VALUE"""),"")</f>
        <v/>
      </c>
      <c r="P297" s="19" t="str">
        <f>IFERROR(__xludf.DUMMYFUNCTION("""COMPUTED_VALUE"""),"https://www.cms.gov/about-cms/story-page/our-16-strategic-initiatives.html")</f>
        <v>https://www.cms.gov/about-cms/story-page/our-16-strategic-initiatives.html</v>
      </c>
      <c r="Q297" t="str">
        <f>IFERROR(__xludf.DUMMYFUNCTION("""COMPUTED_VALUE"""),"")</f>
        <v/>
      </c>
      <c r="R297" t="str">
        <f>IFERROR(__xludf.DUMMYFUNCTION("""COMPUTED_VALUE"""),"")</f>
        <v/>
      </c>
      <c r="S297" t="str">
        <f>IFERROR(__xludf.DUMMYFUNCTION("""COMPUTED_VALUE"""),"")</f>
        <v/>
      </c>
      <c r="T297">
        <f>IFERROR(__xludf.DUMMYFUNCTION("""COMPUTED_VALUE"""),1.0)</f>
        <v>1</v>
      </c>
    </row>
    <row r="298">
      <c r="A298" t="str">
        <f>IFERROR(__xludf.DUMMYFUNCTION("""COMPUTED_VALUE"""),"Innovating payment models")</f>
        <v>Innovating payment models</v>
      </c>
      <c r="B298" t="str">
        <f>IFERROR(__xludf.DUMMYFUNCTION("""COMPUTED_VALUE"""),"")</f>
        <v/>
      </c>
      <c r="C298" t="str">
        <f>IFERROR(__xludf.DUMMYFUNCTION("""COMPUTED_VALUE"""),"")</f>
        <v/>
      </c>
      <c r="D298" t="str">
        <f>IFERROR(__xludf.DUMMYFUNCTION("""COMPUTED_VALUE"""),"")</f>
        <v/>
      </c>
      <c r="E298" t="str">
        <f>IFERROR(__xludf.DUMMYFUNCTION("""COMPUTED_VALUE"""),"")</f>
        <v/>
      </c>
      <c r="F298" t="str">
        <f>IFERROR(__xludf.DUMMYFUNCTION("""COMPUTED_VALUE"""),"")</f>
        <v/>
      </c>
      <c r="G298" t="str">
        <f>IFERROR(__xludf.DUMMYFUNCTION("""COMPUTED_VALUE"""),"")</f>
        <v/>
      </c>
      <c r="H298" t="str">
        <f>IFERROR(__xludf.DUMMYFUNCTION("""COMPUTED_VALUE"""),"")</f>
        <v/>
      </c>
      <c r="I298" t="str">
        <f>IFERROR(__xludf.DUMMYFUNCTION("""COMPUTED_VALUE"""),"")</f>
        <v/>
      </c>
      <c r="J298" t="str">
        <f>IFERROR(__xludf.DUMMYFUNCTION("""COMPUTED_VALUE"""),"")</f>
        <v/>
      </c>
      <c r="K298" t="str">
        <f>IFERROR(__xludf.DUMMYFUNCTION("""COMPUTED_VALUE"""),"")</f>
        <v/>
      </c>
      <c r="L298" t="str">
        <f>IFERROR(__xludf.DUMMYFUNCTION("""COMPUTED_VALUE"""),"")</f>
        <v/>
      </c>
      <c r="M298" t="str">
        <f>IFERROR(__xludf.DUMMYFUNCTION("""COMPUTED_VALUE"""),"")</f>
        <v/>
      </c>
      <c r="N298" t="str">
        <f>IFERROR(__xludf.DUMMYFUNCTION("""COMPUTED_VALUE"""),"")</f>
        <v/>
      </c>
      <c r="O298" t="str">
        <f>IFERROR(__xludf.DUMMYFUNCTION("""COMPUTED_VALUE"""),"")</f>
        <v/>
      </c>
      <c r="P298" s="19" t="str">
        <f>IFERROR(__xludf.DUMMYFUNCTION("""COMPUTED_VALUE"""),"https://www.cms.gov/about-cms/story-page/our-16-strategic-initiatives.html")</f>
        <v>https://www.cms.gov/about-cms/story-page/our-16-strategic-initiatives.html</v>
      </c>
      <c r="Q298" t="str">
        <f>IFERROR(__xludf.DUMMYFUNCTION("""COMPUTED_VALUE"""),"")</f>
        <v/>
      </c>
      <c r="R298" t="str">
        <f>IFERROR(__xludf.DUMMYFUNCTION("""COMPUTED_VALUE"""),"")</f>
        <v/>
      </c>
      <c r="S298" t="str">
        <f>IFERROR(__xludf.DUMMYFUNCTION("""COMPUTED_VALUE"""),"")</f>
        <v/>
      </c>
      <c r="T298">
        <f>IFERROR(__xludf.DUMMYFUNCTION("""COMPUTED_VALUE"""),1.0)</f>
        <v>1</v>
      </c>
    </row>
    <row r="299">
      <c r="A299" t="str">
        <f>IFERROR(__xludf.DUMMYFUNCTION("""COMPUTED_VALUE"""),"Risk adjusted total cost of care")</f>
        <v>Risk adjusted total cost of care</v>
      </c>
      <c r="B299" t="str">
        <f>IFERROR(__xludf.DUMMYFUNCTION("""COMPUTED_VALUE"""),"")</f>
        <v/>
      </c>
      <c r="C299" t="str">
        <f>IFERROR(__xludf.DUMMYFUNCTION("""COMPUTED_VALUE"""),"")</f>
        <v/>
      </c>
      <c r="D299" t="str">
        <f>IFERROR(__xludf.DUMMYFUNCTION("""COMPUTED_VALUE"""),"")</f>
        <v/>
      </c>
      <c r="E299" t="str">
        <f>IFERROR(__xludf.DUMMYFUNCTION("""COMPUTED_VALUE"""),"")</f>
        <v/>
      </c>
      <c r="F299" t="str">
        <f>IFERROR(__xludf.DUMMYFUNCTION("""COMPUTED_VALUE"""),"")</f>
        <v/>
      </c>
      <c r="G299" t="str">
        <f>IFERROR(__xludf.DUMMYFUNCTION("""COMPUTED_VALUE"""),"")</f>
        <v/>
      </c>
      <c r="H299" t="str">
        <f>IFERROR(__xludf.DUMMYFUNCTION("""COMPUTED_VALUE"""),"")</f>
        <v/>
      </c>
      <c r="I299" t="str">
        <f>IFERROR(__xludf.DUMMYFUNCTION("""COMPUTED_VALUE"""),"")</f>
        <v/>
      </c>
      <c r="J299" t="str">
        <f>IFERROR(__xludf.DUMMYFUNCTION("""COMPUTED_VALUE"""),"")</f>
        <v/>
      </c>
      <c r="K299" t="str">
        <f>IFERROR(__xludf.DUMMYFUNCTION("""COMPUTED_VALUE"""),"")</f>
        <v/>
      </c>
      <c r="L299" t="str">
        <f>IFERROR(__xludf.DUMMYFUNCTION("""COMPUTED_VALUE"""),"")</f>
        <v/>
      </c>
      <c r="M299" t="str">
        <f>IFERROR(__xludf.DUMMYFUNCTION("""COMPUTED_VALUE"""),"")</f>
        <v/>
      </c>
      <c r="N299" t="str">
        <f>IFERROR(__xludf.DUMMYFUNCTION("""COMPUTED_VALUE"""),"")</f>
        <v/>
      </c>
      <c r="O299" t="str">
        <f>IFERROR(__xludf.DUMMYFUNCTION("""COMPUTED_VALUE"""),"")</f>
        <v/>
      </c>
      <c r="P299"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299" t="str">
        <f>IFERROR(__xludf.DUMMYFUNCTION("""COMPUTED_VALUE"""),"")</f>
        <v/>
      </c>
      <c r="R299" t="str">
        <f>IFERROR(__xludf.DUMMYFUNCTION("""COMPUTED_VALUE"""),"")</f>
        <v/>
      </c>
      <c r="S299" t="str">
        <f>IFERROR(__xludf.DUMMYFUNCTION("""COMPUTED_VALUE"""),"")</f>
        <v/>
      </c>
      <c r="T299">
        <f>IFERROR(__xludf.DUMMYFUNCTION("""COMPUTED_VALUE"""),1.0)</f>
        <v>1</v>
      </c>
    </row>
    <row r="300">
      <c r="A300" t="str">
        <f>IFERROR(__xludf.DUMMYFUNCTION("""COMPUTED_VALUE"""),"Employee insurance costs as a share of median income")</f>
        <v>Employee insurance costs as a share of median income</v>
      </c>
      <c r="B300" t="str">
        <f>IFERROR(__xludf.DUMMYFUNCTION("""COMPUTED_VALUE"""),"")</f>
        <v/>
      </c>
      <c r="C300" t="str">
        <f>IFERROR(__xludf.DUMMYFUNCTION("""COMPUTED_VALUE"""),"")</f>
        <v/>
      </c>
      <c r="D300" t="str">
        <f>IFERROR(__xludf.DUMMYFUNCTION("""COMPUTED_VALUE"""),"")</f>
        <v/>
      </c>
      <c r="E300" t="str">
        <f>IFERROR(__xludf.DUMMYFUNCTION("""COMPUTED_VALUE"""),"")</f>
        <v/>
      </c>
      <c r="F300" t="str">
        <f>IFERROR(__xludf.DUMMYFUNCTION("""COMPUTED_VALUE"""),"")</f>
        <v/>
      </c>
      <c r="G300" t="str">
        <f>IFERROR(__xludf.DUMMYFUNCTION("""COMPUTED_VALUE"""),"")</f>
        <v/>
      </c>
      <c r="H300" t="str">
        <f>IFERROR(__xludf.DUMMYFUNCTION("""COMPUTED_VALUE"""),"")</f>
        <v/>
      </c>
      <c r="I300" t="str">
        <f>IFERROR(__xludf.DUMMYFUNCTION("""COMPUTED_VALUE"""),"")</f>
        <v/>
      </c>
      <c r="J300" s="19" t="str">
        <f>IFERROR(__xludf.DUMMYFUNCTION("""COMPUTED_VALUE"""),"https://interactives.commonwealthfund.org/2018/state-scorecard/files/Radley_State_Scorecard_2018.pdf")</f>
        <v>https://interactives.commonwealthfund.org/2018/state-scorecard/files/Radley_State_Scorecard_2018.pdf</v>
      </c>
      <c r="K300" t="str">
        <f>IFERROR(__xludf.DUMMYFUNCTION("""COMPUTED_VALUE"""),"")</f>
        <v/>
      </c>
      <c r="L300" t="str">
        <f>IFERROR(__xludf.DUMMYFUNCTION("""COMPUTED_VALUE"""),"")</f>
        <v/>
      </c>
      <c r="M300" t="str">
        <f>IFERROR(__xludf.DUMMYFUNCTION("""COMPUTED_VALUE"""),"")</f>
        <v/>
      </c>
      <c r="N300" t="str">
        <f>IFERROR(__xludf.DUMMYFUNCTION("""COMPUTED_VALUE"""),"")</f>
        <v/>
      </c>
      <c r="O300" t="str">
        <f>IFERROR(__xludf.DUMMYFUNCTION("""COMPUTED_VALUE"""),"")</f>
        <v/>
      </c>
      <c r="P300" t="str">
        <f>IFERROR(__xludf.DUMMYFUNCTION("""COMPUTED_VALUE"""),"")</f>
        <v/>
      </c>
      <c r="Q300" t="str">
        <f>IFERROR(__xludf.DUMMYFUNCTION("""COMPUTED_VALUE"""),"")</f>
        <v/>
      </c>
      <c r="R300" t="str">
        <f>IFERROR(__xludf.DUMMYFUNCTION("""COMPUTED_VALUE"""),"")</f>
        <v/>
      </c>
      <c r="S300" t="str">
        <f>IFERROR(__xludf.DUMMYFUNCTION("""COMPUTED_VALUE"""),"")</f>
        <v/>
      </c>
      <c r="T300">
        <f>IFERROR(__xludf.DUMMYFUNCTION("""COMPUTED_VALUE"""),1.0)</f>
        <v>1</v>
      </c>
    </row>
    <row r="301">
      <c r="A301" t="str">
        <f>IFERROR(__xludf.DUMMYFUNCTION("""COMPUTED_VALUE"""),"Adults ages 18–50 with low back pain who had an imaging study at diagnosis")</f>
        <v>Adults ages 18–50 with low back pain who had an imaging study at diagnosis</v>
      </c>
      <c r="B301" t="str">
        <f>IFERROR(__xludf.DUMMYFUNCTION("""COMPUTED_VALUE"""),"")</f>
        <v/>
      </c>
      <c r="C301" t="str">
        <f>IFERROR(__xludf.DUMMYFUNCTION("""COMPUTED_VALUE"""),"")</f>
        <v/>
      </c>
      <c r="D301" t="str">
        <f>IFERROR(__xludf.DUMMYFUNCTION("""COMPUTED_VALUE"""),"")</f>
        <v/>
      </c>
      <c r="E301" t="str">
        <f>IFERROR(__xludf.DUMMYFUNCTION("""COMPUTED_VALUE"""),"")</f>
        <v/>
      </c>
      <c r="F301" t="str">
        <f>IFERROR(__xludf.DUMMYFUNCTION("""COMPUTED_VALUE"""),"")</f>
        <v/>
      </c>
      <c r="G301" t="str">
        <f>IFERROR(__xludf.DUMMYFUNCTION("""COMPUTED_VALUE"""),"")</f>
        <v/>
      </c>
      <c r="H301" t="str">
        <f>IFERROR(__xludf.DUMMYFUNCTION("""COMPUTED_VALUE"""),"This is wasteful I guess, which is why it's under financing")</f>
        <v>This is wasteful I guess, which is why it's under financing</v>
      </c>
      <c r="I301" t="str">
        <f>IFERROR(__xludf.DUMMYFUNCTION("""COMPUTED_VALUE"""),"")</f>
        <v/>
      </c>
      <c r="J301" s="19" t="str">
        <f>IFERROR(__xludf.DUMMYFUNCTION("""COMPUTED_VALUE"""),"https://interactives.commonwealthfund.org/2018/state-scorecard/files/Radley_State_Scorecard_2018.pdf")</f>
        <v>https://interactives.commonwealthfund.org/2018/state-scorecard/files/Radley_State_Scorecard_2018.pdf</v>
      </c>
      <c r="K301" t="str">
        <f>IFERROR(__xludf.DUMMYFUNCTION("""COMPUTED_VALUE"""),"")</f>
        <v/>
      </c>
      <c r="L301" t="str">
        <f>IFERROR(__xludf.DUMMYFUNCTION("""COMPUTED_VALUE"""),"")</f>
        <v/>
      </c>
      <c r="M301" t="str">
        <f>IFERROR(__xludf.DUMMYFUNCTION("""COMPUTED_VALUE"""),"")</f>
        <v/>
      </c>
      <c r="N301" t="str">
        <f>IFERROR(__xludf.DUMMYFUNCTION("""COMPUTED_VALUE"""),"")</f>
        <v/>
      </c>
      <c r="O301" t="str">
        <f>IFERROR(__xludf.DUMMYFUNCTION("""COMPUTED_VALUE"""),"")</f>
        <v/>
      </c>
      <c r="P301" t="str">
        <f>IFERROR(__xludf.DUMMYFUNCTION("""COMPUTED_VALUE"""),"")</f>
        <v/>
      </c>
      <c r="Q301" t="str">
        <f>IFERROR(__xludf.DUMMYFUNCTION("""COMPUTED_VALUE"""),"")</f>
        <v/>
      </c>
      <c r="R301" t="str">
        <f>IFERROR(__xludf.DUMMYFUNCTION("""COMPUTED_VALUE"""),"")</f>
        <v/>
      </c>
      <c r="S301" t="str">
        <f>IFERROR(__xludf.DUMMYFUNCTION("""COMPUTED_VALUE"""),"")</f>
        <v/>
      </c>
      <c r="T301">
        <f>IFERROR(__xludf.DUMMYFUNCTION("""COMPUTED_VALUE"""),1.0)</f>
        <v>1</v>
      </c>
    </row>
    <row r="302">
      <c r="A302" t="str">
        <f>IFERROR(__xludf.DUMMYFUNCTION("""COMPUTED_VALUE"""),"Total reimbursements per enrollee (ages 18–64) with employer-sponsored insurance")</f>
        <v>Total reimbursements per enrollee (ages 18–64) with employer-sponsored insurance</v>
      </c>
      <c r="B302" t="str">
        <f>IFERROR(__xludf.DUMMYFUNCTION("""COMPUTED_VALUE"""),"")</f>
        <v/>
      </c>
      <c r="C302" t="str">
        <f>IFERROR(__xludf.DUMMYFUNCTION("""COMPUTED_VALUE"""),"")</f>
        <v/>
      </c>
      <c r="D302" t="str">
        <f>IFERROR(__xludf.DUMMYFUNCTION("""COMPUTED_VALUE"""),"")</f>
        <v/>
      </c>
      <c r="E302" t="str">
        <f>IFERROR(__xludf.DUMMYFUNCTION("""COMPUTED_VALUE"""),"")</f>
        <v/>
      </c>
      <c r="F302" t="str">
        <f>IFERROR(__xludf.DUMMYFUNCTION("""COMPUTED_VALUE"""),"")</f>
        <v/>
      </c>
      <c r="G302" t="str">
        <f>IFERROR(__xludf.DUMMYFUNCTION("""COMPUTED_VALUE"""),"")</f>
        <v/>
      </c>
      <c r="H302" t="str">
        <f>IFERROR(__xludf.DUMMYFUNCTION("""COMPUTED_VALUE"""),"")</f>
        <v/>
      </c>
      <c r="I302" t="str">
        <f>IFERROR(__xludf.DUMMYFUNCTION("""COMPUTED_VALUE"""),"")</f>
        <v/>
      </c>
      <c r="J302" s="19" t="str">
        <f>IFERROR(__xludf.DUMMYFUNCTION("""COMPUTED_VALUE"""),"https://interactives.commonwealthfund.org/2018/state-scorecard/files/Radley_State_Scorecard_2018.pdf")</f>
        <v>https://interactives.commonwealthfund.org/2018/state-scorecard/files/Radley_State_Scorecard_2018.pdf</v>
      </c>
      <c r="K302" t="str">
        <f>IFERROR(__xludf.DUMMYFUNCTION("""COMPUTED_VALUE"""),"")</f>
        <v/>
      </c>
      <c r="L302" t="str">
        <f>IFERROR(__xludf.DUMMYFUNCTION("""COMPUTED_VALUE"""),"")</f>
        <v/>
      </c>
      <c r="M302" t="str">
        <f>IFERROR(__xludf.DUMMYFUNCTION("""COMPUTED_VALUE"""),"")</f>
        <v/>
      </c>
      <c r="N302" t="str">
        <f>IFERROR(__xludf.DUMMYFUNCTION("""COMPUTED_VALUE"""),"")</f>
        <v/>
      </c>
      <c r="O302" t="str">
        <f>IFERROR(__xludf.DUMMYFUNCTION("""COMPUTED_VALUE"""),"")</f>
        <v/>
      </c>
      <c r="P302" t="str">
        <f>IFERROR(__xludf.DUMMYFUNCTION("""COMPUTED_VALUE"""),"")</f>
        <v/>
      </c>
      <c r="Q302" t="str">
        <f>IFERROR(__xludf.DUMMYFUNCTION("""COMPUTED_VALUE"""),"")</f>
        <v/>
      </c>
      <c r="R302" t="str">
        <f>IFERROR(__xludf.DUMMYFUNCTION("""COMPUTED_VALUE"""),"")</f>
        <v/>
      </c>
      <c r="S302" t="str">
        <f>IFERROR(__xludf.DUMMYFUNCTION("""COMPUTED_VALUE"""),"")</f>
        <v/>
      </c>
      <c r="T302">
        <f>IFERROR(__xludf.DUMMYFUNCTION("""COMPUTED_VALUE"""),1.0)</f>
        <v>1</v>
      </c>
    </row>
    <row r="303">
      <c r="A303" t="str">
        <f>IFERROR(__xludf.DUMMYFUNCTION("""COMPUTED_VALUE"""),"Total Medicare (Parts A &amp; B) reimbursements per enrollee")</f>
        <v>Total Medicare (Parts A &amp; B) reimbursements per enrollee</v>
      </c>
      <c r="B303" t="str">
        <f>IFERROR(__xludf.DUMMYFUNCTION("""COMPUTED_VALUE"""),"")</f>
        <v/>
      </c>
      <c r="C303" t="str">
        <f>IFERROR(__xludf.DUMMYFUNCTION("""COMPUTED_VALUE"""),"")</f>
        <v/>
      </c>
      <c r="D303" t="str">
        <f>IFERROR(__xludf.DUMMYFUNCTION("""COMPUTED_VALUE"""),"")</f>
        <v/>
      </c>
      <c r="E303" t="str">
        <f>IFERROR(__xludf.DUMMYFUNCTION("""COMPUTED_VALUE"""),"")</f>
        <v/>
      </c>
      <c r="F303" t="str">
        <f>IFERROR(__xludf.DUMMYFUNCTION("""COMPUTED_VALUE"""),"")</f>
        <v/>
      </c>
      <c r="G303" t="str">
        <f>IFERROR(__xludf.DUMMYFUNCTION("""COMPUTED_VALUE"""),"")</f>
        <v/>
      </c>
      <c r="H303" t="str">
        <f>IFERROR(__xludf.DUMMYFUNCTION("""COMPUTED_VALUE"""),"")</f>
        <v/>
      </c>
      <c r="I303" t="str">
        <f>IFERROR(__xludf.DUMMYFUNCTION("""COMPUTED_VALUE"""),"")</f>
        <v/>
      </c>
      <c r="J303" s="19" t="str">
        <f>IFERROR(__xludf.DUMMYFUNCTION("""COMPUTED_VALUE"""),"https://interactives.commonwealthfund.org/2018/state-scorecard/files/Radley_State_Scorecard_2018.pdf")</f>
        <v>https://interactives.commonwealthfund.org/2018/state-scorecard/files/Radley_State_Scorecard_2018.pdf</v>
      </c>
      <c r="K303" t="str">
        <f>IFERROR(__xludf.DUMMYFUNCTION("""COMPUTED_VALUE"""),"")</f>
        <v/>
      </c>
      <c r="L303" t="str">
        <f>IFERROR(__xludf.DUMMYFUNCTION("""COMPUTED_VALUE"""),"")</f>
        <v/>
      </c>
      <c r="M303" t="str">
        <f>IFERROR(__xludf.DUMMYFUNCTION("""COMPUTED_VALUE"""),"")</f>
        <v/>
      </c>
      <c r="N303" t="str">
        <f>IFERROR(__xludf.DUMMYFUNCTION("""COMPUTED_VALUE"""),"")</f>
        <v/>
      </c>
      <c r="O303" t="str">
        <f>IFERROR(__xludf.DUMMYFUNCTION("""COMPUTED_VALUE"""),"")</f>
        <v/>
      </c>
      <c r="P303" t="str">
        <f>IFERROR(__xludf.DUMMYFUNCTION("""COMPUTED_VALUE"""),"")</f>
        <v/>
      </c>
      <c r="Q303" t="str">
        <f>IFERROR(__xludf.DUMMYFUNCTION("""COMPUTED_VALUE"""),"")</f>
        <v/>
      </c>
      <c r="R303" t="str">
        <f>IFERROR(__xludf.DUMMYFUNCTION("""COMPUTED_VALUE"""),"")</f>
        <v/>
      </c>
      <c r="S303" t="str">
        <f>IFERROR(__xludf.DUMMYFUNCTION("""COMPUTED_VALUE"""),"")</f>
        <v/>
      </c>
      <c r="T303">
        <f>IFERROR(__xludf.DUMMYFUNCTION("""COMPUTED_VALUE"""),1.0)</f>
        <v>1</v>
      </c>
    </row>
    <row r="304">
      <c r="A304" t="str">
        <f>IFERROR(__xludf.DUMMYFUNCTION("""COMPUTED_VALUE"""),"International Health Regulations (IHR) core capacity index")</f>
        <v>International Health Regulations (IHR) core capacity index</v>
      </c>
      <c r="B304" t="str">
        <f>IFERROR(__xludf.DUMMYFUNCTION("""COMPUTED_VALUE"""),"")</f>
        <v/>
      </c>
      <c r="C304" t="str">
        <f>IFERROR(__xludf.DUMMYFUNCTION("""COMPUTED_VALUE"""),"")</f>
        <v/>
      </c>
      <c r="D304" t="str">
        <f>IFERROR(__xludf.DUMMYFUNCTION("""COMPUTED_VALUE"""),"")</f>
        <v/>
      </c>
      <c r="E304" t="str">
        <f>IFERROR(__xludf.DUMMYFUNCTION("""COMPUTED_VALUE"""),"")</f>
        <v/>
      </c>
      <c r="F304" t="str">
        <f>IFERROR(__xludf.DUMMYFUNCTION("""COMPUTED_VALUE"""),"")</f>
        <v/>
      </c>
      <c r="G304" t="str">
        <f>IFERROR(__xludf.DUMMYFUNCTION("""COMPUTED_VALUE"""),"")</f>
        <v/>
      </c>
      <c r="H304" t="str">
        <f>IFERROR(__xludf.DUMMYFUNCTION("""COMPUTED_VALUE"""),"SDG 3.d.1")</f>
        <v>SDG 3.d.1</v>
      </c>
      <c r="I304"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04" t="str">
        <f>IFERROR(__xludf.DUMMYFUNCTION("""COMPUTED_VALUE"""),"")</f>
        <v/>
      </c>
      <c r="K304" t="str">
        <f>IFERROR(__xludf.DUMMYFUNCTION("""COMPUTED_VALUE"""),"")</f>
        <v/>
      </c>
      <c r="L304" t="str">
        <f>IFERROR(__xludf.DUMMYFUNCTION("""COMPUTED_VALUE"""),"")</f>
        <v/>
      </c>
      <c r="M304" t="str">
        <f>IFERROR(__xludf.DUMMYFUNCTION("""COMPUTED_VALUE"""),"")</f>
        <v/>
      </c>
      <c r="N304" t="str">
        <f>IFERROR(__xludf.DUMMYFUNCTION("""COMPUTED_VALUE"""),"")</f>
        <v/>
      </c>
      <c r="O304" t="str">
        <f>IFERROR(__xludf.DUMMYFUNCTION("""COMPUTED_VALUE"""),"")</f>
        <v/>
      </c>
      <c r="P304" t="str">
        <f>IFERROR(__xludf.DUMMYFUNCTION("""COMPUTED_VALUE"""),"")</f>
        <v/>
      </c>
      <c r="Q304" t="str">
        <f>IFERROR(__xludf.DUMMYFUNCTION("""COMPUTED_VALUE"""),"")</f>
        <v/>
      </c>
      <c r="R304" t="str">
        <f>IFERROR(__xludf.DUMMYFUNCTION("""COMPUTED_VALUE"""),"")</f>
        <v/>
      </c>
      <c r="S304" t="str">
        <f>IFERROR(__xludf.DUMMYFUNCTION("""COMPUTED_VALUE"""),"")</f>
        <v/>
      </c>
      <c r="T304">
        <f>IFERROR(__xludf.DUMMYFUNCTION("""COMPUTED_VALUE"""),1.0)</f>
        <v>1</v>
      </c>
    </row>
    <row r="305">
      <c r="A305" t="str">
        <f>IFERROR(__xludf.DUMMYFUNCTION("""COMPUTED_VALUE"""),"Health data security is inadequate and jeopardizes patient privacy and safety")</f>
        <v>Health data security is inadequate and jeopardizes patient privacy and safety</v>
      </c>
      <c r="B305" t="str">
        <f>IFERROR(__xludf.DUMMYFUNCTION("""COMPUTED_VALUE"""),"")</f>
        <v/>
      </c>
      <c r="C305" t="str">
        <f>IFERROR(__xludf.DUMMYFUNCTION("""COMPUTED_VALUE"""),"")</f>
        <v/>
      </c>
      <c r="D305" t="str">
        <f>IFERROR(__xludf.DUMMYFUNCTION("""COMPUTED_VALUE"""),"")</f>
        <v/>
      </c>
      <c r="E305" t="str">
        <f>IFERROR(__xludf.DUMMYFUNCTION("""COMPUTED_VALUE"""),"")</f>
        <v/>
      </c>
      <c r="F305" t="str">
        <f>IFERROR(__xludf.DUMMYFUNCTION("""COMPUTED_VALUE"""),"")</f>
        <v/>
      </c>
      <c r="G305" t="str">
        <f>IFERROR(__xludf.DUMMYFUNCTION("""COMPUTED_VALUE"""),"Policy, Health IT")</f>
        <v>Policy, Health IT</v>
      </c>
      <c r="H305" t="str">
        <f>IFERROR(__xludf.DUMMYFUNCTION("""COMPUTED_VALUE"""),"")</f>
        <v/>
      </c>
      <c r="I305" t="str">
        <f>IFERROR(__xludf.DUMMYFUNCTION("""COMPUTED_VALUE"""),"")</f>
        <v/>
      </c>
      <c r="J305" t="str">
        <f>IFERROR(__xludf.DUMMYFUNCTION("""COMPUTED_VALUE"""),"")</f>
        <v/>
      </c>
      <c r="K305" t="str">
        <f>IFERROR(__xludf.DUMMYFUNCTION("""COMPUTED_VALUE"""),"")</f>
        <v/>
      </c>
      <c r="L305" t="str">
        <f>IFERROR(__xludf.DUMMYFUNCTION("""COMPUTED_VALUE"""),"")</f>
        <v/>
      </c>
      <c r="M305" t="str">
        <f>IFERROR(__xludf.DUMMYFUNCTION("""COMPUTED_VALUE"""),"")</f>
        <v/>
      </c>
      <c r="N305" t="str">
        <f>IFERROR(__xludf.DUMMYFUNCTION("""COMPUTED_VALUE"""),"")</f>
        <v/>
      </c>
      <c r="O305" t="str">
        <f>IFERROR(__xludf.DUMMYFUNCTION("""COMPUTED_VALUE"""),"")</f>
        <v/>
      </c>
      <c r="P305" t="str">
        <f>IFERROR(__xludf.DUMMYFUNCTION("""COMPUTED_VALUE"""),"")</f>
        <v/>
      </c>
      <c r="Q305" t="str">
        <f>IFERROR(__xludf.DUMMYFUNCTION("""COMPUTED_VALUE"""),"")</f>
        <v/>
      </c>
      <c r="R305" t="str">
        <f>IFERROR(__xludf.DUMMYFUNCTION("""COMPUTED_VALUE"""),"")</f>
        <v/>
      </c>
      <c r="S305" t="str">
        <f>IFERROR(__xludf.DUMMYFUNCTION("""COMPUTED_VALUE"""),"BWHP-20")</f>
        <v>BWHP-20</v>
      </c>
      <c r="T305">
        <f>IFERROR(__xludf.DUMMYFUNCTION("""COMPUTED_VALUE"""),1.0)</f>
        <v>1</v>
      </c>
    </row>
    <row r="306">
      <c r="A306" t="str">
        <f>IFERROR(__xludf.DUMMYFUNCTION("""COMPUTED_VALUE"""),"Existence of national health sector policy/strategy/plan")</f>
        <v>Existence of national health sector policy/strategy/plan</v>
      </c>
      <c r="B306" t="str">
        <f>IFERROR(__xludf.DUMMYFUNCTION("""COMPUTED_VALUE"""),"")</f>
        <v/>
      </c>
      <c r="C306" t="str">
        <f>IFERROR(__xludf.DUMMYFUNCTION("""COMPUTED_VALUE"""),"")</f>
        <v/>
      </c>
      <c r="D306" t="str">
        <f>IFERROR(__xludf.DUMMYFUNCTION("""COMPUTED_VALUE"""),"")</f>
        <v/>
      </c>
      <c r="E306" t="str">
        <f>IFERROR(__xludf.DUMMYFUNCTION("""COMPUTED_VALUE"""),"")</f>
        <v/>
      </c>
      <c r="F306" t="str">
        <f>IFERROR(__xludf.DUMMYFUNCTION("""COMPUTED_VALUE"""),"")</f>
        <v/>
      </c>
      <c r="G306" t="str">
        <f>IFERROR(__xludf.DUMMYFUNCTION("""COMPUTED_VALUE"""),"")</f>
        <v/>
      </c>
      <c r="H306" t="str">
        <f>IFERROR(__xludf.DUMMYFUNCTION("""COMPUTED_VALUE"""),"")</f>
        <v/>
      </c>
      <c r="I306" s="19" t="str">
        <f>IFERROR(__xludf.DUMMYFUNCTION("""COMPUTED_VALUE"""),"https://apps.who.int/iris/bitstream/handle/10665/259951/WHO-HIS-IER-GPM-2018.1-eng.pdf;jsessionid=47FB126CD095961CAC9D15E3FBF39514?sequence=1")</f>
        <v>https://apps.who.int/iris/bitstream/handle/10665/259951/WHO-HIS-IER-GPM-2018.1-eng.pdf;jsessionid=47FB126CD095961CAC9D15E3FBF39514?sequence=1</v>
      </c>
      <c r="J306" t="str">
        <f>IFERROR(__xludf.DUMMYFUNCTION("""COMPUTED_VALUE"""),"")</f>
        <v/>
      </c>
      <c r="K306" t="str">
        <f>IFERROR(__xludf.DUMMYFUNCTION("""COMPUTED_VALUE"""),"")</f>
        <v/>
      </c>
      <c r="L306" t="str">
        <f>IFERROR(__xludf.DUMMYFUNCTION("""COMPUTED_VALUE"""),"")</f>
        <v/>
      </c>
      <c r="M306" t="str">
        <f>IFERROR(__xludf.DUMMYFUNCTION("""COMPUTED_VALUE"""),"")</f>
        <v/>
      </c>
      <c r="N306" t="str">
        <f>IFERROR(__xludf.DUMMYFUNCTION("""COMPUTED_VALUE"""),"")</f>
        <v/>
      </c>
      <c r="O306" t="str">
        <f>IFERROR(__xludf.DUMMYFUNCTION("""COMPUTED_VALUE"""),"")</f>
        <v/>
      </c>
      <c r="P306" t="str">
        <f>IFERROR(__xludf.DUMMYFUNCTION("""COMPUTED_VALUE"""),"")</f>
        <v/>
      </c>
      <c r="Q306" t="str">
        <f>IFERROR(__xludf.DUMMYFUNCTION("""COMPUTED_VALUE"""),"")</f>
        <v/>
      </c>
      <c r="R306" t="str">
        <f>IFERROR(__xludf.DUMMYFUNCTION("""COMPUTED_VALUE"""),"")</f>
        <v/>
      </c>
      <c r="S306" t="str">
        <f>IFERROR(__xludf.DUMMYFUNCTION("""COMPUTED_VALUE"""),"")</f>
        <v/>
      </c>
      <c r="T306">
        <f>IFERROR(__xludf.DUMMYFUNCTION("""COMPUTED_VALUE"""),1.0)</f>
        <v>1</v>
      </c>
    </row>
    <row r="307">
      <c r="A307" t="str">
        <f>IFERROR(__xludf.DUMMYFUNCTION("""COMPUTED_VALUE"""),"New drugs approved")</f>
        <v>New drugs approved</v>
      </c>
      <c r="B307" t="str">
        <f>IFERROR(__xludf.DUMMYFUNCTION("""COMPUTED_VALUE"""),"")</f>
        <v/>
      </c>
      <c r="C307" t="str">
        <f>IFERROR(__xludf.DUMMYFUNCTION("""COMPUTED_VALUE"""),"")</f>
        <v/>
      </c>
      <c r="D307" t="str">
        <f>IFERROR(__xludf.DUMMYFUNCTION("""COMPUTED_VALUE"""),"")</f>
        <v/>
      </c>
      <c r="E307" t="str">
        <f>IFERROR(__xludf.DUMMYFUNCTION("""COMPUTED_VALUE"""),"")</f>
        <v/>
      </c>
      <c r="F307" t="str">
        <f>IFERROR(__xludf.DUMMYFUNCTION("""COMPUTED_VALUE"""),"")</f>
        <v/>
      </c>
      <c r="G307" t="str">
        <f>IFERROR(__xludf.DUMMYFUNCTION("""COMPUTED_VALUE"""),"")</f>
        <v/>
      </c>
      <c r="H307" t="str">
        <f>IFERROR(__xludf.DUMMYFUNCTION("""COMPUTED_VALUE"""),"")</f>
        <v/>
      </c>
      <c r="I307" t="str">
        <f>IFERROR(__xludf.DUMMYFUNCTION("""COMPUTED_VALUE"""),"")</f>
        <v/>
      </c>
      <c r="J307" t="str">
        <f>IFERROR(__xludf.DUMMYFUNCTION("""COMPUTED_VALUE"""),"")</f>
        <v/>
      </c>
      <c r="K307" t="str">
        <f>IFERROR(__xludf.DUMMYFUNCTION("""COMPUTED_VALUE"""),"")</f>
        <v/>
      </c>
      <c r="L307" s="19" t="str">
        <f>IFERROR(__xludf.DUMMYFUNCTION("""COMPUTED_VALUE"""),"https://usafacts.org/missions/promote-welfare/12")</f>
        <v>https://usafacts.org/missions/promote-welfare/12</v>
      </c>
      <c r="M307" t="str">
        <f>IFERROR(__xludf.DUMMYFUNCTION("""COMPUTED_VALUE"""),"")</f>
        <v/>
      </c>
      <c r="N307" t="str">
        <f>IFERROR(__xludf.DUMMYFUNCTION("""COMPUTED_VALUE"""),"")</f>
        <v/>
      </c>
      <c r="O307" t="str">
        <f>IFERROR(__xludf.DUMMYFUNCTION("""COMPUTED_VALUE"""),"")</f>
        <v/>
      </c>
      <c r="P307" t="str">
        <f>IFERROR(__xludf.DUMMYFUNCTION("""COMPUTED_VALUE"""),"")</f>
        <v/>
      </c>
      <c r="Q307" t="str">
        <f>IFERROR(__xludf.DUMMYFUNCTION("""COMPUTED_VALUE"""),"")</f>
        <v/>
      </c>
      <c r="R307" t="str">
        <f>IFERROR(__xludf.DUMMYFUNCTION("""COMPUTED_VALUE"""),"")</f>
        <v/>
      </c>
      <c r="S307" t="str">
        <f>IFERROR(__xludf.DUMMYFUNCTION("""COMPUTED_VALUE"""),"")</f>
        <v/>
      </c>
      <c r="T307">
        <f>IFERROR(__xludf.DUMMYFUNCTION("""COMPUTED_VALUE"""),1.0)</f>
        <v>1</v>
      </c>
    </row>
    <row r="308">
      <c r="A308" t="str">
        <f>IFERROR(__xludf.DUMMYFUNCTION("""COMPUTED_VALUE"""),"Food safety procedures performed")</f>
        <v>Food safety procedures performed</v>
      </c>
      <c r="B308" t="str">
        <f>IFERROR(__xludf.DUMMYFUNCTION("""COMPUTED_VALUE"""),"")</f>
        <v/>
      </c>
      <c r="C308" t="str">
        <f>IFERROR(__xludf.DUMMYFUNCTION("""COMPUTED_VALUE"""),"")</f>
        <v/>
      </c>
      <c r="D308" t="str">
        <f>IFERROR(__xludf.DUMMYFUNCTION("""COMPUTED_VALUE"""),"")</f>
        <v/>
      </c>
      <c r="E308" t="str">
        <f>IFERROR(__xludf.DUMMYFUNCTION("""COMPUTED_VALUE"""),"")</f>
        <v/>
      </c>
      <c r="F308" t="str">
        <f>IFERROR(__xludf.DUMMYFUNCTION("""COMPUTED_VALUE"""),"")</f>
        <v/>
      </c>
      <c r="G308" t="str">
        <f>IFERROR(__xludf.DUMMYFUNCTION("""COMPUTED_VALUE"""),"")</f>
        <v/>
      </c>
      <c r="H308" t="str">
        <f>IFERROR(__xludf.DUMMYFUNCTION("""COMPUTED_VALUE"""),"Also food safety recalls, noncompliances documented, compliance rate")</f>
        <v>Also food safety recalls, noncompliances documented, compliance rate</v>
      </c>
      <c r="I308" t="str">
        <f>IFERROR(__xludf.DUMMYFUNCTION("""COMPUTED_VALUE"""),"")</f>
        <v/>
      </c>
      <c r="J308" t="str">
        <f>IFERROR(__xludf.DUMMYFUNCTION("""COMPUTED_VALUE"""),"")</f>
        <v/>
      </c>
      <c r="K308" t="str">
        <f>IFERROR(__xludf.DUMMYFUNCTION("""COMPUTED_VALUE"""),"")</f>
        <v/>
      </c>
      <c r="L308" s="19" t="str">
        <f>IFERROR(__xludf.DUMMYFUNCTION("""COMPUTED_VALUE"""),"https://usafacts.org/missions/promote-welfare/12")</f>
        <v>https://usafacts.org/missions/promote-welfare/12</v>
      </c>
      <c r="M308" t="str">
        <f>IFERROR(__xludf.DUMMYFUNCTION("""COMPUTED_VALUE"""),"")</f>
        <v/>
      </c>
      <c r="N308" t="str">
        <f>IFERROR(__xludf.DUMMYFUNCTION("""COMPUTED_VALUE"""),"")</f>
        <v/>
      </c>
      <c r="O308" t="str">
        <f>IFERROR(__xludf.DUMMYFUNCTION("""COMPUTED_VALUE"""),"")</f>
        <v/>
      </c>
      <c r="P308" t="str">
        <f>IFERROR(__xludf.DUMMYFUNCTION("""COMPUTED_VALUE"""),"")</f>
        <v/>
      </c>
      <c r="Q308" t="str">
        <f>IFERROR(__xludf.DUMMYFUNCTION("""COMPUTED_VALUE"""),"")</f>
        <v/>
      </c>
      <c r="R308" t="str">
        <f>IFERROR(__xludf.DUMMYFUNCTION("""COMPUTED_VALUE"""),"")</f>
        <v/>
      </c>
      <c r="S308" t="str">
        <f>IFERROR(__xludf.DUMMYFUNCTION("""COMPUTED_VALUE"""),"")</f>
        <v/>
      </c>
      <c r="T308">
        <f>IFERROR(__xludf.DUMMYFUNCTION("""COMPUTED_VALUE"""),1.0)</f>
        <v>1</v>
      </c>
    </row>
    <row r="309">
      <c r="A309" t="str">
        <f>IFERROR(__xludf.DUMMYFUNCTION("""COMPUTED_VALUE"""),"Standards for pollutants and toxic chemicals")</f>
        <v>Standards for pollutants and toxic chemicals</v>
      </c>
      <c r="B309" t="str">
        <f>IFERROR(__xludf.DUMMYFUNCTION("""COMPUTED_VALUE"""),"")</f>
        <v/>
      </c>
      <c r="C309" t="str">
        <f>IFERROR(__xludf.DUMMYFUNCTION("""COMPUTED_VALUE"""),"")</f>
        <v/>
      </c>
      <c r="D309" t="str">
        <f>IFERROR(__xludf.DUMMYFUNCTION("""COMPUTED_VALUE"""),"")</f>
        <v/>
      </c>
      <c r="E309" t="str">
        <f>IFERROR(__xludf.DUMMYFUNCTION("""COMPUTED_VALUE"""),"")</f>
        <v/>
      </c>
      <c r="F309" t="str">
        <f>IFERROR(__xludf.DUMMYFUNCTION("""COMPUTED_VALUE"""),"")</f>
        <v/>
      </c>
      <c r="G309" t="str">
        <f>IFERROR(__xludf.DUMMYFUNCTION("""COMPUTED_VALUE"""),"")</f>
        <v/>
      </c>
      <c r="H309" t="str">
        <f>IFERROR(__xludf.DUMMYFUNCTION("""COMPUTED_VALUE"""),"")</f>
        <v/>
      </c>
      <c r="I309" t="str">
        <f>IFERROR(__xludf.DUMMYFUNCTION("""COMPUTED_VALUE"""),"")</f>
        <v/>
      </c>
      <c r="J309" t="str">
        <f>IFERROR(__xludf.DUMMYFUNCTION("""COMPUTED_VALUE"""),"")</f>
        <v/>
      </c>
      <c r="K309" t="str">
        <f>IFERROR(__xludf.DUMMYFUNCTION("""COMPUTED_VALUE"""),"")</f>
        <v/>
      </c>
      <c r="L309" t="str">
        <f>IFERROR(__xludf.DUMMYFUNCTION("""COMPUTED_VALUE"""),"")</f>
        <v/>
      </c>
      <c r="M309" t="str">
        <f>IFERROR(__xludf.DUMMYFUNCTION("""COMPUTED_VALUE"""),"")</f>
        <v/>
      </c>
      <c r="N309" t="str">
        <f>IFERROR(__xludf.DUMMYFUNCTION("""COMPUTED_VALUE"""),"")</f>
        <v/>
      </c>
      <c r="O309" t="str">
        <f>IFERROR(__xludf.DUMMYFUNCTION("""COMPUTED_VALUE"""),"")</f>
        <v/>
      </c>
      <c r="P309" t="str">
        <f>IFERROR(__xludf.DUMMYFUNCTION("""COMPUTED_VALUE"""),"")</f>
        <v/>
      </c>
      <c r="Q309" t="str">
        <f>IFERROR(__xludf.DUMMYFUNCTION("""COMPUTED_VALUE"""),"")</f>
        <v/>
      </c>
      <c r="R309" t="str">
        <f>IFERROR(__xludf.DUMMYFUNCTION("""COMPUTED_VALUE"""),"CHSI")</f>
        <v>CHSI</v>
      </c>
      <c r="S309" t="str">
        <f>IFERROR(__xludf.DUMMYFUNCTION("""COMPUTED_VALUE"""),"")</f>
        <v/>
      </c>
      <c r="T309">
        <f>IFERROR(__xludf.DUMMYFUNCTION("""COMPUTED_VALUE"""),1.0)</f>
        <v>1</v>
      </c>
    </row>
    <row r="310" ht="16.5" customHeight="1">
      <c r="A310" t="str">
        <f>IFERROR(__xludf.DUMMYFUNCTION("""COMPUTED_VALUE"""),"Fostering innovation")</f>
        <v>Fostering innovation</v>
      </c>
      <c r="B310" t="str">
        <f>IFERROR(__xludf.DUMMYFUNCTION("""COMPUTED_VALUE"""),"")</f>
        <v/>
      </c>
      <c r="C310" t="str">
        <f>IFERROR(__xludf.DUMMYFUNCTION("""COMPUTED_VALUE"""),"")</f>
        <v/>
      </c>
      <c r="D310" t="str">
        <f>IFERROR(__xludf.DUMMYFUNCTION("""COMPUTED_VALUE"""),"")</f>
        <v/>
      </c>
      <c r="E310" t="str">
        <f>IFERROR(__xludf.DUMMYFUNCTION("""COMPUTED_VALUE"""),"")</f>
        <v/>
      </c>
      <c r="F310" t="str">
        <f>IFERROR(__xludf.DUMMYFUNCTION("""COMPUTED_VALUE"""),"")</f>
        <v/>
      </c>
      <c r="G310" t="str">
        <f>IFERROR(__xludf.DUMMYFUNCTION("""COMPUTED_VALUE"""),"")</f>
        <v/>
      </c>
      <c r="H310" t="str">
        <f>IFERROR(__xludf.DUMMYFUNCTION("""COMPUTED_VALUE"""),"")</f>
        <v/>
      </c>
      <c r="I310" t="str">
        <f>IFERROR(__xludf.DUMMYFUNCTION("""COMPUTED_VALUE"""),"")</f>
        <v/>
      </c>
      <c r="J310" t="str">
        <f>IFERROR(__xludf.DUMMYFUNCTION("""COMPUTED_VALUE"""),"")</f>
        <v/>
      </c>
      <c r="K310" t="str">
        <f>IFERROR(__xludf.DUMMYFUNCTION("""COMPUTED_VALUE"""),"")</f>
        <v/>
      </c>
      <c r="L310" t="str">
        <f>IFERROR(__xludf.DUMMYFUNCTION("""COMPUTED_VALUE"""),"")</f>
        <v/>
      </c>
      <c r="M310" t="str">
        <f>IFERROR(__xludf.DUMMYFUNCTION("""COMPUTED_VALUE"""),"")</f>
        <v/>
      </c>
      <c r="N310" t="str">
        <f>IFERROR(__xludf.DUMMYFUNCTION("""COMPUTED_VALUE"""),"")</f>
        <v/>
      </c>
      <c r="O310" t="str">
        <f>IFERROR(__xludf.DUMMYFUNCTION("""COMPUTED_VALUE"""),"")</f>
        <v/>
      </c>
      <c r="P310" s="19" t="str">
        <f>IFERROR(__xludf.DUMMYFUNCTION("""COMPUTED_VALUE"""),"https://www.cms.gov/about-cms/story-page/our-16-strategic-initiatives.html")</f>
        <v>https://www.cms.gov/about-cms/story-page/our-16-strategic-initiatives.html</v>
      </c>
      <c r="Q310" t="str">
        <f>IFERROR(__xludf.DUMMYFUNCTION("""COMPUTED_VALUE"""),"")</f>
        <v/>
      </c>
      <c r="R310" t="str">
        <f>IFERROR(__xludf.DUMMYFUNCTION("""COMPUTED_VALUE"""),"")</f>
        <v/>
      </c>
      <c r="S310" t="str">
        <f>IFERROR(__xludf.DUMMYFUNCTION("""COMPUTED_VALUE"""),"")</f>
        <v/>
      </c>
      <c r="T310">
        <f>IFERROR(__xludf.DUMMYFUNCTION("""COMPUTED_VALUE"""),1.0)</f>
        <v>1</v>
      </c>
    </row>
    <row r="311">
      <c r="A311" t="str">
        <f>IFERROR(__xludf.DUMMYFUNCTION("""COMPUTED_VALUE"""),"Community engagement")</f>
        <v>Community engagement</v>
      </c>
      <c r="B311" t="str">
        <f>IFERROR(__xludf.DUMMYFUNCTION("""COMPUTED_VALUE"""),"")</f>
        <v/>
      </c>
      <c r="C311" t="str">
        <f>IFERROR(__xludf.DUMMYFUNCTION("""COMPUTED_VALUE"""),"")</f>
        <v/>
      </c>
      <c r="D311" t="str">
        <f>IFERROR(__xludf.DUMMYFUNCTION("""COMPUTED_VALUE"""),"")</f>
        <v/>
      </c>
      <c r="E311" t="str">
        <f>IFERROR(__xludf.DUMMYFUNCTION("""COMPUTED_VALUE"""),"")</f>
        <v/>
      </c>
      <c r="F311" t="str">
        <f>IFERROR(__xludf.DUMMYFUNCTION("""COMPUTED_VALUE"""),"")</f>
        <v/>
      </c>
      <c r="G311" t="str">
        <f>IFERROR(__xludf.DUMMYFUNCTION("""COMPUTED_VALUE"""),"")</f>
        <v/>
      </c>
      <c r="H311" t="str">
        <f>IFERROR(__xludf.DUMMYFUNCTION("""COMPUTED_VALUE"""),"")</f>
        <v/>
      </c>
      <c r="I311" t="str">
        <f>IFERROR(__xludf.DUMMYFUNCTION("""COMPUTED_VALUE"""),"")</f>
        <v/>
      </c>
      <c r="J311" t="str">
        <f>IFERROR(__xludf.DUMMYFUNCTION("""COMPUTED_VALUE"""),"")</f>
        <v/>
      </c>
      <c r="K311" t="str">
        <f>IFERROR(__xludf.DUMMYFUNCTION("""COMPUTED_VALUE"""),"")</f>
        <v/>
      </c>
      <c r="L311" t="str">
        <f>IFERROR(__xludf.DUMMYFUNCTION("""COMPUTED_VALUE"""),"")</f>
        <v/>
      </c>
      <c r="M311" t="str">
        <f>IFERROR(__xludf.DUMMYFUNCTION("""COMPUTED_VALUE"""),"")</f>
        <v/>
      </c>
      <c r="N311" t="str">
        <f>IFERROR(__xludf.DUMMYFUNCTION("""COMPUTED_VALUE"""),"")</f>
        <v/>
      </c>
      <c r="O311" t="str">
        <f>IFERROR(__xludf.DUMMYFUNCTION("""COMPUTED_VALUE"""),"")</f>
        <v/>
      </c>
      <c r="P311" s="19" t="str">
        <f>IFERROR(__xludf.DUMMYFUNCTION("""COMPUTED_VALUE"""),"https://www.cms.gov/Medicare/Quality-Initiatives-Patient-Assessment-Instruments/QualityInitiativesGenInfo/MMF/General-info-Sub-Page.html")</f>
        <v>https://www.cms.gov/Medicare/Quality-Initiatives-Patient-Assessment-Instruments/QualityInitiativesGenInfo/MMF/General-info-Sub-Page.html</v>
      </c>
      <c r="Q311" t="str">
        <f>IFERROR(__xludf.DUMMYFUNCTION("""COMPUTED_VALUE"""),"")</f>
        <v/>
      </c>
      <c r="R311" t="str">
        <f>IFERROR(__xludf.DUMMYFUNCTION("""COMPUTED_VALUE"""),"")</f>
        <v/>
      </c>
      <c r="S311" t="str">
        <f>IFERROR(__xludf.DUMMYFUNCTION("""COMPUTED_VALUE"""),"")</f>
        <v/>
      </c>
      <c r="T311">
        <f>IFERROR(__xludf.DUMMYFUNCTION("""COMPUTED_VALUE"""),1.0)</f>
        <v>1</v>
      </c>
    </row>
    <row r="312">
      <c r="A312" t="str">
        <f>IFERROR(__xludf.DUMMYFUNCTION("""COMPUTED_VALUE"""),"Voter registration")</f>
        <v>Voter registration</v>
      </c>
      <c r="B312" t="str">
        <f>IFERROR(__xludf.DUMMYFUNCTION("""COMPUTED_VALUE"""),"")</f>
        <v/>
      </c>
      <c r="C312" t="str">
        <f>IFERROR(__xludf.DUMMYFUNCTION("""COMPUTED_VALUE"""),"")</f>
        <v/>
      </c>
      <c r="D312" t="str">
        <f>IFERROR(__xludf.DUMMYFUNCTION("""COMPUTED_VALUE"""),"")</f>
        <v/>
      </c>
      <c r="E312" t="str">
        <f>IFERROR(__xludf.DUMMYFUNCTION("""COMPUTED_VALUE"""),"")</f>
        <v/>
      </c>
      <c r="F312" t="str">
        <f>IFERROR(__xludf.DUMMYFUNCTION("""COMPUTED_VALUE"""),"")</f>
        <v/>
      </c>
      <c r="G312" t="str">
        <f>IFERROR(__xludf.DUMMYFUNCTION("""COMPUTED_VALUE"""),"")</f>
        <v/>
      </c>
      <c r="H312" t="str">
        <f>IFERROR(__xludf.DUMMYFUNCTION("""COMPUTED_VALUE"""),"")</f>
        <v/>
      </c>
      <c r="I312" t="str">
        <f>IFERROR(__xludf.DUMMYFUNCTION("""COMPUTED_VALUE"""),"")</f>
        <v/>
      </c>
      <c r="J312" t="str">
        <f>IFERROR(__xludf.DUMMYFUNCTION("""COMPUTED_VALUE"""),"")</f>
        <v/>
      </c>
      <c r="K312" t="str">
        <f>IFERROR(__xludf.DUMMYFUNCTION("""COMPUTED_VALUE"""),"")</f>
        <v/>
      </c>
      <c r="L312" t="str">
        <f>IFERROR(__xludf.DUMMYFUNCTION("""COMPUTED_VALUE"""),"")</f>
        <v/>
      </c>
      <c r="M312" t="str">
        <f>IFERROR(__xludf.DUMMYFUNCTION("""COMPUTED_VALUE"""),"")</f>
        <v/>
      </c>
      <c r="N312" s="19" t="str">
        <f>IFERROR(__xludf.DUMMYFUNCTION("""COMPUTED_VALUE"""),"https://www.americashealthrankings.org/explore/annual")</f>
        <v>https://www.americashealthrankings.org/explore/annual</v>
      </c>
      <c r="O312" t="str">
        <f>IFERROR(__xludf.DUMMYFUNCTION("""COMPUTED_VALUE"""),"")</f>
        <v/>
      </c>
      <c r="P312" t="str">
        <f>IFERROR(__xludf.DUMMYFUNCTION("""COMPUTED_VALUE"""),"")</f>
        <v/>
      </c>
      <c r="Q312" t="str">
        <f>IFERROR(__xludf.DUMMYFUNCTION("""COMPUTED_VALUE"""),"")</f>
        <v/>
      </c>
      <c r="R312" t="str">
        <f>IFERROR(__xludf.DUMMYFUNCTION("""COMPUTED_VALUE"""),"")</f>
        <v/>
      </c>
      <c r="S312" t="str">
        <f>IFERROR(__xludf.DUMMYFUNCTION("""COMPUTED_VALUE"""),"")</f>
        <v/>
      </c>
      <c r="T312">
        <f>IFERROR(__xludf.DUMMYFUNCTION("""COMPUTED_VALUE"""),1.0)</f>
        <v>1</v>
      </c>
    </row>
    <row r="313">
      <c r="A313" t="str">
        <f>IFERROR(__xludf.DUMMYFUNCTION("""COMPUTED_VALUE"""),"Demographics")</f>
        <v>Demographics</v>
      </c>
      <c r="B313" t="str">
        <f>IFERROR(__xludf.DUMMYFUNCTION("""COMPUTED_VALUE"""),"")</f>
        <v/>
      </c>
      <c r="C313" t="str">
        <f>IFERROR(__xludf.DUMMYFUNCTION("""COMPUTED_VALUE"""),"")</f>
        <v/>
      </c>
      <c r="D313" t="str">
        <f>IFERROR(__xludf.DUMMYFUNCTION("""COMPUTED_VALUE"""),"")</f>
        <v/>
      </c>
      <c r="E313" t="str">
        <f>IFERROR(__xludf.DUMMYFUNCTION("""COMPUTED_VALUE"""),"")</f>
        <v/>
      </c>
      <c r="F313" t="str">
        <f>IFERROR(__xludf.DUMMYFUNCTION("""COMPUTED_VALUE"""),"")</f>
        <v/>
      </c>
      <c r="G313" t="str">
        <f>IFERROR(__xludf.DUMMYFUNCTION("""COMPUTED_VALUE"""),"")</f>
        <v/>
      </c>
      <c r="H313" t="str">
        <f>IFERROR(__xludf.DUMMYFUNCTION("""COMPUTED_VALUE"""),"")</f>
        <v/>
      </c>
      <c r="I313" t="str">
        <f>IFERROR(__xludf.DUMMYFUNCTION("""COMPUTED_VALUE"""),"")</f>
        <v/>
      </c>
      <c r="J313" t="str">
        <f>IFERROR(__xludf.DUMMYFUNCTION("""COMPUTED_VALUE"""),"")</f>
        <v/>
      </c>
      <c r="K313" t="str">
        <f>IFERROR(__xludf.DUMMYFUNCTION("""COMPUTED_VALUE"""),"")</f>
        <v/>
      </c>
      <c r="L313" t="str">
        <f>IFERROR(__xludf.DUMMYFUNCTION("""COMPUTED_VALUE"""),"")</f>
        <v/>
      </c>
      <c r="M313" t="str">
        <f>IFERROR(__xludf.DUMMYFUNCTION("""COMPUTED_VALUE"""),"")</f>
        <v/>
      </c>
      <c r="N313" t="str">
        <f>IFERROR(__xludf.DUMMYFUNCTION("""COMPUTED_VALUE"""),"")</f>
        <v/>
      </c>
      <c r="O313" t="str">
        <f>IFERROR(__xludf.DUMMYFUNCTION("""COMPUTED_VALUE"""),"")</f>
        <v/>
      </c>
      <c r="P313" t="str">
        <f>IFERROR(__xludf.DUMMYFUNCTION("""COMPUTED_VALUE"""),"")</f>
        <v/>
      </c>
      <c r="Q313" t="str">
        <f>IFERROR(__xludf.DUMMYFUNCTION("""COMPUTED_VALUE"""),"")</f>
        <v/>
      </c>
      <c r="R313" t="str">
        <f>IFERROR(__xludf.DUMMYFUNCTION("""COMPUTED_VALUE"""),"")</f>
        <v/>
      </c>
      <c r="S313" t="str">
        <f>IFERROR(__xludf.DUMMYFUNCTION("""COMPUTED_VALUE"""),"")</f>
        <v/>
      </c>
      <c r="T313">
        <f>IFERROR(__xludf.DUMMYFUNCTION("""COMPUTED_VALUE"""),0.0)</f>
        <v>0</v>
      </c>
    </row>
    <row r="314">
      <c r="A314" t="str">
        <f>IFERROR(__xludf.DUMMYFUNCTION("""COMPUTED_VALUE"""),"Population")</f>
        <v>Population</v>
      </c>
      <c r="B314" t="str">
        <f>IFERROR(__xludf.DUMMYFUNCTION("""COMPUTED_VALUE"""),"")</f>
        <v/>
      </c>
      <c r="C314" t="str">
        <f>IFERROR(__xludf.DUMMYFUNCTION("""COMPUTED_VALUE"""),"")</f>
        <v/>
      </c>
      <c r="D314" t="str">
        <f>IFERROR(__xludf.DUMMYFUNCTION("""COMPUTED_VALUE"""),"")</f>
        <v/>
      </c>
      <c r="E314" t="str">
        <f>IFERROR(__xludf.DUMMYFUNCTION("""COMPUTED_VALUE"""),"")</f>
        <v/>
      </c>
      <c r="F314" t="str">
        <f>IFERROR(__xludf.DUMMYFUNCTION("""COMPUTED_VALUE"""),"")</f>
        <v/>
      </c>
      <c r="G314" t="str">
        <f>IFERROR(__xludf.DUMMYFUNCTION("""COMPUTED_VALUE"""),"")</f>
        <v/>
      </c>
      <c r="H314" t="str">
        <f>IFERROR(__xludf.DUMMYFUNCTION("""COMPUTED_VALUE"""),"")</f>
        <v/>
      </c>
      <c r="I314" t="str">
        <f>IFERROR(__xludf.DUMMYFUNCTION("""COMPUTED_VALUE"""),"")</f>
        <v/>
      </c>
      <c r="J314" t="str">
        <f>IFERROR(__xludf.DUMMYFUNCTION("""COMPUTED_VALUE"""),"")</f>
        <v/>
      </c>
      <c r="K314" t="str">
        <f>IFERROR(__xludf.DUMMYFUNCTION("""COMPUTED_VALUE"""),"")</f>
        <v/>
      </c>
      <c r="L314" t="str">
        <f>IFERROR(__xludf.DUMMYFUNCTION("""COMPUTED_VALUE"""),"")</f>
        <v/>
      </c>
      <c r="M314" t="str">
        <f>IFERROR(__xludf.DUMMYFUNCTION("""COMPUTED_VALUE"""),"")</f>
        <v/>
      </c>
      <c r="N314" t="str">
        <f>IFERROR(__xludf.DUMMYFUNCTION("""COMPUTED_VALUE"""),"")</f>
        <v/>
      </c>
      <c r="O314" t="str">
        <f>IFERROR(__xludf.DUMMYFUNCTION("""COMPUTED_VALUE"""),"")</f>
        <v/>
      </c>
      <c r="P314" t="str">
        <f>IFERROR(__xludf.DUMMYFUNCTION("""COMPUTED_VALUE"""),"")</f>
        <v/>
      </c>
      <c r="Q314" t="str">
        <f>IFERROR(__xludf.DUMMYFUNCTION("""COMPUTED_VALUE"""),"")</f>
        <v/>
      </c>
      <c r="R314" t="str">
        <f>IFERROR(__xludf.DUMMYFUNCTION("""COMPUTED_VALUE"""),"")</f>
        <v/>
      </c>
      <c r="S314" t="str">
        <f>IFERROR(__xludf.DUMMYFUNCTION("""COMPUTED_VALUE"""),"")</f>
        <v/>
      </c>
      <c r="T314">
        <f>IFERROR(__xludf.DUMMYFUNCTION("""COMPUTED_VALUE"""),0.0)</f>
        <v>0</v>
      </c>
    </row>
    <row r="315">
      <c r="A315" t="str">
        <f>IFERROR(__xludf.DUMMYFUNCTION("""COMPUTED_VALUE"""),"Education")</f>
        <v>Education</v>
      </c>
      <c r="B315" t="str">
        <f>IFERROR(__xludf.DUMMYFUNCTION("""COMPUTED_VALUE"""),"")</f>
        <v/>
      </c>
      <c r="C315" t="str">
        <f>IFERROR(__xludf.DUMMYFUNCTION("""COMPUTED_VALUE"""),"")</f>
        <v/>
      </c>
      <c r="D315" t="str">
        <f>IFERROR(__xludf.DUMMYFUNCTION("""COMPUTED_VALUE"""),"")</f>
        <v/>
      </c>
      <c r="E315" t="str">
        <f>IFERROR(__xludf.DUMMYFUNCTION("""COMPUTED_VALUE"""),"")</f>
        <v/>
      </c>
      <c r="F315" t="str">
        <f>IFERROR(__xludf.DUMMYFUNCTION("""COMPUTED_VALUE"""),"")</f>
        <v/>
      </c>
      <c r="G315" t="str">
        <f>IFERROR(__xludf.DUMMYFUNCTION("""COMPUTED_VALUE"""),"")</f>
        <v/>
      </c>
      <c r="H315" t="str">
        <f>IFERROR(__xludf.DUMMYFUNCTION("""COMPUTED_VALUE"""),"")</f>
        <v/>
      </c>
      <c r="I315" t="str">
        <f>IFERROR(__xludf.DUMMYFUNCTION("""COMPUTED_VALUE"""),"")</f>
        <v/>
      </c>
      <c r="J315" t="str">
        <f>IFERROR(__xludf.DUMMYFUNCTION("""COMPUTED_VALUE"""),"")</f>
        <v/>
      </c>
      <c r="K315" t="str">
        <f>IFERROR(__xludf.DUMMYFUNCTION("""COMPUTED_VALUE"""),"")</f>
        <v/>
      </c>
      <c r="L315" t="str">
        <f>IFERROR(__xludf.DUMMYFUNCTION("""COMPUTED_VALUE"""),"")</f>
        <v/>
      </c>
      <c r="M315" t="str">
        <f>IFERROR(__xludf.DUMMYFUNCTION("""COMPUTED_VALUE"""),"")</f>
        <v/>
      </c>
      <c r="N315" t="str">
        <f>IFERROR(__xludf.DUMMYFUNCTION("""COMPUTED_VALUE"""),"")</f>
        <v/>
      </c>
      <c r="O315" t="str">
        <f>IFERROR(__xludf.DUMMYFUNCTION("""COMPUTED_VALUE"""),"")</f>
        <v/>
      </c>
      <c r="P315" t="str">
        <f>IFERROR(__xludf.DUMMYFUNCTION("""COMPUTED_VALUE"""),"")</f>
        <v/>
      </c>
      <c r="Q315" t="str">
        <f>IFERROR(__xludf.DUMMYFUNCTION("""COMPUTED_VALUE"""),"")</f>
        <v/>
      </c>
      <c r="R315" t="str">
        <f>IFERROR(__xludf.DUMMYFUNCTION("""COMPUTED_VALUE"""),"")</f>
        <v/>
      </c>
      <c r="S315" t="str">
        <f>IFERROR(__xludf.DUMMYFUNCTION("""COMPUTED_VALUE"""),"")</f>
        <v/>
      </c>
      <c r="T315">
        <f>IFERROR(__xludf.DUMMYFUNCTION("""COMPUTED_VALUE"""),0.0)</f>
        <v>0</v>
      </c>
    </row>
    <row r="316">
      <c r="A316" t="str">
        <f>IFERROR(__xludf.DUMMYFUNCTION("""COMPUTED_VALUE"""),"Economic")</f>
        <v>Economic</v>
      </c>
      <c r="B316" t="str">
        <f>IFERROR(__xludf.DUMMYFUNCTION("""COMPUTED_VALUE"""),"")</f>
        <v/>
      </c>
      <c r="C316" t="str">
        <f>IFERROR(__xludf.DUMMYFUNCTION("""COMPUTED_VALUE"""),"")</f>
        <v/>
      </c>
      <c r="D316" t="str">
        <f>IFERROR(__xludf.DUMMYFUNCTION("""COMPUTED_VALUE"""),"")</f>
        <v/>
      </c>
      <c r="E316" t="str">
        <f>IFERROR(__xludf.DUMMYFUNCTION("""COMPUTED_VALUE"""),"")</f>
        <v/>
      </c>
      <c r="F316" t="str">
        <f>IFERROR(__xludf.DUMMYFUNCTION("""COMPUTED_VALUE"""),"")</f>
        <v/>
      </c>
      <c r="G316" t="str">
        <f>IFERROR(__xludf.DUMMYFUNCTION("""COMPUTED_VALUE"""),"")</f>
        <v/>
      </c>
      <c r="H316" t="str">
        <f>IFERROR(__xludf.DUMMYFUNCTION("""COMPUTED_VALUE"""),"")</f>
        <v/>
      </c>
      <c r="I316" t="str">
        <f>IFERROR(__xludf.DUMMYFUNCTION("""COMPUTED_VALUE"""),"")</f>
        <v/>
      </c>
      <c r="J316" t="str">
        <f>IFERROR(__xludf.DUMMYFUNCTION("""COMPUTED_VALUE"""),"")</f>
        <v/>
      </c>
      <c r="K316" t="str">
        <f>IFERROR(__xludf.DUMMYFUNCTION("""COMPUTED_VALUE"""),"")</f>
        <v/>
      </c>
      <c r="L316" t="str">
        <f>IFERROR(__xludf.DUMMYFUNCTION("""COMPUTED_VALUE"""),"")</f>
        <v/>
      </c>
      <c r="M316" t="str">
        <f>IFERROR(__xludf.DUMMYFUNCTION("""COMPUTED_VALUE"""),"")</f>
        <v/>
      </c>
      <c r="N316" t="str">
        <f>IFERROR(__xludf.DUMMYFUNCTION("""COMPUTED_VALUE"""),"")</f>
        <v/>
      </c>
      <c r="O316" t="str">
        <f>IFERROR(__xludf.DUMMYFUNCTION("""COMPUTED_VALUE"""),"")</f>
        <v/>
      </c>
      <c r="P316" t="str">
        <f>IFERROR(__xludf.DUMMYFUNCTION("""COMPUTED_VALUE"""),"")</f>
        <v/>
      </c>
      <c r="Q316" t="str">
        <f>IFERROR(__xludf.DUMMYFUNCTION("""COMPUTED_VALUE"""),"")</f>
        <v/>
      </c>
      <c r="R316" t="str">
        <f>IFERROR(__xludf.DUMMYFUNCTION("""COMPUTED_VALUE"""),"")</f>
        <v/>
      </c>
      <c r="S316" t="str">
        <f>IFERROR(__xludf.DUMMYFUNCTION("""COMPUTED_VALUE"""),"")</f>
        <v/>
      </c>
      <c r="T316">
        <f>IFERROR(__xludf.DUMMYFUNCTION("""COMPUTED_VALUE"""),0.0)</f>
        <v>0</v>
      </c>
    </row>
    <row r="317">
      <c r="A317" t="str">
        <f>IFERROR(__xludf.DUMMYFUNCTION("""COMPUTED_VALUE"""),"Housing/Community")</f>
        <v>Housing/Community</v>
      </c>
      <c r="B317" t="str">
        <f>IFERROR(__xludf.DUMMYFUNCTION("""COMPUTED_VALUE"""),"")</f>
        <v/>
      </c>
      <c r="C317" t="str">
        <f>IFERROR(__xludf.DUMMYFUNCTION("""COMPUTED_VALUE"""),"")</f>
        <v/>
      </c>
      <c r="D317" t="str">
        <f>IFERROR(__xludf.DUMMYFUNCTION("""COMPUTED_VALUE"""),"")</f>
        <v/>
      </c>
      <c r="E317" t="str">
        <f>IFERROR(__xludf.DUMMYFUNCTION("""COMPUTED_VALUE"""),"")</f>
        <v/>
      </c>
      <c r="F317" t="str">
        <f>IFERROR(__xludf.DUMMYFUNCTION("""COMPUTED_VALUE"""),"")</f>
        <v/>
      </c>
      <c r="G317" t="str">
        <f>IFERROR(__xludf.DUMMYFUNCTION("""COMPUTED_VALUE"""),"")</f>
        <v/>
      </c>
      <c r="H317" t="str">
        <f>IFERROR(__xludf.DUMMYFUNCTION("""COMPUTED_VALUE"""),"")</f>
        <v/>
      </c>
      <c r="I317" t="str">
        <f>IFERROR(__xludf.DUMMYFUNCTION("""COMPUTED_VALUE"""),"")</f>
        <v/>
      </c>
      <c r="J317" t="str">
        <f>IFERROR(__xludf.DUMMYFUNCTION("""COMPUTED_VALUE"""),"")</f>
        <v/>
      </c>
      <c r="K317" t="str">
        <f>IFERROR(__xludf.DUMMYFUNCTION("""COMPUTED_VALUE"""),"")</f>
        <v/>
      </c>
      <c r="L317" t="str">
        <f>IFERROR(__xludf.DUMMYFUNCTION("""COMPUTED_VALUE"""),"")</f>
        <v/>
      </c>
      <c r="M317" t="str">
        <f>IFERROR(__xludf.DUMMYFUNCTION("""COMPUTED_VALUE"""),"")</f>
        <v/>
      </c>
      <c r="N317" t="str">
        <f>IFERROR(__xludf.DUMMYFUNCTION("""COMPUTED_VALUE"""),"")</f>
        <v/>
      </c>
      <c r="O317" t="str">
        <f>IFERROR(__xludf.DUMMYFUNCTION("""COMPUTED_VALUE"""),"")</f>
        <v/>
      </c>
      <c r="P317" t="str">
        <f>IFERROR(__xludf.DUMMYFUNCTION("""COMPUTED_VALUE"""),"")</f>
        <v/>
      </c>
      <c r="Q317" t="str">
        <f>IFERROR(__xludf.DUMMYFUNCTION("""COMPUTED_VALUE"""),"")</f>
        <v/>
      </c>
      <c r="R317" t="str">
        <f>IFERROR(__xludf.DUMMYFUNCTION("""COMPUTED_VALUE"""),"")</f>
        <v/>
      </c>
      <c r="S317" t="str">
        <f>IFERROR(__xludf.DUMMYFUNCTION("""COMPUTED_VALUE"""),"")</f>
        <v/>
      </c>
      <c r="T317">
        <f>IFERROR(__xludf.DUMMYFUNCTION("""COMPUTED_VALUE"""),0.0)</f>
        <v>0</v>
      </c>
    </row>
    <row r="318">
      <c r="A318" t="str">
        <f>IFERROR(__xludf.DUMMYFUNCTION("""COMPUTED_VALUE"""),"Migration")</f>
        <v>Migration</v>
      </c>
      <c r="B318" t="str">
        <f>IFERROR(__xludf.DUMMYFUNCTION("""COMPUTED_VALUE"""),"")</f>
        <v/>
      </c>
      <c r="C318" t="str">
        <f>IFERROR(__xludf.DUMMYFUNCTION("""COMPUTED_VALUE"""),"")</f>
        <v/>
      </c>
      <c r="D318" t="str">
        <f>IFERROR(__xludf.DUMMYFUNCTION("""COMPUTED_VALUE"""),"")</f>
        <v/>
      </c>
      <c r="E318" t="str">
        <f>IFERROR(__xludf.DUMMYFUNCTION("""COMPUTED_VALUE"""),"")</f>
        <v/>
      </c>
      <c r="F318" t="str">
        <f>IFERROR(__xludf.DUMMYFUNCTION("""COMPUTED_VALUE"""),"")</f>
        <v/>
      </c>
      <c r="G318" t="str">
        <f>IFERROR(__xludf.DUMMYFUNCTION("""COMPUTED_VALUE"""),"")</f>
        <v/>
      </c>
      <c r="H318" t="str">
        <f>IFERROR(__xludf.DUMMYFUNCTION("""COMPUTED_VALUE"""),"")</f>
        <v/>
      </c>
      <c r="I318" t="str">
        <f>IFERROR(__xludf.DUMMYFUNCTION("""COMPUTED_VALUE"""),"")</f>
        <v/>
      </c>
      <c r="J318" t="str">
        <f>IFERROR(__xludf.DUMMYFUNCTION("""COMPUTED_VALUE"""),"")</f>
        <v/>
      </c>
      <c r="K318" t="str">
        <f>IFERROR(__xludf.DUMMYFUNCTION("""COMPUTED_VALUE"""),"")</f>
        <v/>
      </c>
      <c r="L318" t="str">
        <f>IFERROR(__xludf.DUMMYFUNCTION("""COMPUTED_VALUE"""),"")</f>
        <v/>
      </c>
      <c r="M318" t="str">
        <f>IFERROR(__xludf.DUMMYFUNCTION("""COMPUTED_VALUE"""),"")</f>
        <v/>
      </c>
      <c r="N318" t="str">
        <f>IFERROR(__xludf.DUMMYFUNCTION("""COMPUTED_VALUE"""),"")</f>
        <v/>
      </c>
      <c r="O318" t="str">
        <f>IFERROR(__xludf.DUMMYFUNCTION("""COMPUTED_VALUE"""),"")</f>
        <v/>
      </c>
      <c r="P318" t="str">
        <f>IFERROR(__xludf.DUMMYFUNCTION("""COMPUTED_VALUE"""),"")</f>
        <v/>
      </c>
      <c r="Q318" t="str">
        <f>IFERROR(__xludf.DUMMYFUNCTION("""COMPUTED_VALUE"""),"")</f>
        <v/>
      </c>
      <c r="R318" t="str">
        <f>IFERROR(__xludf.DUMMYFUNCTION("""COMPUTED_VALUE"""),"")</f>
        <v/>
      </c>
      <c r="S318" t="str">
        <f>IFERROR(__xludf.DUMMYFUNCTION("""COMPUTED_VALUE"""),"")</f>
        <v/>
      </c>
      <c r="T318">
        <f>IFERROR(__xludf.DUMMYFUNCTION("""COMPUTED_VALUE"""),0.0)</f>
        <v>0</v>
      </c>
    </row>
    <row r="319">
      <c r="A319" t="str">
        <f>IFERROR(__xludf.DUMMYFUNCTION("""COMPUTED_VALUE"""),"Health Status")</f>
        <v>Health Status</v>
      </c>
      <c r="B319" t="str">
        <f>IFERROR(__xludf.DUMMYFUNCTION("""COMPUTED_VALUE"""),"")</f>
        <v/>
      </c>
      <c r="C319" t="str">
        <f>IFERROR(__xludf.DUMMYFUNCTION("""COMPUTED_VALUE"""),"")</f>
        <v/>
      </c>
      <c r="D319" t="str">
        <f>IFERROR(__xludf.DUMMYFUNCTION("""COMPUTED_VALUE"""),"")</f>
        <v/>
      </c>
      <c r="E319" t="str">
        <f>IFERROR(__xludf.DUMMYFUNCTION("""COMPUTED_VALUE"""),"")</f>
        <v/>
      </c>
      <c r="F319" t="str">
        <f>IFERROR(__xludf.DUMMYFUNCTION("""COMPUTED_VALUE"""),"")</f>
        <v/>
      </c>
      <c r="G319" t="str">
        <f>IFERROR(__xludf.DUMMYFUNCTION("""COMPUTED_VALUE"""),"")</f>
        <v/>
      </c>
      <c r="H319" t="str">
        <f>IFERROR(__xludf.DUMMYFUNCTION("""COMPUTED_VALUE"""),"")</f>
        <v/>
      </c>
      <c r="I319" t="str">
        <f>IFERROR(__xludf.DUMMYFUNCTION("""COMPUTED_VALUE"""),"")</f>
        <v/>
      </c>
      <c r="J319" t="str">
        <f>IFERROR(__xludf.DUMMYFUNCTION("""COMPUTED_VALUE"""),"")</f>
        <v/>
      </c>
      <c r="K319" t="str">
        <f>IFERROR(__xludf.DUMMYFUNCTION("""COMPUTED_VALUE"""),"")</f>
        <v/>
      </c>
      <c r="L319" t="str">
        <f>IFERROR(__xludf.DUMMYFUNCTION("""COMPUTED_VALUE"""),"")</f>
        <v/>
      </c>
      <c r="M319" t="str">
        <f>IFERROR(__xludf.DUMMYFUNCTION("""COMPUTED_VALUE"""),"")</f>
        <v/>
      </c>
      <c r="N319" t="str">
        <f>IFERROR(__xludf.DUMMYFUNCTION("""COMPUTED_VALUE"""),"")</f>
        <v/>
      </c>
      <c r="O319" t="str">
        <f>IFERROR(__xludf.DUMMYFUNCTION("""COMPUTED_VALUE"""),"")</f>
        <v/>
      </c>
      <c r="P319" t="str">
        <f>IFERROR(__xludf.DUMMYFUNCTION("""COMPUTED_VALUE"""),"")</f>
        <v/>
      </c>
      <c r="Q319" t="str">
        <f>IFERROR(__xludf.DUMMYFUNCTION("""COMPUTED_VALUE"""),"")</f>
        <v/>
      </c>
      <c r="R319" t="str">
        <f>IFERROR(__xludf.DUMMYFUNCTION("""COMPUTED_VALUE"""),"")</f>
        <v/>
      </c>
      <c r="S319" t="str">
        <f>IFERROR(__xludf.DUMMYFUNCTION("""COMPUTED_VALUE"""),"")</f>
        <v/>
      </c>
      <c r="T319">
        <f>IFERROR(__xludf.DUMMYFUNCTION("""COMPUTED_VALUE"""),0.0)</f>
        <v>0</v>
      </c>
    </row>
    <row r="320">
      <c r="A320" t="str">
        <f>IFERROR(__xludf.DUMMYFUNCTION("""COMPUTED_VALUE"""),"Mortality by age")</f>
        <v>Mortality by age</v>
      </c>
      <c r="B320" t="str">
        <f>IFERROR(__xludf.DUMMYFUNCTION("""COMPUTED_VALUE"""),"")</f>
        <v/>
      </c>
      <c r="C320" t="str">
        <f>IFERROR(__xludf.DUMMYFUNCTION("""COMPUTED_VALUE"""),"")</f>
        <v/>
      </c>
      <c r="D320" t="str">
        <f>IFERROR(__xludf.DUMMYFUNCTION("""COMPUTED_VALUE"""),"")</f>
        <v/>
      </c>
      <c r="E320" t="str">
        <f>IFERROR(__xludf.DUMMYFUNCTION("""COMPUTED_VALUE"""),"")</f>
        <v/>
      </c>
      <c r="F320" t="str">
        <f>IFERROR(__xludf.DUMMYFUNCTION("""COMPUTED_VALUE"""),"")</f>
        <v/>
      </c>
      <c r="G320" t="str">
        <f>IFERROR(__xludf.DUMMYFUNCTION("""COMPUTED_VALUE"""),"")</f>
        <v/>
      </c>
      <c r="H320" t="str">
        <f>IFERROR(__xludf.DUMMYFUNCTION("""COMPUTED_VALUE"""),"")</f>
        <v/>
      </c>
      <c r="I320" t="str">
        <f>IFERROR(__xludf.DUMMYFUNCTION("""COMPUTED_VALUE"""),"")</f>
        <v/>
      </c>
      <c r="J320" t="str">
        <f>IFERROR(__xludf.DUMMYFUNCTION("""COMPUTED_VALUE"""),"")</f>
        <v/>
      </c>
      <c r="K320" t="str">
        <f>IFERROR(__xludf.DUMMYFUNCTION("""COMPUTED_VALUE"""),"")</f>
        <v/>
      </c>
      <c r="L320" t="str">
        <f>IFERROR(__xludf.DUMMYFUNCTION("""COMPUTED_VALUE"""),"")</f>
        <v/>
      </c>
      <c r="M320" t="str">
        <f>IFERROR(__xludf.DUMMYFUNCTION("""COMPUTED_VALUE"""),"")</f>
        <v/>
      </c>
      <c r="N320" t="str">
        <f>IFERROR(__xludf.DUMMYFUNCTION("""COMPUTED_VALUE"""),"")</f>
        <v/>
      </c>
      <c r="O320" t="str">
        <f>IFERROR(__xludf.DUMMYFUNCTION("""COMPUTED_VALUE"""),"")</f>
        <v/>
      </c>
      <c r="P320" t="str">
        <f>IFERROR(__xludf.DUMMYFUNCTION("""COMPUTED_VALUE"""),"")</f>
        <v/>
      </c>
      <c r="Q320" t="str">
        <f>IFERROR(__xludf.DUMMYFUNCTION("""COMPUTED_VALUE"""),"")</f>
        <v/>
      </c>
      <c r="R320" t="str">
        <f>IFERROR(__xludf.DUMMYFUNCTION("""COMPUTED_VALUE"""),"")</f>
        <v/>
      </c>
      <c r="S320" t="str">
        <f>IFERROR(__xludf.DUMMYFUNCTION("""COMPUTED_VALUE"""),"")</f>
        <v/>
      </c>
      <c r="T320">
        <f>IFERROR(__xludf.DUMMYFUNCTION("""COMPUTED_VALUE"""),0.0)</f>
        <v>0</v>
      </c>
    </row>
    <row r="321">
      <c r="A321" t="str">
        <f>IFERROR(__xludf.DUMMYFUNCTION("""COMPUTED_VALUE"""),"Mortality by cause")</f>
        <v>Mortality by cause</v>
      </c>
      <c r="B321" t="str">
        <f>IFERROR(__xludf.DUMMYFUNCTION("""COMPUTED_VALUE"""),"")</f>
        <v/>
      </c>
      <c r="C321" t="str">
        <f>IFERROR(__xludf.DUMMYFUNCTION("""COMPUTED_VALUE"""),"")</f>
        <v/>
      </c>
      <c r="D321" t="str">
        <f>IFERROR(__xludf.DUMMYFUNCTION("""COMPUTED_VALUE"""),"")</f>
        <v/>
      </c>
      <c r="E321" t="str">
        <f>IFERROR(__xludf.DUMMYFUNCTION("""COMPUTED_VALUE"""),"")</f>
        <v/>
      </c>
      <c r="F321" t="str">
        <f>IFERROR(__xludf.DUMMYFUNCTION("""COMPUTED_VALUE"""),"")</f>
        <v/>
      </c>
      <c r="G321" t="str">
        <f>IFERROR(__xludf.DUMMYFUNCTION("""COMPUTED_VALUE"""),"")</f>
        <v/>
      </c>
      <c r="H321" t="str">
        <f>IFERROR(__xludf.DUMMYFUNCTION("""COMPUTED_VALUE"""),"")</f>
        <v/>
      </c>
      <c r="I321" t="str">
        <f>IFERROR(__xludf.DUMMYFUNCTION("""COMPUTED_VALUE"""),"")</f>
        <v/>
      </c>
      <c r="J321" t="str">
        <f>IFERROR(__xludf.DUMMYFUNCTION("""COMPUTED_VALUE"""),"")</f>
        <v/>
      </c>
      <c r="K321" t="str">
        <f>IFERROR(__xludf.DUMMYFUNCTION("""COMPUTED_VALUE"""),"")</f>
        <v/>
      </c>
      <c r="L321" t="str">
        <f>IFERROR(__xludf.DUMMYFUNCTION("""COMPUTED_VALUE"""),"")</f>
        <v/>
      </c>
      <c r="M321" t="str">
        <f>IFERROR(__xludf.DUMMYFUNCTION("""COMPUTED_VALUE"""),"")</f>
        <v/>
      </c>
      <c r="N321" t="str">
        <f>IFERROR(__xludf.DUMMYFUNCTION("""COMPUTED_VALUE"""),"")</f>
        <v/>
      </c>
      <c r="O321" t="str">
        <f>IFERROR(__xludf.DUMMYFUNCTION("""COMPUTED_VALUE"""),"")</f>
        <v/>
      </c>
      <c r="P321" t="str">
        <f>IFERROR(__xludf.DUMMYFUNCTION("""COMPUTED_VALUE"""),"")</f>
        <v/>
      </c>
      <c r="Q321" t="str">
        <f>IFERROR(__xludf.DUMMYFUNCTION("""COMPUTED_VALUE"""),"")</f>
        <v/>
      </c>
      <c r="R321" t="str">
        <f>IFERROR(__xludf.DUMMYFUNCTION("""COMPUTED_VALUE"""),"")</f>
        <v/>
      </c>
      <c r="S321" t="str">
        <f>IFERROR(__xludf.DUMMYFUNCTION("""COMPUTED_VALUE"""),"")</f>
        <v/>
      </c>
      <c r="T321">
        <f>IFERROR(__xludf.DUMMYFUNCTION("""COMPUTED_VALUE"""),0.0)</f>
        <v>0</v>
      </c>
    </row>
    <row r="322">
      <c r="A322" t="str">
        <f>IFERROR(__xludf.DUMMYFUNCTION("""COMPUTED_VALUE"""),"Fertility")</f>
        <v>Fertility</v>
      </c>
      <c r="B322" t="str">
        <f>IFERROR(__xludf.DUMMYFUNCTION("""COMPUTED_VALUE"""),"")</f>
        <v/>
      </c>
      <c r="C322" t="str">
        <f>IFERROR(__xludf.DUMMYFUNCTION("""COMPUTED_VALUE"""),"")</f>
        <v/>
      </c>
      <c r="D322" t="str">
        <f>IFERROR(__xludf.DUMMYFUNCTION("""COMPUTED_VALUE"""),"")</f>
        <v/>
      </c>
      <c r="E322" t="str">
        <f>IFERROR(__xludf.DUMMYFUNCTION("""COMPUTED_VALUE"""),"")</f>
        <v/>
      </c>
      <c r="F322" t="str">
        <f>IFERROR(__xludf.DUMMYFUNCTION("""COMPUTED_VALUE"""),"")</f>
        <v/>
      </c>
      <c r="G322" t="str">
        <f>IFERROR(__xludf.DUMMYFUNCTION("""COMPUTED_VALUE"""),"")</f>
        <v/>
      </c>
      <c r="H322" t="str">
        <f>IFERROR(__xludf.DUMMYFUNCTION("""COMPUTED_VALUE"""),"")</f>
        <v/>
      </c>
      <c r="I322" t="str">
        <f>IFERROR(__xludf.DUMMYFUNCTION("""COMPUTED_VALUE"""),"")</f>
        <v/>
      </c>
      <c r="J322" t="str">
        <f>IFERROR(__xludf.DUMMYFUNCTION("""COMPUTED_VALUE"""),"")</f>
        <v/>
      </c>
      <c r="K322" t="str">
        <f>IFERROR(__xludf.DUMMYFUNCTION("""COMPUTED_VALUE"""),"")</f>
        <v/>
      </c>
      <c r="L322" t="str">
        <f>IFERROR(__xludf.DUMMYFUNCTION("""COMPUTED_VALUE"""),"")</f>
        <v/>
      </c>
      <c r="M322" t="str">
        <f>IFERROR(__xludf.DUMMYFUNCTION("""COMPUTED_VALUE"""),"")</f>
        <v/>
      </c>
      <c r="N322" t="str">
        <f>IFERROR(__xludf.DUMMYFUNCTION("""COMPUTED_VALUE"""),"")</f>
        <v/>
      </c>
      <c r="O322" t="str">
        <f>IFERROR(__xludf.DUMMYFUNCTION("""COMPUTED_VALUE"""),"")</f>
        <v/>
      </c>
      <c r="P322" t="str">
        <f>IFERROR(__xludf.DUMMYFUNCTION("""COMPUTED_VALUE"""),"")</f>
        <v/>
      </c>
      <c r="Q322" t="str">
        <f>IFERROR(__xludf.DUMMYFUNCTION("""COMPUTED_VALUE"""),"")</f>
        <v/>
      </c>
      <c r="R322" t="str">
        <f>IFERROR(__xludf.DUMMYFUNCTION("""COMPUTED_VALUE"""),"")</f>
        <v/>
      </c>
      <c r="S322" t="str">
        <f>IFERROR(__xludf.DUMMYFUNCTION("""COMPUTED_VALUE"""),"")</f>
        <v/>
      </c>
      <c r="T322">
        <f>IFERROR(__xludf.DUMMYFUNCTION("""COMPUTED_VALUE"""),0.0)</f>
        <v>0</v>
      </c>
    </row>
    <row r="323">
      <c r="A323" t="str">
        <f>IFERROR(__xludf.DUMMYFUNCTION("""COMPUTED_VALUE"""),"Morbidity")</f>
        <v>Morbidity</v>
      </c>
      <c r="B323" t="str">
        <f>IFERROR(__xludf.DUMMYFUNCTION("""COMPUTED_VALUE"""),"")</f>
        <v/>
      </c>
      <c r="C323" t="str">
        <f>IFERROR(__xludf.DUMMYFUNCTION("""COMPUTED_VALUE"""),"")</f>
        <v/>
      </c>
      <c r="D323" t="str">
        <f>IFERROR(__xludf.DUMMYFUNCTION("""COMPUTED_VALUE"""),"")</f>
        <v/>
      </c>
      <c r="E323" t="str">
        <f>IFERROR(__xludf.DUMMYFUNCTION("""COMPUTED_VALUE"""),"")</f>
        <v/>
      </c>
      <c r="F323" t="str">
        <f>IFERROR(__xludf.DUMMYFUNCTION("""COMPUTED_VALUE"""),"")</f>
        <v/>
      </c>
      <c r="G323" t="str">
        <f>IFERROR(__xludf.DUMMYFUNCTION("""COMPUTED_VALUE"""),"")</f>
        <v/>
      </c>
      <c r="H323" t="str">
        <f>IFERROR(__xludf.DUMMYFUNCTION("""COMPUTED_VALUE"""),"")</f>
        <v/>
      </c>
      <c r="I323" t="str">
        <f>IFERROR(__xludf.DUMMYFUNCTION("""COMPUTED_VALUE"""),"")</f>
        <v/>
      </c>
      <c r="J323" t="str">
        <f>IFERROR(__xludf.DUMMYFUNCTION("""COMPUTED_VALUE"""),"")</f>
        <v/>
      </c>
      <c r="K323" t="str">
        <f>IFERROR(__xludf.DUMMYFUNCTION("""COMPUTED_VALUE"""),"")</f>
        <v/>
      </c>
      <c r="L323" t="str">
        <f>IFERROR(__xludf.DUMMYFUNCTION("""COMPUTED_VALUE"""),"")</f>
        <v/>
      </c>
      <c r="M323" t="str">
        <f>IFERROR(__xludf.DUMMYFUNCTION("""COMPUTED_VALUE"""),"")</f>
        <v/>
      </c>
      <c r="N323" t="str">
        <f>IFERROR(__xludf.DUMMYFUNCTION("""COMPUTED_VALUE"""),"")</f>
        <v/>
      </c>
      <c r="O323" t="str">
        <f>IFERROR(__xludf.DUMMYFUNCTION("""COMPUTED_VALUE"""),"")</f>
        <v/>
      </c>
      <c r="P323" t="str">
        <f>IFERROR(__xludf.DUMMYFUNCTION("""COMPUTED_VALUE"""),"")</f>
        <v/>
      </c>
      <c r="Q323" t="str">
        <f>IFERROR(__xludf.DUMMYFUNCTION("""COMPUTED_VALUE"""),"")</f>
        <v/>
      </c>
      <c r="R323" t="str">
        <f>IFERROR(__xludf.DUMMYFUNCTION("""COMPUTED_VALUE"""),"")</f>
        <v/>
      </c>
      <c r="S323" t="str">
        <f>IFERROR(__xludf.DUMMYFUNCTION("""COMPUTED_VALUE"""),"")</f>
        <v/>
      </c>
      <c r="T323">
        <f>IFERROR(__xludf.DUMMYFUNCTION("""COMPUTED_VALUE"""),0.0)</f>
        <v>0</v>
      </c>
    </row>
    <row r="324">
      <c r="A324" t="str">
        <f>IFERROR(__xludf.DUMMYFUNCTION("""COMPUTED_VALUE"""),"Misc")</f>
        <v>Misc</v>
      </c>
      <c r="B324" t="str">
        <f>IFERROR(__xludf.DUMMYFUNCTION("""COMPUTED_VALUE"""),"")</f>
        <v/>
      </c>
      <c r="C324" t="str">
        <f>IFERROR(__xludf.DUMMYFUNCTION("""COMPUTED_VALUE"""),"")</f>
        <v/>
      </c>
      <c r="D324" t="str">
        <f>IFERROR(__xludf.DUMMYFUNCTION("""COMPUTED_VALUE"""),"")</f>
        <v/>
      </c>
      <c r="E324" t="str">
        <f>IFERROR(__xludf.DUMMYFUNCTION("""COMPUTED_VALUE"""),"")</f>
        <v/>
      </c>
      <c r="F324" t="str">
        <f>IFERROR(__xludf.DUMMYFUNCTION("""COMPUTED_VALUE"""),"")</f>
        <v/>
      </c>
      <c r="G324" t="str">
        <f>IFERROR(__xludf.DUMMYFUNCTION("""COMPUTED_VALUE"""),"")</f>
        <v/>
      </c>
      <c r="H324" t="str">
        <f>IFERROR(__xludf.DUMMYFUNCTION("""COMPUTED_VALUE"""),"")</f>
        <v/>
      </c>
      <c r="I324" t="str">
        <f>IFERROR(__xludf.DUMMYFUNCTION("""COMPUTED_VALUE"""),"")</f>
        <v/>
      </c>
      <c r="J324" t="str">
        <f>IFERROR(__xludf.DUMMYFUNCTION("""COMPUTED_VALUE"""),"")</f>
        <v/>
      </c>
      <c r="K324" t="str">
        <f>IFERROR(__xludf.DUMMYFUNCTION("""COMPUTED_VALUE"""),"")</f>
        <v/>
      </c>
      <c r="L324" t="str">
        <f>IFERROR(__xludf.DUMMYFUNCTION("""COMPUTED_VALUE"""),"")</f>
        <v/>
      </c>
      <c r="M324" t="str">
        <f>IFERROR(__xludf.DUMMYFUNCTION("""COMPUTED_VALUE"""),"")</f>
        <v/>
      </c>
      <c r="N324" t="str">
        <f>IFERROR(__xludf.DUMMYFUNCTION("""COMPUTED_VALUE"""),"")</f>
        <v/>
      </c>
      <c r="O324" t="str">
        <f>IFERROR(__xludf.DUMMYFUNCTION("""COMPUTED_VALUE"""),"")</f>
        <v/>
      </c>
      <c r="P324" t="str">
        <f>IFERROR(__xludf.DUMMYFUNCTION("""COMPUTED_VALUE"""),"")</f>
        <v/>
      </c>
      <c r="Q324" t="str">
        <f>IFERROR(__xludf.DUMMYFUNCTION("""COMPUTED_VALUE"""),"")</f>
        <v/>
      </c>
      <c r="R324" t="str">
        <f>IFERROR(__xludf.DUMMYFUNCTION("""COMPUTED_VALUE"""),"")</f>
        <v/>
      </c>
      <c r="S324" t="str">
        <f>IFERROR(__xludf.DUMMYFUNCTION("""COMPUTED_VALUE"""),"")</f>
        <v/>
      </c>
      <c r="T324">
        <f>IFERROR(__xludf.DUMMYFUNCTION("""COMPUTED_VALUE"""),0.0)</f>
        <v>0</v>
      </c>
    </row>
    <row r="325">
      <c r="A325" t="str">
        <f>IFERROR(__xludf.DUMMYFUNCTION("""COMPUTED_VALUE"""),"Risk Factors")</f>
        <v>Risk Factors</v>
      </c>
      <c r="B325" t="str">
        <f>IFERROR(__xludf.DUMMYFUNCTION("""COMPUTED_VALUE"""),"")</f>
        <v/>
      </c>
      <c r="C325" t="str">
        <f>IFERROR(__xludf.DUMMYFUNCTION("""COMPUTED_VALUE"""),"")</f>
        <v/>
      </c>
      <c r="D325" t="str">
        <f>IFERROR(__xludf.DUMMYFUNCTION("""COMPUTED_VALUE"""),"")</f>
        <v/>
      </c>
      <c r="E325" t="str">
        <f>IFERROR(__xludf.DUMMYFUNCTION("""COMPUTED_VALUE"""),"")</f>
        <v/>
      </c>
      <c r="F325" t="str">
        <f>IFERROR(__xludf.DUMMYFUNCTION("""COMPUTED_VALUE"""),"")</f>
        <v/>
      </c>
      <c r="G325" t="str">
        <f>IFERROR(__xludf.DUMMYFUNCTION("""COMPUTED_VALUE"""),"")</f>
        <v/>
      </c>
      <c r="H325" t="str">
        <f>IFERROR(__xludf.DUMMYFUNCTION("""COMPUTED_VALUE"""),"")</f>
        <v/>
      </c>
      <c r="I325" t="str">
        <f>IFERROR(__xludf.DUMMYFUNCTION("""COMPUTED_VALUE"""),"")</f>
        <v/>
      </c>
      <c r="J325" t="str">
        <f>IFERROR(__xludf.DUMMYFUNCTION("""COMPUTED_VALUE"""),"")</f>
        <v/>
      </c>
      <c r="K325" t="str">
        <f>IFERROR(__xludf.DUMMYFUNCTION("""COMPUTED_VALUE"""),"")</f>
        <v/>
      </c>
      <c r="L325" t="str">
        <f>IFERROR(__xludf.DUMMYFUNCTION("""COMPUTED_VALUE"""),"")</f>
        <v/>
      </c>
      <c r="M325" t="str">
        <f>IFERROR(__xludf.DUMMYFUNCTION("""COMPUTED_VALUE"""),"")</f>
        <v/>
      </c>
      <c r="N325" t="str">
        <f>IFERROR(__xludf.DUMMYFUNCTION("""COMPUTED_VALUE"""),"")</f>
        <v/>
      </c>
      <c r="O325" t="str">
        <f>IFERROR(__xludf.DUMMYFUNCTION("""COMPUTED_VALUE"""),"")</f>
        <v/>
      </c>
      <c r="P325" t="str">
        <f>IFERROR(__xludf.DUMMYFUNCTION("""COMPUTED_VALUE"""),"")</f>
        <v/>
      </c>
      <c r="Q325" t="str">
        <f>IFERROR(__xludf.DUMMYFUNCTION("""COMPUTED_VALUE"""),"")</f>
        <v/>
      </c>
      <c r="R325" t="str">
        <f>IFERROR(__xludf.DUMMYFUNCTION("""COMPUTED_VALUE"""),"")</f>
        <v/>
      </c>
      <c r="S325" t="str">
        <f>IFERROR(__xludf.DUMMYFUNCTION("""COMPUTED_VALUE"""),"")</f>
        <v/>
      </c>
      <c r="T325">
        <f>IFERROR(__xludf.DUMMYFUNCTION("""COMPUTED_VALUE"""),0.0)</f>
        <v>0</v>
      </c>
    </row>
    <row r="326">
      <c r="A326" t="str">
        <f>IFERROR(__xludf.DUMMYFUNCTION("""COMPUTED_VALUE"""),"Nutrition")</f>
        <v>Nutrition</v>
      </c>
      <c r="B326" t="str">
        <f>IFERROR(__xludf.DUMMYFUNCTION("""COMPUTED_VALUE"""),"")</f>
        <v/>
      </c>
      <c r="C326" t="str">
        <f>IFERROR(__xludf.DUMMYFUNCTION("""COMPUTED_VALUE"""),"")</f>
        <v/>
      </c>
      <c r="D326" t="str">
        <f>IFERROR(__xludf.DUMMYFUNCTION("""COMPUTED_VALUE"""),"")</f>
        <v/>
      </c>
      <c r="E326" t="str">
        <f>IFERROR(__xludf.DUMMYFUNCTION("""COMPUTED_VALUE"""),"")</f>
        <v/>
      </c>
      <c r="F326" t="str">
        <f>IFERROR(__xludf.DUMMYFUNCTION("""COMPUTED_VALUE"""),"")</f>
        <v/>
      </c>
      <c r="G326" t="str">
        <f>IFERROR(__xludf.DUMMYFUNCTION("""COMPUTED_VALUE"""),"")</f>
        <v/>
      </c>
      <c r="H326" t="str">
        <f>IFERROR(__xludf.DUMMYFUNCTION("""COMPUTED_VALUE"""),"")</f>
        <v/>
      </c>
      <c r="I326" t="str">
        <f>IFERROR(__xludf.DUMMYFUNCTION("""COMPUTED_VALUE"""),"")</f>
        <v/>
      </c>
      <c r="J326" t="str">
        <f>IFERROR(__xludf.DUMMYFUNCTION("""COMPUTED_VALUE"""),"")</f>
        <v/>
      </c>
      <c r="K326" t="str">
        <f>IFERROR(__xludf.DUMMYFUNCTION("""COMPUTED_VALUE"""),"")</f>
        <v/>
      </c>
      <c r="L326" t="str">
        <f>IFERROR(__xludf.DUMMYFUNCTION("""COMPUTED_VALUE"""),"")</f>
        <v/>
      </c>
      <c r="M326" t="str">
        <f>IFERROR(__xludf.DUMMYFUNCTION("""COMPUTED_VALUE"""),"")</f>
        <v/>
      </c>
      <c r="N326" t="str">
        <f>IFERROR(__xludf.DUMMYFUNCTION("""COMPUTED_VALUE"""),"")</f>
        <v/>
      </c>
      <c r="O326" t="str">
        <f>IFERROR(__xludf.DUMMYFUNCTION("""COMPUTED_VALUE"""),"")</f>
        <v/>
      </c>
      <c r="P326" t="str">
        <f>IFERROR(__xludf.DUMMYFUNCTION("""COMPUTED_VALUE"""),"")</f>
        <v/>
      </c>
      <c r="Q326" t="str">
        <f>IFERROR(__xludf.DUMMYFUNCTION("""COMPUTED_VALUE"""),"")</f>
        <v/>
      </c>
      <c r="R326" t="str">
        <f>IFERROR(__xludf.DUMMYFUNCTION("""COMPUTED_VALUE"""),"")</f>
        <v/>
      </c>
      <c r="S326" t="str">
        <f>IFERROR(__xludf.DUMMYFUNCTION("""COMPUTED_VALUE"""),"")</f>
        <v/>
      </c>
      <c r="T326">
        <f>IFERROR(__xludf.DUMMYFUNCTION("""COMPUTED_VALUE"""),0.0)</f>
        <v>0</v>
      </c>
    </row>
    <row r="327">
      <c r="A327" t="str">
        <f>IFERROR(__xludf.DUMMYFUNCTION("""COMPUTED_VALUE"""),"Infections")</f>
        <v>Infections</v>
      </c>
      <c r="B327" t="str">
        <f>IFERROR(__xludf.DUMMYFUNCTION("""COMPUTED_VALUE"""),"")</f>
        <v/>
      </c>
      <c r="C327" t="str">
        <f>IFERROR(__xludf.DUMMYFUNCTION("""COMPUTED_VALUE"""),"")</f>
        <v/>
      </c>
      <c r="D327" t="str">
        <f>IFERROR(__xludf.DUMMYFUNCTION("""COMPUTED_VALUE"""),"")</f>
        <v/>
      </c>
      <c r="E327" t="str">
        <f>IFERROR(__xludf.DUMMYFUNCTION("""COMPUTED_VALUE"""),"")</f>
        <v/>
      </c>
      <c r="F327" t="str">
        <f>IFERROR(__xludf.DUMMYFUNCTION("""COMPUTED_VALUE"""),"")</f>
        <v/>
      </c>
      <c r="G327" t="str">
        <f>IFERROR(__xludf.DUMMYFUNCTION("""COMPUTED_VALUE"""),"")</f>
        <v/>
      </c>
      <c r="H327" t="str">
        <f>IFERROR(__xludf.DUMMYFUNCTION("""COMPUTED_VALUE"""),"")</f>
        <v/>
      </c>
      <c r="I327" t="str">
        <f>IFERROR(__xludf.DUMMYFUNCTION("""COMPUTED_VALUE"""),"")</f>
        <v/>
      </c>
      <c r="J327" t="str">
        <f>IFERROR(__xludf.DUMMYFUNCTION("""COMPUTED_VALUE"""),"")</f>
        <v/>
      </c>
      <c r="K327" t="str">
        <f>IFERROR(__xludf.DUMMYFUNCTION("""COMPUTED_VALUE"""),"")</f>
        <v/>
      </c>
      <c r="L327" t="str">
        <f>IFERROR(__xludf.DUMMYFUNCTION("""COMPUTED_VALUE"""),"")</f>
        <v/>
      </c>
      <c r="M327" t="str">
        <f>IFERROR(__xludf.DUMMYFUNCTION("""COMPUTED_VALUE"""),"")</f>
        <v/>
      </c>
      <c r="N327" t="str">
        <f>IFERROR(__xludf.DUMMYFUNCTION("""COMPUTED_VALUE"""),"")</f>
        <v/>
      </c>
      <c r="O327" t="str">
        <f>IFERROR(__xludf.DUMMYFUNCTION("""COMPUTED_VALUE"""),"")</f>
        <v/>
      </c>
      <c r="P327" t="str">
        <f>IFERROR(__xludf.DUMMYFUNCTION("""COMPUTED_VALUE"""),"")</f>
        <v/>
      </c>
      <c r="Q327" t="str">
        <f>IFERROR(__xludf.DUMMYFUNCTION("""COMPUTED_VALUE"""),"")</f>
        <v/>
      </c>
      <c r="R327" t="str">
        <f>IFERROR(__xludf.DUMMYFUNCTION("""COMPUTED_VALUE"""),"")</f>
        <v/>
      </c>
      <c r="S327" t="str">
        <f>IFERROR(__xludf.DUMMYFUNCTION("""COMPUTED_VALUE"""),"")</f>
        <v/>
      </c>
      <c r="T327">
        <f>IFERROR(__xludf.DUMMYFUNCTION("""COMPUTED_VALUE"""),0.0)</f>
        <v>0</v>
      </c>
    </row>
    <row r="328">
      <c r="A328" t="str">
        <f>IFERROR(__xludf.DUMMYFUNCTION("""COMPUTED_VALUE"""),"Environmental risk factors")</f>
        <v>Environmental risk factors</v>
      </c>
      <c r="B328" t="str">
        <f>IFERROR(__xludf.DUMMYFUNCTION("""COMPUTED_VALUE"""),"")</f>
        <v/>
      </c>
      <c r="C328" t="str">
        <f>IFERROR(__xludf.DUMMYFUNCTION("""COMPUTED_VALUE"""),"")</f>
        <v/>
      </c>
      <c r="D328" t="str">
        <f>IFERROR(__xludf.DUMMYFUNCTION("""COMPUTED_VALUE"""),"")</f>
        <v/>
      </c>
      <c r="E328" t="str">
        <f>IFERROR(__xludf.DUMMYFUNCTION("""COMPUTED_VALUE"""),"")</f>
        <v/>
      </c>
      <c r="F328" t="str">
        <f>IFERROR(__xludf.DUMMYFUNCTION("""COMPUTED_VALUE"""),"")</f>
        <v/>
      </c>
      <c r="G328" t="str">
        <f>IFERROR(__xludf.DUMMYFUNCTION("""COMPUTED_VALUE"""),"")</f>
        <v/>
      </c>
      <c r="H328" t="str">
        <f>IFERROR(__xludf.DUMMYFUNCTION("""COMPUTED_VALUE"""),"")</f>
        <v/>
      </c>
      <c r="I328" t="str">
        <f>IFERROR(__xludf.DUMMYFUNCTION("""COMPUTED_VALUE"""),"")</f>
        <v/>
      </c>
      <c r="J328" t="str">
        <f>IFERROR(__xludf.DUMMYFUNCTION("""COMPUTED_VALUE"""),"")</f>
        <v/>
      </c>
      <c r="K328" t="str">
        <f>IFERROR(__xludf.DUMMYFUNCTION("""COMPUTED_VALUE"""),"")</f>
        <v/>
      </c>
      <c r="L328" t="str">
        <f>IFERROR(__xludf.DUMMYFUNCTION("""COMPUTED_VALUE"""),"")</f>
        <v/>
      </c>
      <c r="M328" t="str">
        <f>IFERROR(__xludf.DUMMYFUNCTION("""COMPUTED_VALUE"""),"")</f>
        <v/>
      </c>
      <c r="N328" t="str">
        <f>IFERROR(__xludf.DUMMYFUNCTION("""COMPUTED_VALUE"""),"")</f>
        <v/>
      </c>
      <c r="O328" t="str">
        <f>IFERROR(__xludf.DUMMYFUNCTION("""COMPUTED_VALUE"""),"")</f>
        <v/>
      </c>
      <c r="P328" t="str">
        <f>IFERROR(__xludf.DUMMYFUNCTION("""COMPUTED_VALUE"""),"")</f>
        <v/>
      </c>
      <c r="Q328" t="str">
        <f>IFERROR(__xludf.DUMMYFUNCTION("""COMPUTED_VALUE"""),"")</f>
        <v/>
      </c>
      <c r="R328" t="str">
        <f>IFERROR(__xludf.DUMMYFUNCTION("""COMPUTED_VALUE"""),"")</f>
        <v/>
      </c>
      <c r="S328" t="str">
        <f>IFERROR(__xludf.DUMMYFUNCTION("""COMPUTED_VALUE"""),"")</f>
        <v/>
      </c>
      <c r="T328">
        <f>IFERROR(__xludf.DUMMYFUNCTION("""COMPUTED_VALUE"""),0.0)</f>
        <v>0</v>
      </c>
    </row>
    <row r="329">
      <c r="A329" t="str">
        <f>IFERROR(__xludf.DUMMYFUNCTION("""COMPUTED_VALUE"""),"Noncommunicable diseases")</f>
        <v>Noncommunicable diseases</v>
      </c>
      <c r="B329" t="str">
        <f>IFERROR(__xludf.DUMMYFUNCTION("""COMPUTED_VALUE"""),"")</f>
        <v/>
      </c>
      <c r="C329" t="str">
        <f>IFERROR(__xludf.DUMMYFUNCTION("""COMPUTED_VALUE"""),"")</f>
        <v/>
      </c>
      <c r="D329" t="str">
        <f>IFERROR(__xludf.DUMMYFUNCTION("""COMPUTED_VALUE"""),"")</f>
        <v/>
      </c>
      <c r="E329" t="str">
        <f>IFERROR(__xludf.DUMMYFUNCTION("""COMPUTED_VALUE"""),"")</f>
        <v/>
      </c>
      <c r="F329" t="str">
        <f>IFERROR(__xludf.DUMMYFUNCTION("""COMPUTED_VALUE"""),"")</f>
        <v/>
      </c>
      <c r="G329" t="str">
        <f>IFERROR(__xludf.DUMMYFUNCTION("""COMPUTED_VALUE"""),"")</f>
        <v/>
      </c>
      <c r="H329" t="str">
        <f>IFERROR(__xludf.DUMMYFUNCTION("""COMPUTED_VALUE"""),"")</f>
        <v/>
      </c>
      <c r="I329" t="str">
        <f>IFERROR(__xludf.DUMMYFUNCTION("""COMPUTED_VALUE"""),"")</f>
        <v/>
      </c>
      <c r="J329" t="str">
        <f>IFERROR(__xludf.DUMMYFUNCTION("""COMPUTED_VALUE"""),"")</f>
        <v/>
      </c>
      <c r="K329" t="str">
        <f>IFERROR(__xludf.DUMMYFUNCTION("""COMPUTED_VALUE"""),"")</f>
        <v/>
      </c>
      <c r="L329" t="str">
        <f>IFERROR(__xludf.DUMMYFUNCTION("""COMPUTED_VALUE"""),"")</f>
        <v/>
      </c>
      <c r="M329" t="str">
        <f>IFERROR(__xludf.DUMMYFUNCTION("""COMPUTED_VALUE"""),"")</f>
        <v/>
      </c>
      <c r="N329" t="str">
        <f>IFERROR(__xludf.DUMMYFUNCTION("""COMPUTED_VALUE"""),"")</f>
        <v/>
      </c>
      <c r="O329" t="str">
        <f>IFERROR(__xludf.DUMMYFUNCTION("""COMPUTED_VALUE"""),"")</f>
        <v/>
      </c>
      <c r="P329" t="str">
        <f>IFERROR(__xludf.DUMMYFUNCTION("""COMPUTED_VALUE"""),"")</f>
        <v/>
      </c>
      <c r="Q329" t="str">
        <f>IFERROR(__xludf.DUMMYFUNCTION("""COMPUTED_VALUE"""),"")</f>
        <v/>
      </c>
      <c r="R329" t="str">
        <f>IFERROR(__xludf.DUMMYFUNCTION("""COMPUTED_VALUE"""),"")</f>
        <v/>
      </c>
      <c r="S329" t="str">
        <f>IFERROR(__xludf.DUMMYFUNCTION("""COMPUTED_VALUE"""),"")</f>
        <v/>
      </c>
      <c r="T329">
        <f>IFERROR(__xludf.DUMMYFUNCTION("""COMPUTED_VALUE"""),0.0)</f>
        <v>0</v>
      </c>
    </row>
    <row r="330">
      <c r="A330" t="str">
        <f>IFERROR(__xludf.DUMMYFUNCTION("""COMPUTED_VALUE"""),"Injuries/harmful traditional (cultural) practices")</f>
        <v>Injuries/harmful traditional (cultural) practices</v>
      </c>
      <c r="B330" t="str">
        <f>IFERROR(__xludf.DUMMYFUNCTION("""COMPUTED_VALUE"""),"")</f>
        <v/>
      </c>
      <c r="C330" t="str">
        <f>IFERROR(__xludf.DUMMYFUNCTION("""COMPUTED_VALUE"""),"")</f>
        <v/>
      </c>
      <c r="D330" t="str">
        <f>IFERROR(__xludf.DUMMYFUNCTION("""COMPUTED_VALUE"""),"")</f>
        <v/>
      </c>
      <c r="E330" t="str">
        <f>IFERROR(__xludf.DUMMYFUNCTION("""COMPUTED_VALUE"""),"")</f>
        <v/>
      </c>
      <c r="F330" t="str">
        <f>IFERROR(__xludf.DUMMYFUNCTION("""COMPUTED_VALUE"""),"")</f>
        <v/>
      </c>
      <c r="G330" t="str">
        <f>IFERROR(__xludf.DUMMYFUNCTION("""COMPUTED_VALUE"""),"")</f>
        <v/>
      </c>
      <c r="H330" t="str">
        <f>IFERROR(__xludf.DUMMYFUNCTION("""COMPUTED_VALUE"""),"")</f>
        <v/>
      </c>
      <c r="I330" t="str">
        <f>IFERROR(__xludf.DUMMYFUNCTION("""COMPUTED_VALUE"""),"")</f>
        <v/>
      </c>
      <c r="J330" t="str">
        <f>IFERROR(__xludf.DUMMYFUNCTION("""COMPUTED_VALUE"""),"")</f>
        <v/>
      </c>
      <c r="K330" t="str">
        <f>IFERROR(__xludf.DUMMYFUNCTION("""COMPUTED_VALUE"""),"")</f>
        <v/>
      </c>
      <c r="L330" t="str">
        <f>IFERROR(__xludf.DUMMYFUNCTION("""COMPUTED_VALUE"""),"")</f>
        <v/>
      </c>
      <c r="M330" t="str">
        <f>IFERROR(__xludf.DUMMYFUNCTION("""COMPUTED_VALUE"""),"")</f>
        <v/>
      </c>
      <c r="N330" t="str">
        <f>IFERROR(__xludf.DUMMYFUNCTION("""COMPUTED_VALUE"""),"")</f>
        <v/>
      </c>
      <c r="O330" t="str">
        <f>IFERROR(__xludf.DUMMYFUNCTION("""COMPUTED_VALUE"""),"")</f>
        <v/>
      </c>
      <c r="P330" t="str">
        <f>IFERROR(__xludf.DUMMYFUNCTION("""COMPUTED_VALUE"""),"")</f>
        <v/>
      </c>
      <c r="Q330" t="str">
        <f>IFERROR(__xludf.DUMMYFUNCTION("""COMPUTED_VALUE"""),"")</f>
        <v/>
      </c>
      <c r="R330" t="str">
        <f>IFERROR(__xludf.DUMMYFUNCTION("""COMPUTED_VALUE"""),"")</f>
        <v/>
      </c>
      <c r="S330" t="str">
        <f>IFERROR(__xludf.DUMMYFUNCTION("""COMPUTED_VALUE"""),"")</f>
        <v/>
      </c>
      <c r="T330">
        <f>IFERROR(__xludf.DUMMYFUNCTION("""COMPUTED_VALUE"""),0.0)</f>
        <v>0</v>
      </c>
    </row>
    <row r="331">
      <c r="A331" t="str">
        <f>IFERROR(__xludf.DUMMYFUNCTION("""COMPUTED_VALUE"""),"Incarceration rate")</f>
        <v>Incarceration rate</v>
      </c>
      <c r="B331" t="str">
        <f>IFERROR(__xludf.DUMMYFUNCTION("""COMPUTED_VALUE"""),"")</f>
        <v/>
      </c>
      <c r="C331" t="str">
        <f>IFERROR(__xludf.DUMMYFUNCTION("""COMPUTED_VALUE"""),"")</f>
        <v/>
      </c>
      <c r="D331" t="str">
        <f>IFERROR(__xludf.DUMMYFUNCTION("""COMPUTED_VALUE"""),"")</f>
        <v/>
      </c>
      <c r="E331" t="str">
        <f>IFERROR(__xludf.DUMMYFUNCTION("""COMPUTED_VALUE"""),"")</f>
        <v/>
      </c>
      <c r="F331" t="str">
        <f>IFERROR(__xludf.DUMMYFUNCTION("""COMPUTED_VALUE"""),"")</f>
        <v/>
      </c>
      <c r="G331" t="str">
        <f>IFERROR(__xludf.DUMMYFUNCTION("""COMPUTED_VALUE"""),"")</f>
        <v/>
      </c>
      <c r="H331" t="str">
        <f>IFERROR(__xludf.DUMMYFUNCTION("""COMPUTED_VALUE"""),"")</f>
        <v/>
      </c>
      <c r="I331" t="str">
        <f>IFERROR(__xludf.DUMMYFUNCTION("""COMPUTED_VALUE"""),"")</f>
        <v/>
      </c>
      <c r="J331" t="str">
        <f>IFERROR(__xludf.DUMMYFUNCTION("""COMPUTED_VALUE"""),"")</f>
        <v/>
      </c>
      <c r="K331" t="str">
        <f>IFERROR(__xludf.DUMMYFUNCTION("""COMPUTED_VALUE"""),"")</f>
        <v/>
      </c>
      <c r="L331" t="str">
        <f>IFERROR(__xludf.DUMMYFUNCTION("""COMPUTED_VALUE"""),"")</f>
        <v/>
      </c>
      <c r="M331" t="str">
        <f>IFERROR(__xludf.DUMMYFUNCTION("""COMPUTED_VALUE"""),"")</f>
        <v/>
      </c>
      <c r="N331" t="str">
        <f>IFERROR(__xludf.DUMMYFUNCTION("""COMPUTED_VALUE"""),"")</f>
        <v/>
      </c>
      <c r="O331" t="str">
        <f>IFERROR(__xludf.DUMMYFUNCTION("""COMPUTED_VALUE"""),"")</f>
        <v/>
      </c>
      <c r="P331" t="str">
        <f>IFERROR(__xludf.DUMMYFUNCTION("""COMPUTED_VALUE"""),"")</f>
        <v/>
      </c>
      <c r="Q331" t="str">
        <f>IFERROR(__xludf.DUMMYFUNCTION("""COMPUTED_VALUE"""),"")</f>
        <v/>
      </c>
      <c r="R331" t="str">
        <f>IFERROR(__xludf.DUMMYFUNCTION("""COMPUTED_VALUE"""),"")</f>
        <v/>
      </c>
      <c r="S331" t="str">
        <f>IFERROR(__xludf.DUMMYFUNCTION("""COMPUTED_VALUE"""),"")</f>
        <v/>
      </c>
      <c r="T331">
        <f>IFERROR(__xludf.DUMMYFUNCTION("""COMPUTED_VALUE"""),0.0)</f>
        <v>0</v>
      </c>
    </row>
    <row r="332">
      <c r="A332" t="str">
        <f>IFERROR(__xludf.DUMMYFUNCTION("""COMPUTED_VALUE"""),"Family separation")</f>
        <v>Family separation</v>
      </c>
      <c r="B332" t="str">
        <f>IFERROR(__xludf.DUMMYFUNCTION("""COMPUTED_VALUE"""),"")</f>
        <v/>
      </c>
      <c r="C332" t="str">
        <f>IFERROR(__xludf.DUMMYFUNCTION("""COMPUTED_VALUE"""),"")</f>
        <v/>
      </c>
      <c r="D332" t="str">
        <f>IFERROR(__xludf.DUMMYFUNCTION("""COMPUTED_VALUE"""),"")</f>
        <v/>
      </c>
      <c r="E332" t="str">
        <f>IFERROR(__xludf.DUMMYFUNCTION("""COMPUTED_VALUE"""),"")</f>
        <v/>
      </c>
      <c r="F332" t="str">
        <f>IFERROR(__xludf.DUMMYFUNCTION("""COMPUTED_VALUE"""),"")</f>
        <v/>
      </c>
      <c r="G332" t="str">
        <f>IFERROR(__xludf.DUMMYFUNCTION("""COMPUTED_VALUE"""),"")</f>
        <v/>
      </c>
      <c r="H332" t="str">
        <f>IFERROR(__xludf.DUMMYFUNCTION("""COMPUTED_VALUE"""),"")</f>
        <v/>
      </c>
      <c r="I332" t="str">
        <f>IFERROR(__xludf.DUMMYFUNCTION("""COMPUTED_VALUE"""),"")</f>
        <v/>
      </c>
      <c r="J332" t="str">
        <f>IFERROR(__xludf.DUMMYFUNCTION("""COMPUTED_VALUE"""),"")</f>
        <v/>
      </c>
      <c r="K332" t="str">
        <f>IFERROR(__xludf.DUMMYFUNCTION("""COMPUTED_VALUE"""),"")</f>
        <v/>
      </c>
      <c r="L332" t="str">
        <f>IFERROR(__xludf.DUMMYFUNCTION("""COMPUTED_VALUE"""),"")</f>
        <v/>
      </c>
      <c r="M332" t="str">
        <f>IFERROR(__xludf.DUMMYFUNCTION("""COMPUTED_VALUE"""),"")</f>
        <v/>
      </c>
      <c r="N332" t="str">
        <f>IFERROR(__xludf.DUMMYFUNCTION("""COMPUTED_VALUE"""),"")</f>
        <v/>
      </c>
      <c r="O332" t="str">
        <f>IFERROR(__xludf.DUMMYFUNCTION("""COMPUTED_VALUE"""),"")</f>
        <v/>
      </c>
      <c r="P332" t="str">
        <f>IFERROR(__xludf.DUMMYFUNCTION("""COMPUTED_VALUE"""),"")</f>
        <v/>
      </c>
      <c r="Q332" t="str">
        <f>IFERROR(__xludf.DUMMYFUNCTION("""COMPUTED_VALUE"""),"")</f>
        <v/>
      </c>
      <c r="R332" t="str">
        <f>IFERROR(__xludf.DUMMYFUNCTION("""COMPUTED_VALUE"""),"")</f>
        <v/>
      </c>
      <c r="S332" t="str">
        <f>IFERROR(__xludf.DUMMYFUNCTION("""COMPUTED_VALUE"""),"")</f>
        <v/>
      </c>
      <c r="T332">
        <f>IFERROR(__xludf.DUMMYFUNCTION("""COMPUTED_VALUE"""),0.0)</f>
        <v>0</v>
      </c>
    </row>
    <row r="333">
      <c r="A333" t="str">
        <f>IFERROR(__xludf.DUMMYFUNCTION("""COMPUTED_VALUE"""),"Human trafficking")</f>
        <v>Human trafficking</v>
      </c>
      <c r="B333" t="str">
        <f>IFERROR(__xludf.DUMMYFUNCTION("""COMPUTED_VALUE"""),"")</f>
        <v/>
      </c>
      <c r="C333" t="str">
        <f>IFERROR(__xludf.DUMMYFUNCTION("""COMPUTED_VALUE"""),"")</f>
        <v/>
      </c>
      <c r="D333" t="str">
        <f>IFERROR(__xludf.DUMMYFUNCTION("""COMPUTED_VALUE"""),"")</f>
        <v/>
      </c>
      <c r="E333" t="str">
        <f>IFERROR(__xludf.DUMMYFUNCTION("""COMPUTED_VALUE"""),"")</f>
        <v/>
      </c>
      <c r="F333" t="str">
        <f>IFERROR(__xludf.DUMMYFUNCTION("""COMPUTED_VALUE"""),"")</f>
        <v/>
      </c>
      <c r="G333" t="str">
        <f>IFERROR(__xludf.DUMMYFUNCTION("""COMPUTED_VALUE"""),"")</f>
        <v/>
      </c>
      <c r="H333" t="str">
        <f>IFERROR(__xludf.DUMMYFUNCTION("""COMPUTED_VALUE"""),"")</f>
        <v/>
      </c>
      <c r="I333" t="str">
        <f>IFERROR(__xludf.DUMMYFUNCTION("""COMPUTED_VALUE"""),"")</f>
        <v/>
      </c>
      <c r="J333" t="str">
        <f>IFERROR(__xludf.DUMMYFUNCTION("""COMPUTED_VALUE"""),"")</f>
        <v/>
      </c>
      <c r="K333" t="str">
        <f>IFERROR(__xludf.DUMMYFUNCTION("""COMPUTED_VALUE"""),"")</f>
        <v/>
      </c>
      <c r="L333" t="str">
        <f>IFERROR(__xludf.DUMMYFUNCTION("""COMPUTED_VALUE"""),"")</f>
        <v/>
      </c>
      <c r="M333" t="str">
        <f>IFERROR(__xludf.DUMMYFUNCTION("""COMPUTED_VALUE"""),"")</f>
        <v/>
      </c>
      <c r="N333" t="str">
        <f>IFERROR(__xludf.DUMMYFUNCTION("""COMPUTED_VALUE"""),"")</f>
        <v/>
      </c>
      <c r="O333" t="str">
        <f>IFERROR(__xludf.DUMMYFUNCTION("""COMPUTED_VALUE"""),"")</f>
        <v/>
      </c>
      <c r="P333" t="str">
        <f>IFERROR(__xludf.DUMMYFUNCTION("""COMPUTED_VALUE"""),"")</f>
        <v/>
      </c>
      <c r="Q333" t="str">
        <f>IFERROR(__xludf.DUMMYFUNCTION("""COMPUTED_VALUE"""),"")</f>
        <v/>
      </c>
      <c r="R333" t="str">
        <f>IFERROR(__xludf.DUMMYFUNCTION("""COMPUTED_VALUE"""),"")</f>
        <v/>
      </c>
      <c r="S333" t="str">
        <f>IFERROR(__xludf.DUMMYFUNCTION("""COMPUTED_VALUE"""),"")</f>
        <v/>
      </c>
      <c r="T333">
        <f>IFERROR(__xludf.DUMMYFUNCTION("""COMPUTED_VALUE"""),0.0)</f>
        <v>0</v>
      </c>
    </row>
    <row r="334">
      <c r="A334" t="str">
        <f>IFERROR(__xludf.DUMMYFUNCTION("""COMPUTED_VALUE"""),"Service coverage")</f>
        <v>Service coverage</v>
      </c>
      <c r="B334" t="str">
        <f>IFERROR(__xludf.DUMMYFUNCTION("""COMPUTED_VALUE"""),"")</f>
        <v/>
      </c>
      <c r="C334" t="str">
        <f>IFERROR(__xludf.DUMMYFUNCTION("""COMPUTED_VALUE"""),"")</f>
        <v/>
      </c>
      <c r="D334" t="str">
        <f>IFERROR(__xludf.DUMMYFUNCTION("""COMPUTED_VALUE"""),"")</f>
        <v/>
      </c>
      <c r="E334" t="str">
        <f>IFERROR(__xludf.DUMMYFUNCTION("""COMPUTED_VALUE"""),"")</f>
        <v/>
      </c>
      <c r="F334" t="str">
        <f>IFERROR(__xludf.DUMMYFUNCTION("""COMPUTED_VALUE"""),"")</f>
        <v/>
      </c>
      <c r="G334" t="str">
        <f>IFERROR(__xludf.DUMMYFUNCTION("""COMPUTED_VALUE"""),"")</f>
        <v/>
      </c>
      <c r="H334" t="str">
        <f>IFERROR(__xludf.DUMMYFUNCTION("""COMPUTED_VALUE"""),"")</f>
        <v/>
      </c>
      <c r="I334" t="str">
        <f>IFERROR(__xludf.DUMMYFUNCTION("""COMPUTED_VALUE"""),"")</f>
        <v/>
      </c>
      <c r="J334" t="str">
        <f>IFERROR(__xludf.DUMMYFUNCTION("""COMPUTED_VALUE"""),"")</f>
        <v/>
      </c>
      <c r="K334" t="str">
        <f>IFERROR(__xludf.DUMMYFUNCTION("""COMPUTED_VALUE"""),"")</f>
        <v/>
      </c>
      <c r="L334" t="str">
        <f>IFERROR(__xludf.DUMMYFUNCTION("""COMPUTED_VALUE"""),"")</f>
        <v/>
      </c>
      <c r="M334" t="str">
        <f>IFERROR(__xludf.DUMMYFUNCTION("""COMPUTED_VALUE"""),"")</f>
        <v/>
      </c>
      <c r="N334" t="str">
        <f>IFERROR(__xludf.DUMMYFUNCTION("""COMPUTED_VALUE"""),"")</f>
        <v/>
      </c>
      <c r="O334" t="str">
        <f>IFERROR(__xludf.DUMMYFUNCTION("""COMPUTED_VALUE"""),"")</f>
        <v/>
      </c>
      <c r="P334" t="str">
        <f>IFERROR(__xludf.DUMMYFUNCTION("""COMPUTED_VALUE"""),"")</f>
        <v/>
      </c>
      <c r="Q334" t="str">
        <f>IFERROR(__xludf.DUMMYFUNCTION("""COMPUTED_VALUE"""),"")</f>
        <v/>
      </c>
      <c r="R334" t="str">
        <f>IFERROR(__xludf.DUMMYFUNCTION("""COMPUTED_VALUE"""),"")</f>
        <v/>
      </c>
      <c r="S334" t="str">
        <f>IFERROR(__xludf.DUMMYFUNCTION("""COMPUTED_VALUE"""),"")</f>
        <v/>
      </c>
      <c r="T334">
        <f>IFERROR(__xludf.DUMMYFUNCTION("""COMPUTED_VALUE"""),0.0)</f>
        <v>0</v>
      </c>
    </row>
    <row r="335">
      <c r="A335" t="str">
        <f>IFERROR(__xludf.DUMMYFUNCTION("""COMPUTED_VALUE"""),"Reproductive, maternal, newborn, child, and adolescent")</f>
        <v>Reproductive, maternal, newborn, child, and adolescent</v>
      </c>
      <c r="B335" t="str">
        <f>IFERROR(__xludf.DUMMYFUNCTION("""COMPUTED_VALUE"""),"")</f>
        <v/>
      </c>
      <c r="C335" t="str">
        <f>IFERROR(__xludf.DUMMYFUNCTION("""COMPUTED_VALUE"""),"")</f>
        <v/>
      </c>
      <c r="D335" t="str">
        <f>IFERROR(__xludf.DUMMYFUNCTION("""COMPUTED_VALUE"""),"")</f>
        <v/>
      </c>
      <c r="E335" t="str">
        <f>IFERROR(__xludf.DUMMYFUNCTION("""COMPUTED_VALUE"""),"")</f>
        <v/>
      </c>
      <c r="F335" t="str">
        <f>IFERROR(__xludf.DUMMYFUNCTION("""COMPUTED_VALUE"""),"")</f>
        <v/>
      </c>
      <c r="G335" t="str">
        <f>IFERROR(__xludf.DUMMYFUNCTION("""COMPUTED_VALUE"""),"")</f>
        <v/>
      </c>
      <c r="H335" t="str">
        <f>IFERROR(__xludf.DUMMYFUNCTION("""COMPUTED_VALUE"""),"")</f>
        <v/>
      </c>
      <c r="I335" t="str">
        <f>IFERROR(__xludf.DUMMYFUNCTION("""COMPUTED_VALUE"""),"")</f>
        <v/>
      </c>
      <c r="J335" t="str">
        <f>IFERROR(__xludf.DUMMYFUNCTION("""COMPUTED_VALUE"""),"")</f>
        <v/>
      </c>
      <c r="K335" t="str">
        <f>IFERROR(__xludf.DUMMYFUNCTION("""COMPUTED_VALUE"""),"")</f>
        <v/>
      </c>
      <c r="L335" t="str">
        <f>IFERROR(__xludf.DUMMYFUNCTION("""COMPUTED_VALUE"""),"")</f>
        <v/>
      </c>
      <c r="M335" t="str">
        <f>IFERROR(__xludf.DUMMYFUNCTION("""COMPUTED_VALUE"""),"")</f>
        <v/>
      </c>
      <c r="N335" t="str">
        <f>IFERROR(__xludf.DUMMYFUNCTION("""COMPUTED_VALUE"""),"")</f>
        <v/>
      </c>
      <c r="O335" t="str">
        <f>IFERROR(__xludf.DUMMYFUNCTION("""COMPUTED_VALUE"""),"")</f>
        <v/>
      </c>
      <c r="P335" t="str">
        <f>IFERROR(__xludf.DUMMYFUNCTION("""COMPUTED_VALUE"""),"")</f>
        <v/>
      </c>
      <c r="Q335" t="str">
        <f>IFERROR(__xludf.DUMMYFUNCTION("""COMPUTED_VALUE"""),"")</f>
        <v/>
      </c>
      <c r="R335" t="str">
        <f>IFERROR(__xludf.DUMMYFUNCTION("""COMPUTED_VALUE"""),"")</f>
        <v/>
      </c>
      <c r="S335" t="str">
        <f>IFERROR(__xludf.DUMMYFUNCTION("""COMPUTED_VALUE"""),"")</f>
        <v/>
      </c>
      <c r="T335">
        <f>IFERROR(__xludf.DUMMYFUNCTION("""COMPUTED_VALUE"""),0.0)</f>
        <v>0</v>
      </c>
    </row>
    <row r="336">
      <c r="A336" t="str">
        <f>IFERROR(__xludf.DUMMYFUNCTION("""COMPUTED_VALUE"""),"Immunization")</f>
        <v>Immunization</v>
      </c>
      <c r="B336" t="str">
        <f>IFERROR(__xludf.DUMMYFUNCTION("""COMPUTED_VALUE"""),"")</f>
        <v/>
      </c>
      <c r="C336" t="str">
        <f>IFERROR(__xludf.DUMMYFUNCTION("""COMPUTED_VALUE"""),"")</f>
        <v/>
      </c>
      <c r="D336" t="str">
        <f>IFERROR(__xludf.DUMMYFUNCTION("""COMPUTED_VALUE"""),"")</f>
        <v/>
      </c>
      <c r="E336" t="str">
        <f>IFERROR(__xludf.DUMMYFUNCTION("""COMPUTED_VALUE"""),"")</f>
        <v/>
      </c>
      <c r="F336" t="str">
        <f>IFERROR(__xludf.DUMMYFUNCTION("""COMPUTED_VALUE"""),"")</f>
        <v/>
      </c>
      <c r="G336" t="str">
        <f>IFERROR(__xludf.DUMMYFUNCTION("""COMPUTED_VALUE"""),"")</f>
        <v/>
      </c>
      <c r="H336" t="str">
        <f>IFERROR(__xludf.DUMMYFUNCTION("""COMPUTED_VALUE"""),"")</f>
        <v/>
      </c>
      <c r="I336" t="str">
        <f>IFERROR(__xludf.DUMMYFUNCTION("""COMPUTED_VALUE"""),"")</f>
        <v/>
      </c>
      <c r="J336" t="str">
        <f>IFERROR(__xludf.DUMMYFUNCTION("""COMPUTED_VALUE"""),"")</f>
        <v/>
      </c>
      <c r="K336" t="str">
        <f>IFERROR(__xludf.DUMMYFUNCTION("""COMPUTED_VALUE"""),"")</f>
        <v/>
      </c>
      <c r="L336" t="str">
        <f>IFERROR(__xludf.DUMMYFUNCTION("""COMPUTED_VALUE"""),"")</f>
        <v/>
      </c>
      <c r="M336" t="str">
        <f>IFERROR(__xludf.DUMMYFUNCTION("""COMPUTED_VALUE"""),"")</f>
        <v/>
      </c>
      <c r="N336" t="str">
        <f>IFERROR(__xludf.DUMMYFUNCTION("""COMPUTED_VALUE"""),"")</f>
        <v/>
      </c>
      <c r="O336" t="str">
        <f>IFERROR(__xludf.DUMMYFUNCTION("""COMPUTED_VALUE"""),"")</f>
        <v/>
      </c>
      <c r="P336" t="str">
        <f>IFERROR(__xludf.DUMMYFUNCTION("""COMPUTED_VALUE"""),"")</f>
        <v/>
      </c>
      <c r="Q336" t="str">
        <f>IFERROR(__xludf.DUMMYFUNCTION("""COMPUTED_VALUE"""),"")</f>
        <v/>
      </c>
      <c r="R336" t="str">
        <f>IFERROR(__xludf.DUMMYFUNCTION("""COMPUTED_VALUE"""),"")</f>
        <v/>
      </c>
      <c r="S336" t="str">
        <f>IFERROR(__xludf.DUMMYFUNCTION("""COMPUTED_VALUE"""),"")</f>
        <v/>
      </c>
      <c r="T336">
        <f>IFERROR(__xludf.DUMMYFUNCTION("""COMPUTED_VALUE"""),0.0)</f>
        <v>0</v>
      </c>
    </row>
    <row r="337">
      <c r="A337" t="str">
        <f>IFERROR(__xludf.DUMMYFUNCTION("""COMPUTED_VALUE"""),"HIV")</f>
        <v>HIV</v>
      </c>
      <c r="B337" t="str">
        <f>IFERROR(__xludf.DUMMYFUNCTION("""COMPUTED_VALUE"""),"")</f>
        <v/>
      </c>
      <c r="C337" t="str">
        <f>IFERROR(__xludf.DUMMYFUNCTION("""COMPUTED_VALUE"""),"")</f>
        <v/>
      </c>
      <c r="D337" t="str">
        <f>IFERROR(__xludf.DUMMYFUNCTION("""COMPUTED_VALUE"""),"")</f>
        <v/>
      </c>
      <c r="E337" t="str">
        <f>IFERROR(__xludf.DUMMYFUNCTION("""COMPUTED_VALUE"""),"")</f>
        <v/>
      </c>
      <c r="F337" t="str">
        <f>IFERROR(__xludf.DUMMYFUNCTION("""COMPUTED_VALUE"""),"")</f>
        <v/>
      </c>
      <c r="G337" t="str">
        <f>IFERROR(__xludf.DUMMYFUNCTION("""COMPUTED_VALUE"""),"")</f>
        <v/>
      </c>
      <c r="H337" t="str">
        <f>IFERROR(__xludf.DUMMYFUNCTION("""COMPUTED_VALUE"""),"")</f>
        <v/>
      </c>
      <c r="I337" t="str">
        <f>IFERROR(__xludf.DUMMYFUNCTION("""COMPUTED_VALUE"""),"")</f>
        <v/>
      </c>
      <c r="J337" t="str">
        <f>IFERROR(__xludf.DUMMYFUNCTION("""COMPUTED_VALUE"""),"")</f>
        <v/>
      </c>
      <c r="K337" t="str">
        <f>IFERROR(__xludf.DUMMYFUNCTION("""COMPUTED_VALUE"""),"")</f>
        <v/>
      </c>
      <c r="L337" t="str">
        <f>IFERROR(__xludf.DUMMYFUNCTION("""COMPUTED_VALUE"""),"")</f>
        <v/>
      </c>
      <c r="M337" t="str">
        <f>IFERROR(__xludf.DUMMYFUNCTION("""COMPUTED_VALUE"""),"")</f>
        <v/>
      </c>
      <c r="N337" t="str">
        <f>IFERROR(__xludf.DUMMYFUNCTION("""COMPUTED_VALUE"""),"")</f>
        <v/>
      </c>
      <c r="O337" t="str">
        <f>IFERROR(__xludf.DUMMYFUNCTION("""COMPUTED_VALUE"""),"")</f>
        <v/>
      </c>
      <c r="P337" t="str">
        <f>IFERROR(__xludf.DUMMYFUNCTION("""COMPUTED_VALUE"""),"")</f>
        <v/>
      </c>
      <c r="Q337" t="str">
        <f>IFERROR(__xludf.DUMMYFUNCTION("""COMPUTED_VALUE"""),"")</f>
        <v/>
      </c>
      <c r="R337" t="str">
        <f>IFERROR(__xludf.DUMMYFUNCTION("""COMPUTED_VALUE"""),"")</f>
        <v/>
      </c>
      <c r="S337" t="str">
        <f>IFERROR(__xludf.DUMMYFUNCTION("""COMPUTED_VALUE"""),"")</f>
        <v/>
      </c>
      <c r="T337">
        <f>IFERROR(__xludf.DUMMYFUNCTION("""COMPUTED_VALUE"""),0.0)</f>
        <v>0</v>
      </c>
    </row>
    <row r="338">
      <c r="A338" t="str">
        <f>IFERROR(__xludf.DUMMYFUNCTION("""COMPUTED_VALUE"""),"HIV/TB")</f>
        <v>HIV/TB</v>
      </c>
      <c r="B338" t="str">
        <f>IFERROR(__xludf.DUMMYFUNCTION("""COMPUTED_VALUE"""),"")</f>
        <v/>
      </c>
      <c r="C338" t="str">
        <f>IFERROR(__xludf.DUMMYFUNCTION("""COMPUTED_VALUE"""),"")</f>
        <v/>
      </c>
      <c r="D338" t="str">
        <f>IFERROR(__xludf.DUMMYFUNCTION("""COMPUTED_VALUE"""),"")</f>
        <v/>
      </c>
      <c r="E338" t="str">
        <f>IFERROR(__xludf.DUMMYFUNCTION("""COMPUTED_VALUE"""),"")</f>
        <v/>
      </c>
      <c r="F338" t="str">
        <f>IFERROR(__xludf.DUMMYFUNCTION("""COMPUTED_VALUE"""),"")</f>
        <v/>
      </c>
      <c r="G338" t="str">
        <f>IFERROR(__xludf.DUMMYFUNCTION("""COMPUTED_VALUE"""),"")</f>
        <v/>
      </c>
      <c r="H338" t="str">
        <f>IFERROR(__xludf.DUMMYFUNCTION("""COMPUTED_VALUE"""),"")</f>
        <v/>
      </c>
      <c r="I338" t="str">
        <f>IFERROR(__xludf.DUMMYFUNCTION("""COMPUTED_VALUE"""),"")</f>
        <v/>
      </c>
      <c r="J338" t="str">
        <f>IFERROR(__xludf.DUMMYFUNCTION("""COMPUTED_VALUE"""),"")</f>
        <v/>
      </c>
      <c r="K338" t="str">
        <f>IFERROR(__xludf.DUMMYFUNCTION("""COMPUTED_VALUE"""),"")</f>
        <v/>
      </c>
      <c r="L338" t="str">
        <f>IFERROR(__xludf.DUMMYFUNCTION("""COMPUTED_VALUE"""),"")</f>
        <v/>
      </c>
      <c r="M338" t="str">
        <f>IFERROR(__xludf.DUMMYFUNCTION("""COMPUTED_VALUE"""),"")</f>
        <v/>
      </c>
      <c r="N338" t="str">
        <f>IFERROR(__xludf.DUMMYFUNCTION("""COMPUTED_VALUE"""),"")</f>
        <v/>
      </c>
      <c r="O338" t="str">
        <f>IFERROR(__xludf.DUMMYFUNCTION("""COMPUTED_VALUE"""),"")</f>
        <v/>
      </c>
      <c r="P338" t="str">
        <f>IFERROR(__xludf.DUMMYFUNCTION("""COMPUTED_VALUE"""),"")</f>
        <v/>
      </c>
      <c r="Q338" t="str">
        <f>IFERROR(__xludf.DUMMYFUNCTION("""COMPUTED_VALUE"""),"")</f>
        <v/>
      </c>
      <c r="R338" t="str">
        <f>IFERROR(__xludf.DUMMYFUNCTION("""COMPUTED_VALUE"""),"")</f>
        <v/>
      </c>
      <c r="S338" t="str">
        <f>IFERROR(__xludf.DUMMYFUNCTION("""COMPUTED_VALUE"""),"")</f>
        <v/>
      </c>
      <c r="T338">
        <f>IFERROR(__xludf.DUMMYFUNCTION("""COMPUTED_VALUE"""),0.0)</f>
        <v>0</v>
      </c>
    </row>
    <row r="339">
      <c r="A339" t="str">
        <f>IFERROR(__xludf.DUMMYFUNCTION("""COMPUTED_VALUE"""),"Tuberculosis")</f>
        <v>Tuberculosis</v>
      </c>
      <c r="B339" t="str">
        <f>IFERROR(__xludf.DUMMYFUNCTION("""COMPUTED_VALUE"""),"")</f>
        <v/>
      </c>
      <c r="C339" t="str">
        <f>IFERROR(__xludf.DUMMYFUNCTION("""COMPUTED_VALUE"""),"")</f>
        <v/>
      </c>
      <c r="D339" t="str">
        <f>IFERROR(__xludf.DUMMYFUNCTION("""COMPUTED_VALUE"""),"")</f>
        <v/>
      </c>
      <c r="E339" t="str">
        <f>IFERROR(__xludf.DUMMYFUNCTION("""COMPUTED_VALUE"""),"")</f>
        <v/>
      </c>
      <c r="F339" t="str">
        <f>IFERROR(__xludf.DUMMYFUNCTION("""COMPUTED_VALUE"""),"")</f>
        <v/>
      </c>
      <c r="G339" t="str">
        <f>IFERROR(__xludf.DUMMYFUNCTION("""COMPUTED_VALUE"""),"")</f>
        <v/>
      </c>
      <c r="H339" t="str">
        <f>IFERROR(__xludf.DUMMYFUNCTION("""COMPUTED_VALUE"""),"")</f>
        <v/>
      </c>
      <c r="I339" t="str">
        <f>IFERROR(__xludf.DUMMYFUNCTION("""COMPUTED_VALUE"""),"")</f>
        <v/>
      </c>
      <c r="J339" t="str">
        <f>IFERROR(__xludf.DUMMYFUNCTION("""COMPUTED_VALUE"""),"")</f>
        <v/>
      </c>
      <c r="K339" t="str">
        <f>IFERROR(__xludf.DUMMYFUNCTION("""COMPUTED_VALUE"""),"")</f>
        <v/>
      </c>
      <c r="L339" t="str">
        <f>IFERROR(__xludf.DUMMYFUNCTION("""COMPUTED_VALUE"""),"")</f>
        <v/>
      </c>
      <c r="M339" t="str">
        <f>IFERROR(__xludf.DUMMYFUNCTION("""COMPUTED_VALUE"""),"")</f>
        <v/>
      </c>
      <c r="N339" t="str">
        <f>IFERROR(__xludf.DUMMYFUNCTION("""COMPUTED_VALUE"""),"")</f>
        <v/>
      </c>
      <c r="O339" t="str">
        <f>IFERROR(__xludf.DUMMYFUNCTION("""COMPUTED_VALUE"""),"")</f>
        <v/>
      </c>
      <c r="P339" t="str">
        <f>IFERROR(__xludf.DUMMYFUNCTION("""COMPUTED_VALUE"""),"")</f>
        <v/>
      </c>
      <c r="Q339" t="str">
        <f>IFERROR(__xludf.DUMMYFUNCTION("""COMPUTED_VALUE"""),"")</f>
        <v/>
      </c>
      <c r="R339" t="str">
        <f>IFERROR(__xludf.DUMMYFUNCTION("""COMPUTED_VALUE"""),"")</f>
        <v/>
      </c>
      <c r="S339" t="str">
        <f>IFERROR(__xludf.DUMMYFUNCTION("""COMPUTED_VALUE"""),"")</f>
        <v/>
      </c>
      <c r="T339">
        <f>IFERROR(__xludf.DUMMYFUNCTION("""COMPUTED_VALUE"""),0.0)</f>
        <v>0</v>
      </c>
    </row>
    <row r="340">
      <c r="A340" t="str">
        <f>IFERROR(__xludf.DUMMYFUNCTION("""COMPUTED_VALUE"""),"Malaria")</f>
        <v>Malaria</v>
      </c>
      <c r="B340" t="str">
        <f>IFERROR(__xludf.DUMMYFUNCTION("""COMPUTED_VALUE"""),"")</f>
        <v/>
      </c>
      <c r="C340" t="str">
        <f>IFERROR(__xludf.DUMMYFUNCTION("""COMPUTED_VALUE"""),"")</f>
        <v/>
      </c>
      <c r="D340" t="str">
        <f>IFERROR(__xludf.DUMMYFUNCTION("""COMPUTED_VALUE"""),"")</f>
        <v/>
      </c>
      <c r="E340" t="str">
        <f>IFERROR(__xludf.DUMMYFUNCTION("""COMPUTED_VALUE"""),"")</f>
        <v/>
      </c>
      <c r="F340" t="str">
        <f>IFERROR(__xludf.DUMMYFUNCTION("""COMPUTED_VALUE"""),"")</f>
        <v/>
      </c>
      <c r="G340" t="str">
        <f>IFERROR(__xludf.DUMMYFUNCTION("""COMPUTED_VALUE"""),"")</f>
        <v/>
      </c>
      <c r="H340" t="str">
        <f>IFERROR(__xludf.DUMMYFUNCTION("""COMPUTED_VALUE"""),"")</f>
        <v/>
      </c>
      <c r="I340" t="str">
        <f>IFERROR(__xludf.DUMMYFUNCTION("""COMPUTED_VALUE"""),"")</f>
        <v/>
      </c>
      <c r="J340" t="str">
        <f>IFERROR(__xludf.DUMMYFUNCTION("""COMPUTED_VALUE"""),"")</f>
        <v/>
      </c>
      <c r="K340" t="str">
        <f>IFERROR(__xludf.DUMMYFUNCTION("""COMPUTED_VALUE"""),"")</f>
        <v/>
      </c>
      <c r="L340" t="str">
        <f>IFERROR(__xludf.DUMMYFUNCTION("""COMPUTED_VALUE"""),"")</f>
        <v/>
      </c>
      <c r="M340" t="str">
        <f>IFERROR(__xludf.DUMMYFUNCTION("""COMPUTED_VALUE"""),"")</f>
        <v/>
      </c>
      <c r="N340" t="str">
        <f>IFERROR(__xludf.DUMMYFUNCTION("""COMPUTED_VALUE"""),"")</f>
        <v/>
      </c>
      <c r="O340" t="str">
        <f>IFERROR(__xludf.DUMMYFUNCTION("""COMPUTED_VALUE"""),"")</f>
        <v/>
      </c>
      <c r="P340" t="str">
        <f>IFERROR(__xludf.DUMMYFUNCTION("""COMPUTED_VALUE"""),"")</f>
        <v/>
      </c>
      <c r="Q340" t="str">
        <f>IFERROR(__xludf.DUMMYFUNCTION("""COMPUTED_VALUE"""),"")</f>
        <v/>
      </c>
      <c r="R340" t="str">
        <f>IFERROR(__xludf.DUMMYFUNCTION("""COMPUTED_VALUE"""),"")</f>
        <v/>
      </c>
      <c r="S340" t="str">
        <f>IFERROR(__xludf.DUMMYFUNCTION("""COMPUTED_VALUE"""),"")</f>
        <v/>
      </c>
      <c r="T340">
        <f>IFERROR(__xludf.DUMMYFUNCTION("""COMPUTED_VALUE"""),0.0)</f>
        <v>0</v>
      </c>
    </row>
    <row r="341">
      <c r="A341" t="str">
        <f>IFERROR(__xludf.DUMMYFUNCTION("""COMPUTED_VALUE"""),"Neglected topical diseases")</f>
        <v>Neglected topical diseases</v>
      </c>
      <c r="B341" t="str">
        <f>IFERROR(__xludf.DUMMYFUNCTION("""COMPUTED_VALUE"""),"")</f>
        <v/>
      </c>
      <c r="C341" t="str">
        <f>IFERROR(__xludf.DUMMYFUNCTION("""COMPUTED_VALUE"""),"")</f>
        <v/>
      </c>
      <c r="D341" t="str">
        <f>IFERROR(__xludf.DUMMYFUNCTION("""COMPUTED_VALUE"""),"")</f>
        <v/>
      </c>
      <c r="E341" t="str">
        <f>IFERROR(__xludf.DUMMYFUNCTION("""COMPUTED_VALUE"""),"")</f>
        <v/>
      </c>
      <c r="F341" t="str">
        <f>IFERROR(__xludf.DUMMYFUNCTION("""COMPUTED_VALUE"""),"")</f>
        <v/>
      </c>
      <c r="G341" t="str">
        <f>IFERROR(__xludf.DUMMYFUNCTION("""COMPUTED_VALUE"""),"")</f>
        <v/>
      </c>
      <c r="H341" t="str">
        <f>IFERROR(__xludf.DUMMYFUNCTION("""COMPUTED_VALUE"""),"")</f>
        <v/>
      </c>
      <c r="I341" t="str">
        <f>IFERROR(__xludf.DUMMYFUNCTION("""COMPUTED_VALUE"""),"")</f>
        <v/>
      </c>
      <c r="J341" t="str">
        <f>IFERROR(__xludf.DUMMYFUNCTION("""COMPUTED_VALUE"""),"")</f>
        <v/>
      </c>
      <c r="K341" t="str">
        <f>IFERROR(__xludf.DUMMYFUNCTION("""COMPUTED_VALUE"""),"")</f>
        <v/>
      </c>
      <c r="L341" t="str">
        <f>IFERROR(__xludf.DUMMYFUNCTION("""COMPUTED_VALUE"""),"")</f>
        <v/>
      </c>
      <c r="M341" t="str">
        <f>IFERROR(__xludf.DUMMYFUNCTION("""COMPUTED_VALUE"""),"")</f>
        <v/>
      </c>
      <c r="N341" t="str">
        <f>IFERROR(__xludf.DUMMYFUNCTION("""COMPUTED_VALUE"""),"")</f>
        <v/>
      </c>
      <c r="O341" t="str">
        <f>IFERROR(__xludf.DUMMYFUNCTION("""COMPUTED_VALUE"""),"")</f>
        <v/>
      </c>
      <c r="P341" t="str">
        <f>IFERROR(__xludf.DUMMYFUNCTION("""COMPUTED_VALUE"""),"")</f>
        <v/>
      </c>
      <c r="Q341" t="str">
        <f>IFERROR(__xludf.DUMMYFUNCTION("""COMPUTED_VALUE"""),"")</f>
        <v/>
      </c>
      <c r="R341" t="str">
        <f>IFERROR(__xludf.DUMMYFUNCTION("""COMPUTED_VALUE"""),"")</f>
        <v/>
      </c>
      <c r="S341" t="str">
        <f>IFERROR(__xludf.DUMMYFUNCTION("""COMPUTED_VALUE"""),"")</f>
        <v/>
      </c>
      <c r="T341">
        <f>IFERROR(__xludf.DUMMYFUNCTION("""COMPUTED_VALUE"""),0.0)</f>
        <v>0</v>
      </c>
    </row>
    <row r="342">
      <c r="A342" t="str">
        <f>IFERROR(__xludf.DUMMYFUNCTION("""COMPUTED_VALUE"""),"Screening and preventive care")</f>
        <v>Screening and preventive care</v>
      </c>
      <c r="B342" t="str">
        <f>IFERROR(__xludf.DUMMYFUNCTION("""COMPUTED_VALUE"""),"")</f>
        <v/>
      </c>
      <c r="C342" t="str">
        <f>IFERROR(__xludf.DUMMYFUNCTION("""COMPUTED_VALUE"""),"")</f>
        <v/>
      </c>
      <c r="D342" t="str">
        <f>IFERROR(__xludf.DUMMYFUNCTION("""COMPUTED_VALUE"""),"")</f>
        <v/>
      </c>
      <c r="E342" t="str">
        <f>IFERROR(__xludf.DUMMYFUNCTION("""COMPUTED_VALUE"""),"")</f>
        <v/>
      </c>
      <c r="F342" t="str">
        <f>IFERROR(__xludf.DUMMYFUNCTION("""COMPUTED_VALUE"""),"")</f>
        <v/>
      </c>
      <c r="G342" t="str">
        <f>IFERROR(__xludf.DUMMYFUNCTION("""COMPUTED_VALUE"""),"")</f>
        <v/>
      </c>
      <c r="H342" t="str">
        <f>IFERROR(__xludf.DUMMYFUNCTION("""COMPUTED_VALUE"""),"")</f>
        <v/>
      </c>
      <c r="I342" t="str">
        <f>IFERROR(__xludf.DUMMYFUNCTION("""COMPUTED_VALUE"""),"")</f>
        <v/>
      </c>
      <c r="J342" t="str">
        <f>IFERROR(__xludf.DUMMYFUNCTION("""COMPUTED_VALUE"""),"")</f>
        <v/>
      </c>
      <c r="K342" t="str">
        <f>IFERROR(__xludf.DUMMYFUNCTION("""COMPUTED_VALUE"""),"")</f>
        <v/>
      </c>
      <c r="L342" t="str">
        <f>IFERROR(__xludf.DUMMYFUNCTION("""COMPUTED_VALUE"""),"")</f>
        <v/>
      </c>
      <c r="M342" t="str">
        <f>IFERROR(__xludf.DUMMYFUNCTION("""COMPUTED_VALUE"""),"")</f>
        <v/>
      </c>
      <c r="N342" t="str">
        <f>IFERROR(__xludf.DUMMYFUNCTION("""COMPUTED_VALUE"""),"")</f>
        <v/>
      </c>
      <c r="O342" t="str">
        <f>IFERROR(__xludf.DUMMYFUNCTION("""COMPUTED_VALUE"""),"")</f>
        <v/>
      </c>
      <c r="P342" t="str">
        <f>IFERROR(__xludf.DUMMYFUNCTION("""COMPUTED_VALUE"""),"")</f>
        <v/>
      </c>
      <c r="Q342" t="str">
        <f>IFERROR(__xludf.DUMMYFUNCTION("""COMPUTED_VALUE"""),"")</f>
        <v/>
      </c>
      <c r="R342" t="str">
        <f>IFERROR(__xludf.DUMMYFUNCTION("""COMPUTED_VALUE"""),"")</f>
        <v/>
      </c>
      <c r="S342" t="str">
        <f>IFERROR(__xludf.DUMMYFUNCTION("""COMPUTED_VALUE"""),"")</f>
        <v/>
      </c>
      <c r="T342">
        <f>IFERROR(__xludf.DUMMYFUNCTION("""COMPUTED_VALUE"""),0.0)</f>
        <v>0</v>
      </c>
    </row>
    <row r="343">
      <c r="A343" t="str">
        <f>IFERROR(__xludf.DUMMYFUNCTION("""COMPUTED_VALUE"""),"Mental health")</f>
        <v>Mental health</v>
      </c>
      <c r="B343" t="str">
        <f>IFERROR(__xludf.DUMMYFUNCTION("""COMPUTED_VALUE"""),"")</f>
        <v/>
      </c>
      <c r="C343" t="str">
        <f>IFERROR(__xludf.DUMMYFUNCTION("""COMPUTED_VALUE"""),"")</f>
        <v/>
      </c>
      <c r="D343" t="str">
        <f>IFERROR(__xludf.DUMMYFUNCTION("""COMPUTED_VALUE"""),"")</f>
        <v/>
      </c>
      <c r="E343" t="str">
        <f>IFERROR(__xludf.DUMMYFUNCTION("""COMPUTED_VALUE"""),"")</f>
        <v/>
      </c>
      <c r="F343" t="str">
        <f>IFERROR(__xludf.DUMMYFUNCTION("""COMPUTED_VALUE"""),"")</f>
        <v/>
      </c>
      <c r="G343" t="str">
        <f>IFERROR(__xludf.DUMMYFUNCTION("""COMPUTED_VALUE"""),"")</f>
        <v/>
      </c>
      <c r="H343" t="str">
        <f>IFERROR(__xludf.DUMMYFUNCTION("""COMPUTED_VALUE"""),"")</f>
        <v/>
      </c>
      <c r="I343" t="str">
        <f>IFERROR(__xludf.DUMMYFUNCTION("""COMPUTED_VALUE"""),"")</f>
        <v/>
      </c>
      <c r="J343" t="str">
        <f>IFERROR(__xludf.DUMMYFUNCTION("""COMPUTED_VALUE"""),"")</f>
        <v/>
      </c>
      <c r="K343" t="str">
        <f>IFERROR(__xludf.DUMMYFUNCTION("""COMPUTED_VALUE"""),"")</f>
        <v/>
      </c>
      <c r="L343" t="str">
        <f>IFERROR(__xludf.DUMMYFUNCTION("""COMPUTED_VALUE"""),"")</f>
        <v/>
      </c>
      <c r="M343" t="str">
        <f>IFERROR(__xludf.DUMMYFUNCTION("""COMPUTED_VALUE"""),"")</f>
        <v/>
      </c>
      <c r="N343" t="str">
        <f>IFERROR(__xludf.DUMMYFUNCTION("""COMPUTED_VALUE"""),"")</f>
        <v/>
      </c>
      <c r="O343" t="str">
        <f>IFERROR(__xludf.DUMMYFUNCTION("""COMPUTED_VALUE"""),"")</f>
        <v/>
      </c>
      <c r="P343" t="str">
        <f>IFERROR(__xludf.DUMMYFUNCTION("""COMPUTED_VALUE"""),"")</f>
        <v/>
      </c>
      <c r="Q343" t="str">
        <f>IFERROR(__xludf.DUMMYFUNCTION("""COMPUTED_VALUE"""),"")</f>
        <v/>
      </c>
      <c r="R343" t="str">
        <f>IFERROR(__xludf.DUMMYFUNCTION("""COMPUTED_VALUE"""),"")</f>
        <v/>
      </c>
      <c r="S343" t="str">
        <f>IFERROR(__xludf.DUMMYFUNCTION("""COMPUTED_VALUE"""),"")</f>
        <v/>
      </c>
      <c r="T343">
        <f>IFERROR(__xludf.DUMMYFUNCTION("""COMPUTED_VALUE"""),0.0)</f>
        <v>0</v>
      </c>
    </row>
    <row r="344">
      <c r="A344" t="str">
        <f>IFERROR(__xludf.DUMMYFUNCTION("""COMPUTED_VALUE"""),"Substance abuse")</f>
        <v>Substance abuse</v>
      </c>
      <c r="B344" t="str">
        <f>IFERROR(__xludf.DUMMYFUNCTION("""COMPUTED_VALUE"""),"")</f>
        <v/>
      </c>
      <c r="C344" t="str">
        <f>IFERROR(__xludf.DUMMYFUNCTION("""COMPUTED_VALUE"""),"")</f>
        <v/>
      </c>
      <c r="D344" t="str">
        <f>IFERROR(__xludf.DUMMYFUNCTION("""COMPUTED_VALUE"""),"")</f>
        <v/>
      </c>
      <c r="E344" t="str">
        <f>IFERROR(__xludf.DUMMYFUNCTION("""COMPUTED_VALUE"""),"")</f>
        <v/>
      </c>
      <c r="F344" t="str">
        <f>IFERROR(__xludf.DUMMYFUNCTION("""COMPUTED_VALUE"""),"")</f>
        <v/>
      </c>
      <c r="G344" t="str">
        <f>IFERROR(__xludf.DUMMYFUNCTION("""COMPUTED_VALUE"""),"")</f>
        <v/>
      </c>
      <c r="H344" t="str">
        <f>IFERROR(__xludf.DUMMYFUNCTION("""COMPUTED_VALUE"""),"")</f>
        <v/>
      </c>
      <c r="I344" t="str">
        <f>IFERROR(__xludf.DUMMYFUNCTION("""COMPUTED_VALUE"""),"")</f>
        <v/>
      </c>
      <c r="J344" t="str">
        <f>IFERROR(__xludf.DUMMYFUNCTION("""COMPUTED_VALUE"""),"")</f>
        <v/>
      </c>
      <c r="K344" t="str">
        <f>IFERROR(__xludf.DUMMYFUNCTION("""COMPUTED_VALUE"""),"")</f>
        <v/>
      </c>
      <c r="L344" t="str">
        <f>IFERROR(__xludf.DUMMYFUNCTION("""COMPUTED_VALUE"""),"")</f>
        <v/>
      </c>
      <c r="M344" t="str">
        <f>IFERROR(__xludf.DUMMYFUNCTION("""COMPUTED_VALUE"""),"")</f>
        <v/>
      </c>
      <c r="N344" t="str">
        <f>IFERROR(__xludf.DUMMYFUNCTION("""COMPUTED_VALUE"""),"")</f>
        <v/>
      </c>
      <c r="O344" t="str">
        <f>IFERROR(__xludf.DUMMYFUNCTION("""COMPUTED_VALUE"""),"")</f>
        <v/>
      </c>
      <c r="P344" t="str">
        <f>IFERROR(__xludf.DUMMYFUNCTION("""COMPUTED_VALUE"""),"")</f>
        <v/>
      </c>
      <c r="Q344" t="str">
        <f>IFERROR(__xludf.DUMMYFUNCTION("""COMPUTED_VALUE"""),"")</f>
        <v/>
      </c>
      <c r="R344" t="str">
        <f>IFERROR(__xludf.DUMMYFUNCTION("""COMPUTED_VALUE"""),"")</f>
        <v/>
      </c>
      <c r="S344" t="str">
        <f>IFERROR(__xludf.DUMMYFUNCTION("""COMPUTED_VALUE"""),"")</f>
        <v/>
      </c>
      <c r="T344">
        <f>IFERROR(__xludf.DUMMYFUNCTION("""COMPUTED_VALUE"""),0.0)</f>
        <v>0</v>
      </c>
    </row>
    <row r="345">
      <c r="A345" t="str">
        <f>IFERROR(__xludf.DUMMYFUNCTION("""COMPUTED_VALUE"""),"Essential health services")</f>
        <v>Essential health services</v>
      </c>
      <c r="B345" t="str">
        <f>IFERROR(__xludf.DUMMYFUNCTION("""COMPUTED_VALUE"""),"")</f>
        <v/>
      </c>
      <c r="C345" t="str">
        <f>IFERROR(__xludf.DUMMYFUNCTION("""COMPUTED_VALUE"""),"")</f>
        <v/>
      </c>
      <c r="D345" t="str">
        <f>IFERROR(__xludf.DUMMYFUNCTION("""COMPUTED_VALUE"""),"")</f>
        <v/>
      </c>
      <c r="E345" t="str">
        <f>IFERROR(__xludf.DUMMYFUNCTION("""COMPUTED_VALUE"""),"")</f>
        <v/>
      </c>
      <c r="F345" t="str">
        <f>IFERROR(__xludf.DUMMYFUNCTION("""COMPUTED_VALUE"""),"")</f>
        <v/>
      </c>
      <c r="G345" t="str">
        <f>IFERROR(__xludf.DUMMYFUNCTION("""COMPUTED_VALUE"""),"")</f>
        <v/>
      </c>
      <c r="H345" t="str">
        <f>IFERROR(__xludf.DUMMYFUNCTION("""COMPUTED_VALUE"""),"")</f>
        <v/>
      </c>
      <c r="I345" t="str">
        <f>IFERROR(__xludf.DUMMYFUNCTION("""COMPUTED_VALUE"""),"")</f>
        <v/>
      </c>
      <c r="J345" t="str">
        <f>IFERROR(__xludf.DUMMYFUNCTION("""COMPUTED_VALUE"""),"")</f>
        <v/>
      </c>
      <c r="K345" t="str">
        <f>IFERROR(__xludf.DUMMYFUNCTION("""COMPUTED_VALUE"""),"")</f>
        <v/>
      </c>
      <c r="L345" t="str">
        <f>IFERROR(__xludf.DUMMYFUNCTION("""COMPUTED_VALUE"""),"")</f>
        <v/>
      </c>
      <c r="M345" t="str">
        <f>IFERROR(__xludf.DUMMYFUNCTION("""COMPUTED_VALUE"""),"")</f>
        <v/>
      </c>
      <c r="N345" t="str">
        <f>IFERROR(__xludf.DUMMYFUNCTION("""COMPUTED_VALUE"""),"")</f>
        <v/>
      </c>
      <c r="O345" t="str">
        <f>IFERROR(__xludf.DUMMYFUNCTION("""COMPUTED_VALUE"""),"")</f>
        <v/>
      </c>
      <c r="P345" t="str">
        <f>IFERROR(__xludf.DUMMYFUNCTION("""COMPUTED_VALUE"""),"")</f>
        <v/>
      </c>
      <c r="Q345" t="str">
        <f>IFERROR(__xludf.DUMMYFUNCTION("""COMPUTED_VALUE"""),"")</f>
        <v/>
      </c>
      <c r="R345" t="str">
        <f>IFERROR(__xludf.DUMMYFUNCTION("""COMPUTED_VALUE"""),"")</f>
        <v/>
      </c>
      <c r="S345" t="str">
        <f>IFERROR(__xludf.DUMMYFUNCTION("""COMPUTED_VALUE"""),"")</f>
        <v/>
      </c>
      <c r="T345">
        <f>IFERROR(__xludf.DUMMYFUNCTION("""COMPUTED_VALUE"""),0.0)</f>
        <v>0</v>
      </c>
    </row>
    <row r="346">
      <c r="A346" t="str">
        <f>IFERROR(__xludf.DUMMYFUNCTION("""COMPUTED_VALUE"""),"Health systems")</f>
        <v>Health systems</v>
      </c>
      <c r="B346" t="str">
        <f>IFERROR(__xludf.DUMMYFUNCTION("""COMPUTED_VALUE"""),"")</f>
        <v/>
      </c>
      <c r="C346" t="str">
        <f>IFERROR(__xludf.DUMMYFUNCTION("""COMPUTED_VALUE"""),"")</f>
        <v/>
      </c>
      <c r="D346" t="str">
        <f>IFERROR(__xludf.DUMMYFUNCTION("""COMPUTED_VALUE"""),"")</f>
        <v/>
      </c>
      <c r="E346" t="str">
        <f>IFERROR(__xludf.DUMMYFUNCTION("""COMPUTED_VALUE"""),"")</f>
        <v/>
      </c>
      <c r="F346" t="str">
        <f>IFERROR(__xludf.DUMMYFUNCTION("""COMPUTED_VALUE"""),"")</f>
        <v/>
      </c>
      <c r="G346" t="str">
        <f>IFERROR(__xludf.DUMMYFUNCTION("""COMPUTED_VALUE"""),"")</f>
        <v/>
      </c>
      <c r="H346" t="str">
        <f>IFERROR(__xludf.DUMMYFUNCTION("""COMPUTED_VALUE"""),"")</f>
        <v/>
      </c>
      <c r="I346" t="str">
        <f>IFERROR(__xludf.DUMMYFUNCTION("""COMPUTED_VALUE"""),"")</f>
        <v/>
      </c>
      <c r="J346" t="str">
        <f>IFERROR(__xludf.DUMMYFUNCTION("""COMPUTED_VALUE"""),"")</f>
        <v/>
      </c>
      <c r="K346" t="str">
        <f>IFERROR(__xludf.DUMMYFUNCTION("""COMPUTED_VALUE"""),"")</f>
        <v/>
      </c>
      <c r="L346" t="str">
        <f>IFERROR(__xludf.DUMMYFUNCTION("""COMPUTED_VALUE"""),"")</f>
        <v/>
      </c>
      <c r="M346" t="str">
        <f>IFERROR(__xludf.DUMMYFUNCTION("""COMPUTED_VALUE"""),"")</f>
        <v/>
      </c>
      <c r="N346" t="str">
        <f>IFERROR(__xludf.DUMMYFUNCTION("""COMPUTED_VALUE"""),"")</f>
        <v/>
      </c>
      <c r="O346" t="str">
        <f>IFERROR(__xludf.DUMMYFUNCTION("""COMPUTED_VALUE"""),"")</f>
        <v/>
      </c>
      <c r="P346" t="str">
        <f>IFERROR(__xludf.DUMMYFUNCTION("""COMPUTED_VALUE"""),"")</f>
        <v/>
      </c>
      <c r="Q346" t="str">
        <f>IFERROR(__xludf.DUMMYFUNCTION("""COMPUTED_VALUE"""),"")</f>
        <v/>
      </c>
      <c r="R346" t="str">
        <f>IFERROR(__xludf.DUMMYFUNCTION("""COMPUTED_VALUE"""),"")</f>
        <v/>
      </c>
      <c r="S346" t="str">
        <f>IFERROR(__xludf.DUMMYFUNCTION("""COMPUTED_VALUE"""),"")</f>
        <v/>
      </c>
      <c r="T346">
        <f>IFERROR(__xludf.DUMMYFUNCTION("""COMPUTED_VALUE"""),0.0)</f>
        <v>0</v>
      </c>
    </row>
    <row r="347">
      <c r="A347" t="str">
        <f>IFERROR(__xludf.DUMMYFUNCTION("""COMPUTED_VALUE"""),"Quality and safety of care")</f>
        <v>Quality and safety of care</v>
      </c>
      <c r="B347" t="str">
        <f>IFERROR(__xludf.DUMMYFUNCTION("""COMPUTED_VALUE"""),"")</f>
        <v/>
      </c>
      <c r="C347" t="str">
        <f>IFERROR(__xludf.DUMMYFUNCTION("""COMPUTED_VALUE"""),"")</f>
        <v/>
      </c>
      <c r="D347" t="str">
        <f>IFERROR(__xludf.DUMMYFUNCTION("""COMPUTED_VALUE"""),"")</f>
        <v/>
      </c>
      <c r="E347" t="str">
        <f>IFERROR(__xludf.DUMMYFUNCTION("""COMPUTED_VALUE"""),"")</f>
        <v/>
      </c>
      <c r="F347" t="str">
        <f>IFERROR(__xludf.DUMMYFUNCTION("""COMPUTED_VALUE"""),"")</f>
        <v/>
      </c>
      <c r="G347" t="str">
        <f>IFERROR(__xludf.DUMMYFUNCTION("""COMPUTED_VALUE"""),"")</f>
        <v/>
      </c>
      <c r="H347" t="str">
        <f>IFERROR(__xludf.DUMMYFUNCTION("""COMPUTED_VALUE"""),"")</f>
        <v/>
      </c>
      <c r="I347" t="str">
        <f>IFERROR(__xludf.DUMMYFUNCTION("""COMPUTED_VALUE"""),"")</f>
        <v/>
      </c>
      <c r="J347" t="str">
        <f>IFERROR(__xludf.DUMMYFUNCTION("""COMPUTED_VALUE"""),"")</f>
        <v/>
      </c>
      <c r="K347" t="str">
        <f>IFERROR(__xludf.DUMMYFUNCTION("""COMPUTED_VALUE"""),"")</f>
        <v/>
      </c>
      <c r="L347" t="str">
        <f>IFERROR(__xludf.DUMMYFUNCTION("""COMPUTED_VALUE"""),"")</f>
        <v/>
      </c>
      <c r="M347" t="str">
        <f>IFERROR(__xludf.DUMMYFUNCTION("""COMPUTED_VALUE"""),"")</f>
        <v/>
      </c>
      <c r="N347" t="str">
        <f>IFERROR(__xludf.DUMMYFUNCTION("""COMPUTED_VALUE"""),"")</f>
        <v/>
      </c>
      <c r="O347" t="str">
        <f>IFERROR(__xludf.DUMMYFUNCTION("""COMPUTED_VALUE"""),"")</f>
        <v/>
      </c>
      <c r="P347" t="str">
        <f>IFERROR(__xludf.DUMMYFUNCTION("""COMPUTED_VALUE"""),"")</f>
        <v/>
      </c>
      <c r="Q347" t="str">
        <f>IFERROR(__xludf.DUMMYFUNCTION("""COMPUTED_VALUE"""),"")</f>
        <v/>
      </c>
      <c r="R347" t="str">
        <f>IFERROR(__xludf.DUMMYFUNCTION("""COMPUTED_VALUE"""),"")</f>
        <v/>
      </c>
      <c r="S347" t="str">
        <f>IFERROR(__xludf.DUMMYFUNCTION("""COMPUTED_VALUE"""),"")</f>
        <v/>
      </c>
      <c r="T347">
        <f>IFERROR(__xludf.DUMMYFUNCTION("""COMPUTED_VALUE"""),0.0)</f>
        <v>0</v>
      </c>
    </row>
    <row r="348">
      <c r="A348" t="str">
        <f>IFERROR(__xludf.DUMMYFUNCTION("""COMPUTED_VALUE"""),"Utilization and access")</f>
        <v>Utilization and access</v>
      </c>
      <c r="B348" t="str">
        <f>IFERROR(__xludf.DUMMYFUNCTION("""COMPUTED_VALUE"""),"")</f>
        <v/>
      </c>
      <c r="C348" t="str">
        <f>IFERROR(__xludf.DUMMYFUNCTION("""COMPUTED_VALUE"""),"")</f>
        <v/>
      </c>
      <c r="D348" t="str">
        <f>IFERROR(__xludf.DUMMYFUNCTION("""COMPUTED_VALUE"""),"")</f>
        <v/>
      </c>
      <c r="E348" t="str">
        <f>IFERROR(__xludf.DUMMYFUNCTION("""COMPUTED_VALUE"""),"")</f>
        <v/>
      </c>
      <c r="F348" t="str">
        <f>IFERROR(__xludf.DUMMYFUNCTION("""COMPUTED_VALUE"""),"")</f>
        <v/>
      </c>
      <c r="G348" t="str">
        <f>IFERROR(__xludf.DUMMYFUNCTION("""COMPUTED_VALUE"""),"")</f>
        <v/>
      </c>
      <c r="H348" t="str">
        <f>IFERROR(__xludf.DUMMYFUNCTION("""COMPUTED_VALUE"""),"")</f>
        <v/>
      </c>
      <c r="I348" t="str">
        <f>IFERROR(__xludf.DUMMYFUNCTION("""COMPUTED_VALUE"""),"")</f>
        <v/>
      </c>
      <c r="J348" t="str">
        <f>IFERROR(__xludf.DUMMYFUNCTION("""COMPUTED_VALUE"""),"")</f>
        <v/>
      </c>
      <c r="K348" t="str">
        <f>IFERROR(__xludf.DUMMYFUNCTION("""COMPUTED_VALUE"""),"")</f>
        <v/>
      </c>
      <c r="L348" t="str">
        <f>IFERROR(__xludf.DUMMYFUNCTION("""COMPUTED_VALUE"""),"")</f>
        <v/>
      </c>
      <c r="M348" t="str">
        <f>IFERROR(__xludf.DUMMYFUNCTION("""COMPUTED_VALUE"""),"")</f>
        <v/>
      </c>
      <c r="N348" t="str">
        <f>IFERROR(__xludf.DUMMYFUNCTION("""COMPUTED_VALUE"""),"")</f>
        <v/>
      </c>
      <c r="O348" t="str">
        <f>IFERROR(__xludf.DUMMYFUNCTION("""COMPUTED_VALUE"""),"")</f>
        <v/>
      </c>
      <c r="P348" t="str">
        <f>IFERROR(__xludf.DUMMYFUNCTION("""COMPUTED_VALUE"""),"")</f>
        <v/>
      </c>
      <c r="Q348" t="str">
        <f>IFERROR(__xludf.DUMMYFUNCTION("""COMPUTED_VALUE"""),"")</f>
        <v/>
      </c>
      <c r="R348" t="str">
        <f>IFERROR(__xludf.DUMMYFUNCTION("""COMPUTED_VALUE"""),"")</f>
        <v/>
      </c>
      <c r="S348" t="str">
        <f>IFERROR(__xludf.DUMMYFUNCTION("""COMPUTED_VALUE"""),"")</f>
        <v/>
      </c>
      <c r="T348">
        <f>IFERROR(__xludf.DUMMYFUNCTION("""COMPUTED_VALUE"""),0.0)</f>
        <v>0</v>
      </c>
    </row>
    <row r="349">
      <c r="A349" t="str">
        <f>IFERROR(__xludf.DUMMYFUNCTION("""COMPUTED_VALUE"""),"Health workforce")</f>
        <v>Health workforce</v>
      </c>
      <c r="B349" t="str">
        <f>IFERROR(__xludf.DUMMYFUNCTION("""COMPUTED_VALUE"""),"")</f>
        <v/>
      </c>
      <c r="C349" t="str">
        <f>IFERROR(__xludf.DUMMYFUNCTION("""COMPUTED_VALUE"""),"")</f>
        <v/>
      </c>
      <c r="D349" t="str">
        <f>IFERROR(__xludf.DUMMYFUNCTION("""COMPUTED_VALUE"""),"")</f>
        <v/>
      </c>
      <c r="E349" t="str">
        <f>IFERROR(__xludf.DUMMYFUNCTION("""COMPUTED_VALUE"""),"")</f>
        <v/>
      </c>
      <c r="F349" t="str">
        <f>IFERROR(__xludf.DUMMYFUNCTION("""COMPUTED_VALUE"""),"")</f>
        <v/>
      </c>
      <c r="G349" t="str">
        <f>IFERROR(__xludf.DUMMYFUNCTION("""COMPUTED_VALUE"""),"")</f>
        <v/>
      </c>
      <c r="H349" t="str">
        <f>IFERROR(__xludf.DUMMYFUNCTION("""COMPUTED_VALUE"""),"")</f>
        <v/>
      </c>
      <c r="I349" t="str">
        <f>IFERROR(__xludf.DUMMYFUNCTION("""COMPUTED_VALUE"""),"")</f>
        <v/>
      </c>
      <c r="J349" t="str">
        <f>IFERROR(__xludf.DUMMYFUNCTION("""COMPUTED_VALUE"""),"")</f>
        <v/>
      </c>
      <c r="K349" t="str">
        <f>IFERROR(__xludf.DUMMYFUNCTION("""COMPUTED_VALUE"""),"")</f>
        <v/>
      </c>
      <c r="L349" t="str">
        <f>IFERROR(__xludf.DUMMYFUNCTION("""COMPUTED_VALUE"""),"")</f>
        <v/>
      </c>
      <c r="M349" t="str">
        <f>IFERROR(__xludf.DUMMYFUNCTION("""COMPUTED_VALUE"""),"")</f>
        <v/>
      </c>
      <c r="N349" t="str">
        <f>IFERROR(__xludf.DUMMYFUNCTION("""COMPUTED_VALUE"""),"")</f>
        <v/>
      </c>
      <c r="O349" t="str">
        <f>IFERROR(__xludf.DUMMYFUNCTION("""COMPUTED_VALUE"""),"")</f>
        <v/>
      </c>
      <c r="P349" t="str">
        <f>IFERROR(__xludf.DUMMYFUNCTION("""COMPUTED_VALUE"""),"")</f>
        <v/>
      </c>
      <c r="Q349" t="str">
        <f>IFERROR(__xludf.DUMMYFUNCTION("""COMPUTED_VALUE"""),"")</f>
        <v/>
      </c>
      <c r="R349" t="str">
        <f>IFERROR(__xludf.DUMMYFUNCTION("""COMPUTED_VALUE"""),"")</f>
        <v/>
      </c>
      <c r="S349" t="str">
        <f>IFERROR(__xludf.DUMMYFUNCTION("""COMPUTED_VALUE"""),"")</f>
        <v/>
      </c>
      <c r="T349">
        <f>IFERROR(__xludf.DUMMYFUNCTION("""COMPUTED_VALUE"""),0.0)</f>
        <v>0</v>
      </c>
    </row>
    <row r="350">
      <c r="A350" t="str">
        <f>IFERROR(__xludf.DUMMYFUNCTION("""COMPUTED_VALUE"""),"Health information")</f>
        <v>Health information</v>
      </c>
      <c r="B350" t="str">
        <f>IFERROR(__xludf.DUMMYFUNCTION("""COMPUTED_VALUE"""),"")</f>
        <v/>
      </c>
      <c r="C350" t="str">
        <f>IFERROR(__xludf.DUMMYFUNCTION("""COMPUTED_VALUE"""),"")</f>
        <v/>
      </c>
      <c r="D350" t="str">
        <f>IFERROR(__xludf.DUMMYFUNCTION("""COMPUTED_VALUE"""),"")</f>
        <v/>
      </c>
      <c r="E350" t="str">
        <f>IFERROR(__xludf.DUMMYFUNCTION("""COMPUTED_VALUE"""),"")</f>
        <v/>
      </c>
      <c r="F350" t="str">
        <f>IFERROR(__xludf.DUMMYFUNCTION("""COMPUTED_VALUE"""),"")</f>
        <v/>
      </c>
      <c r="G350" t="str">
        <f>IFERROR(__xludf.DUMMYFUNCTION("""COMPUTED_VALUE"""),"")</f>
        <v/>
      </c>
      <c r="H350" t="str">
        <f>IFERROR(__xludf.DUMMYFUNCTION("""COMPUTED_VALUE"""),"")</f>
        <v/>
      </c>
      <c r="I350" t="str">
        <f>IFERROR(__xludf.DUMMYFUNCTION("""COMPUTED_VALUE"""),"")</f>
        <v/>
      </c>
      <c r="J350" t="str">
        <f>IFERROR(__xludf.DUMMYFUNCTION("""COMPUTED_VALUE"""),"")</f>
        <v/>
      </c>
      <c r="K350" t="str">
        <f>IFERROR(__xludf.DUMMYFUNCTION("""COMPUTED_VALUE"""),"")</f>
        <v/>
      </c>
      <c r="L350" t="str">
        <f>IFERROR(__xludf.DUMMYFUNCTION("""COMPUTED_VALUE"""),"")</f>
        <v/>
      </c>
      <c r="M350" t="str">
        <f>IFERROR(__xludf.DUMMYFUNCTION("""COMPUTED_VALUE"""),"")</f>
        <v/>
      </c>
      <c r="N350" t="str">
        <f>IFERROR(__xludf.DUMMYFUNCTION("""COMPUTED_VALUE"""),"")</f>
        <v/>
      </c>
      <c r="O350" t="str">
        <f>IFERROR(__xludf.DUMMYFUNCTION("""COMPUTED_VALUE"""),"")</f>
        <v/>
      </c>
      <c r="P350" t="str">
        <f>IFERROR(__xludf.DUMMYFUNCTION("""COMPUTED_VALUE"""),"")</f>
        <v/>
      </c>
      <c r="Q350" t="str">
        <f>IFERROR(__xludf.DUMMYFUNCTION("""COMPUTED_VALUE"""),"")</f>
        <v/>
      </c>
      <c r="R350" t="str">
        <f>IFERROR(__xludf.DUMMYFUNCTION("""COMPUTED_VALUE"""),"")</f>
        <v/>
      </c>
      <c r="S350" t="str">
        <f>IFERROR(__xludf.DUMMYFUNCTION("""COMPUTED_VALUE"""),"")</f>
        <v/>
      </c>
      <c r="T350">
        <f>IFERROR(__xludf.DUMMYFUNCTION("""COMPUTED_VALUE"""),0.0)</f>
        <v>0</v>
      </c>
    </row>
    <row r="351">
      <c r="A351" t="str">
        <f>IFERROR(__xludf.DUMMYFUNCTION("""COMPUTED_VALUE"""),"Health financing")</f>
        <v>Health financing</v>
      </c>
      <c r="B351" t="str">
        <f>IFERROR(__xludf.DUMMYFUNCTION("""COMPUTED_VALUE"""),"")</f>
        <v/>
      </c>
      <c r="C351" t="str">
        <f>IFERROR(__xludf.DUMMYFUNCTION("""COMPUTED_VALUE"""),"")</f>
        <v/>
      </c>
      <c r="D351" t="str">
        <f>IFERROR(__xludf.DUMMYFUNCTION("""COMPUTED_VALUE"""),"")</f>
        <v/>
      </c>
      <c r="E351" t="str">
        <f>IFERROR(__xludf.DUMMYFUNCTION("""COMPUTED_VALUE"""),"")</f>
        <v/>
      </c>
      <c r="F351" t="str">
        <f>IFERROR(__xludf.DUMMYFUNCTION("""COMPUTED_VALUE"""),"")</f>
        <v/>
      </c>
      <c r="G351" t="str">
        <f>IFERROR(__xludf.DUMMYFUNCTION("""COMPUTED_VALUE"""),"")</f>
        <v/>
      </c>
      <c r="H351" t="str">
        <f>IFERROR(__xludf.DUMMYFUNCTION("""COMPUTED_VALUE"""),"")</f>
        <v/>
      </c>
      <c r="I351" t="str">
        <f>IFERROR(__xludf.DUMMYFUNCTION("""COMPUTED_VALUE"""),"")</f>
        <v/>
      </c>
      <c r="J351" t="str">
        <f>IFERROR(__xludf.DUMMYFUNCTION("""COMPUTED_VALUE"""),"")</f>
        <v/>
      </c>
      <c r="K351" t="str">
        <f>IFERROR(__xludf.DUMMYFUNCTION("""COMPUTED_VALUE"""),"")</f>
        <v/>
      </c>
      <c r="L351" t="str">
        <f>IFERROR(__xludf.DUMMYFUNCTION("""COMPUTED_VALUE"""),"")</f>
        <v/>
      </c>
      <c r="M351" t="str">
        <f>IFERROR(__xludf.DUMMYFUNCTION("""COMPUTED_VALUE"""),"")</f>
        <v/>
      </c>
      <c r="N351" t="str">
        <f>IFERROR(__xludf.DUMMYFUNCTION("""COMPUTED_VALUE"""),"")</f>
        <v/>
      </c>
      <c r="O351" t="str">
        <f>IFERROR(__xludf.DUMMYFUNCTION("""COMPUTED_VALUE"""),"")</f>
        <v/>
      </c>
      <c r="P351" t="str">
        <f>IFERROR(__xludf.DUMMYFUNCTION("""COMPUTED_VALUE"""),"")</f>
        <v/>
      </c>
      <c r="Q351" t="str">
        <f>IFERROR(__xludf.DUMMYFUNCTION("""COMPUTED_VALUE"""),"")</f>
        <v/>
      </c>
      <c r="R351" t="str">
        <f>IFERROR(__xludf.DUMMYFUNCTION("""COMPUTED_VALUE"""),"")</f>
        <v/>
      </c>
      <c r="S351" t="str">
        <f>IFERROR(__xludf.DUMMYFUNCTION("""COMPUTED_VALUE"""),"")</f>
        <v/>
      </c>
      <c r="T351">
        <f>IFERROR(__xludf.DUMMYFUNCTION("""COMPUTED_VALUE"""),0.0)</f>
        <v>0</v>
      </c>
    </row>
    <row r="352">
      <c r="A352" t="str">
        <f>IFERROR(__xludf.DUMMYFUNCTION("""COMPUTED_VALUE"""),"Health security")</f>
        <v>Health security</v>
      </c>
      <c r="B352" t="str">
        <f>IFERROR(__xludf.DUMMYFUNCTION("""COMPUTED_VALUE"""),"")</f>
        <v/>
      </c>
      <c r="C352" t="str">
        <f>IFERROR(__xludf.DUMMYFUNCTION("""COMPUTED_VALUE"""),"")</f>
        <v/>
      </c>
      <c r="D352" t="str">
        <f>IFERROR(__xludf.DUMMYFUNCTION("""COMPUTED_VALUE"""),"")</f>
        <v/>
      </c>
      <c r="E352" t="str">
        <f>IFERROR(__xludf.DUMMYFUNCTION("""COMPUTED_VALUE"""),"")</f>
        <v/>
      </c>
      <c r="F352" t="str">
        <f>IFERROR(__xludf.DUMMYFUNCTION("""COMPUTED_VALUE"""),"")</f>
        <v/>
      </c>
      <c r="G352" t="str">
        <f>IFERROR(__xludf.DUMMYFUNCTION("""COMPUTED_VALUE"""),"")</f>
        <v/>
      </c>
      <c r="H352" t="str">
        <f>IFERROR(__xludf.DUMMYFUNCTION("""COMPUTED_VALUE"""),"")</f>
        <v/>
      </c>
      <c r="I352" t="str">
        <f>IFERROR(__xludf.DUMMYFUNCTION("""COMPUTED_VALUE"""),"")</f>
        <v/>
      </c>
      <c r="J352" t="str">
        <f>IFERROR(__xludf.DUMMYFUNCTION("""COMPUTED_VALUE"""),"")</f>
        <v/>
      </c>
      <c r="K352" t="str">
        <f>IFERROR(__xludf.DUMMYFUNCTION("""COMPUTED_VALUE"""),"")</f>
        <v/>
      </c>
      <c r="L352" t="str">
        <f>IFERROR(__xludf.DUMMYFUNCTION("""COMPUTED_VALUE"""),"")</f>
        <v/>
      </c>
      <c r="M352" t="str">
        <f>IFERROR(__xludf.DUMMYFUNCTION("""COMPUTED_VALUE"""),"")</f>
        <v/>
      </c>
      <c r="N352" t="str">
        <f>IFERROR(__xludf.DUMMYFUNCTION("""COMPUTED_VALUE"""),"")</f>
        <v/>
      </c>
      <c r="O352" t="str">
        <f>IFERROR(__xludf.DUMMYFUNCTION("""COMPUTED_VALUE"""),"")</f>
        <v/>
      </c>
      <c r="P352" t="str">
        <f>IFERROR(__xludf.DUMMYFUNCTION("""COMPUTED_VALUE"""),"")</f>
        <v/>
      </c>
      <c r="Q352" t="str">
        <f>IFERROR(__xludf.DUMMYFUNCTION("""COMPUTED_VALUE"""),"")</f>
        <v/>
      </c>
      <c r="R352" t="str">
        <f>IFERROR(__xludf.DUMMYFUNCTION("""COMPUTED_VALUE"""),"")</f>
        <v/>
      </c>
      <c r="S352" t="str">
        <f>IFERROR(__xludf.DUMMYFUNCTION("""COMPUTED_VALUE"""),"")</f>
        <v/>
      </c>
      <c r="T352">
        <f>IFERROR(__xludf.DUMMYFUNCTION("""COMPUTED_VALUE"""),0.0)</f>
        <v>0</v>
      </c>
    </row>
    <row r="353">
      <c r="A353" t="str">
        <f>IFERROR(__xludf.DUMMYFUNCTION("""COMPUTED_VALUE"""),"Governance")</f>
        <v>Governance</v>
      </c>
      <c r="B353" t="str">
        <f>IFERROR(__xludf.DUMMYFUNCTION("""COMPUTED_VALUE"""),"")</f>
        <v/>
      </c>
      <c r="C353" t="str">
        <f>IFERROR(__xludf.DUMMYFUNCTION("""COMPUTED_VALUE"""),"")</f>
        <v/>
      </c>
      <c r="D353" t="str">
        <f>IFERROR(__xludf.DUMMYFUNCTION("""COMPUTED_VALUE"""),"")</f>
        <v/>
      </c>
      <c r="E353" t="str">
        <f>IFERROR(__xludf.DUMMYFUNCTION("""COMPUTED_VALUE"""),"")</f>
        <v/>
      </c>
      <c r="F353" t="str">
        <f>IFERROR(__xludf.DUMMYFUNCTION("""COMPUTED_VALUE"""),"")</f>
        <v/>
      </c>
      <c r="G353" t="str">
        <f>IFERROR(__xludf.DUMMYFUNCTION("""COMPUTED_VALUE"""),"")</f>
        <v/>
      </c>
      <c r="H353" t="str">
        <f>IFERROR(__xludf.DUMMYFUNCTION("""COMPUTED_VALUE"""),"")</f>
        <v/>
      </c>
      <c r="I353" t="str">
        <f>IFERROR(__xludf.DUMMYFUNCTION("""COMPUTED_VALUE"""),"")</f>
        <v/>
      </c>
      <c r="J353" t="str">
        <f>IFERROR(__xludf.DUMMYFUNCTION("""COMPUTED_VALUE"""),"")</f>
        <v/>
      </c>
      <c r="K353" t="str">
        <f>IFERROR(__xludf.DUMMYFUNCTION("""COMPUTED_VALUE"""),"")</f>
        <v/>
      </c>
      <c r="L353" t="str">
        <f>IFERROR(__xludf.DUMMYFUNCTION("""COMPUTED_VALUE"""),"")</f>
        <v/>
      </c>
      <c r="M353" t="str">
        <f>IFERROR(__xludf.DUMMYFUNCTION("""COMPUTED_VALUE"""),"")</f>
        <v/>
      </c>
      <c r="N353" t="str">
        <f>IFERROR(__xludf.DUMMYFUNCTION("""COMPUTED_VALUE"""),"")</f>
        <v/>
      </c>
      <c r="O353" t="str">
        <f>IFERROR(__xludf.DUMMYFUNCTION("""COMPUTED_VALUE"""),"")</f>
        <v/>
      </c>
      <c r="P353" t="str">
        <f>IFERROR(__xludf.DUMMYFUNCTION("""COMPUTED_VALUE"""),"")</f>
        <v/>
      </c>
      <c r="Q353" t="str">
        <f>IFERROR(__xludf.DUMMYFUNCTION("""COMPUTED_VALUE"""),"")</f>
        <v/>
      </c>
      <c r="R353" t="str">
        <f>IFERROR(__xludf.DUMMYFUNCTION("""COMPUTED_VALUE"""),"")</f>
        <v/>
      </c>
      <c r="S353" t="str">
        <f>IFERROR(__xludf.DUMMYFUNCTION("""COMPUTED_VALUE"""),"")</f>
        <v/>
      </c>
      <c r="T353">
        <f>IFERROR(__xludf.DUMMYFUNCTION("""COMPUTED_VALUE"""),0.0)</f>
        <v>0</v>
      </c>
    </row>
  </sheetData>
  <hyperlinks>
    <hyperlink r:id="rId1" ref="C2"/>
    <hyperlink r:id="rId2" ref="I2"/>
    <hyperlink r:id="rId3" ref="J2"/>
    <hyperlink r:id="rId4" ref="K2"/>
    <hyperlink r:id="rId5" ref="L2"/>
    <hyperlink r:id="rId6" ref="M2"/>
    <hyperlink r:id="rId7" ref="N2"/>
    <hyperlink r:id="rId8" location="health" ref="O2"/>
    <hyperlink r:id="rId9" ref="Q2"/>
    <hyperlink r:id="rId10" ref="I3"/>
    <hyperlink r:id="rId11" ref="J3"/>
    <hyperlink r:id="rId12" ref="K3"/>
    <hyperlink r:id="rId13" ref="M3"/>
    <hyperlink r:id="rId14" ref="N3"/>
    <hyperlink r:id="rId15" ref="Q3"/>
    <hyperlink r:id="rId16" ref="I4"/>
    <hyperlink r:id="rId17" ref="K4"/>
    <hyperlink r:id="rId18" ref="L4"/>
    <hyperlink r:id="rId19" ref="N4"/>
    <hyperlink r:id="rId20" location="health" ref="O4"/>
    <hyperlink r:id="rId21" ref="I5"/>
    <hyperlink r:id="rId22" ref="K5"/>
    <hyperlink r:id="rId23" ref="L5"/>
    <hyperlink r:id="rId24" ref="N5"/>
    <hyperlink r:id="rId25" location="health" ref="O5"/>
    <hyperlink r:id="rId26" ref="C6"/>
    <hyperlink r:id="rId27" ref="I6"/>
    <hyperlink r:id="rId28" ref="K6"/>
    <hyperlink r:id="rId29" ref="M6"/>
    <hyperlink r:id="rId30" ref="N6"/>
    <hyperlink r:id="rId31" location="health" ref="O6"/>
    <hyperlink r:id="rId32" ref="J7"/>
    <hyperlink r:id="rId33" ref="K7"/>
    <hyperlink r:id="rId34" ref="L7"/>
    <hyperlink r:id="rId35" ref="N7"/>
    <hyperlink r:id="rId36" ref="I8"/>
    <hyperlink r:id="rId37" ref="J8"/>
    <hyperlink r:id="rId38" ref="K8"/>
    <hyperlink r:id="rId39" ref="L8"/>
    <hyperlink r:id="rId40" ref="N8"/>
    <hyperlink r:id="rId41" ref="I9"/>
    <hyperlink r:id="rId42" ref="K9"/>
    <hyperlink r:id="rId43" ref="L9"/>
    <hyperlink r:id="rId44" ref="N9"/>
    <hyperlink r:id="rId45" ref="Q9"/>
    <hyperlink r:id="rId46" ref="I10"/>
    <hyperlink r:id="rId47" ref="K10"/>
    <hyperlink r:id="rId48" ref="L10"/>
    <hyperlink r:id="rId49" ref="N10"/>
    <hyperlink r:id="rId50" location="health" ref="O10"/>
    <hyperlink r:id="rId51" ref="I11"/>
    <hyperlink r:id="rId52" ref="K11"/>
    <hyperlink r:id="rId53" ref="L11"/>
    <hyperlink r:id="rId54" ref="N11"/>
    <hyperlink r:id="rId55" location="health" ref="O11"/>
    <hyperlink r:id="rId56" ref="J12"/>
    <hyperlink r:id="rId57" ref="K12"/>
    <hyperlink r:id="rId58" ref="L12"/>
    <hyperlink r:id="rId59" ref="N12"/>
    <hyperlink r:id="rId60" ref="Q12"/>
    <hyperlink r:id="rId61" ref="J13"/>
    <hyperlink r:id="rId62" ref="K13"/>
    <hyperlink r:id="rId63" ref="L13"/>
    <hyperlink r:id="rId64" ref="N13"/>
    <hyperlink r:id="rId65" ref="O13"/>
    <hyperlink r:id="rId66" ref="P13"/>
    <hyperlink r:id="rId67" ref="Q13"/>
    <hyperlink r:id="rId68" ref="J14"/>
    <hyperlink r:id="rId69" ref="K14"/>
    <hyperlink r:id="rId70" ref="L14"/>
    <hyperlink r:id="rId71" ref="N14"/>
    <hyperlink r:id="rId72" ref="Q14"/>
    <hyperlink r:id="rId73" ref="I15"/>
    <hyperlink r:id="rId74" ref="J15"/>
    <hyperlink r:id="rId75" ref="L15"/>
    <hyperlink r:id="rId76" ref="N15"/>
    <hyperlink r:id="rId77" ref="J16"/>
    <hyperlink r:id="rId78" ref="K16"/>
    <hyperlink r:id="rId79" ref="L16"/>
    <hyperlink r:id="rId80" ref="N16"/>
    <hyperlink r:id="rId81" ref="P16"/>
    <hyperlink r:id="rId82" ref="Q16"/>
    <hyperlink r:id="rId83" ref="C17"/>
    <hyperlink r:id="rId84" ref="I17"/>
    <hyperlink r:id="rId85" ref="K17"/>
    <hyperlink r:id="rId86" ref="L17"/>
    <hyperlink r:id="rId87" ref="M17"/>
    <hyperlink r:id="rId88" ref="N17"/>
    <hyperlink r:id="rId89" location="health" ref="O17"/>
    <hyperlink r:id="rId90" ref="Q17"/>
    <hyperlink r:id="rId91" ref="I18"/>
    <hyperlink r:id="rId92" ref="K18"/>
    <hyperlink r:id="rId93" ref="L18"/>
    <hyperlink r:id="rId94" ref="N18"/>
    <hyperlink r:id="rId95" ref="C19"/>
    <hyperlink r:id="rId96" ref="I19"/>
    <hyperlink r:id="rId97" ref="K19"/>
    <hyperlink r:id="rId98" ref="M19"/>
    <hyperlink r:id="rId99" ref="N19"/>
    <hyperlink r:id="rId100" location="health" ref="O19"/>
    <hyperlink r:id="rId101" ref="Q19"/>
    <hyperlink r:id="rId102" ref="C20"/>
    <hyperlink r:id="rId103" ref="I20"/>
    <hyperlink r:id="rId104" ref="K20"/>
    <hyperlink r:id="rId105" ref="L20"/>
    <hyperlink r:id="rId106" ref="N20"/>
    <hyperlink r:id="rId107" location="health" ref="O20"/>
    <hyperlink r:id="rId108" ref="I21"/>
    <hyperlink r:id="rId109" ref="K21"/>
    <hyperlink r:id="rId110" location="health" ref="O21"/>
    <hyperlink r:id="rId111" ref="I22"/>
    <hyperlink r:id="rId112" ref="K22"/>
    <hyperlink r:id="rId113" ref="L22"/>
    <hyperlink r:id="rId114" ref="M22"/>
    <hyperlink r:id="rId115" location="health" ref="O22"/>
    <hyperlink r:id="rId116" ref="Q22"/>
    <hyperlink r:id="rId117" ref="I23"/>
    <hyperlink r:id="rId118" ref="K23"/>
    <hyperlink r:id="rId119" ref="L23"/>
    <hyperlink r:id="rId120" ref="M23"/>
    <hyperlink r:id="rId121" location="health" ref="O23"/>
    <hyperlink r:id="rId122" ref="Q23"/>
    <hyperlink r:id="rId123" ref="I24"/>
    <hyperlink r:id="rId124" ref="K24"/>
    <hyperlink r:id="rId125" ref="N24"/>
    <hyperlink r:id="rId126" ref="Q24"/>
    <hyperlink r:id="rId127" ref="I25"/>
    <hyperlink r:id="rId128" ref="L25"/>
    <hyperlink r:id="rId129" ref="N25"/>
    <hyperlink r:id="rId130" ref="I26"/>
    <hyperlink r:id="rId131" ref="L26"/>
    <hyperlink r:id="rId132" ref="N26"/>
    <hyperlink r:id="rId133" ref="L27"/>
    <hyperlink r:id="rId134" ref="N27"/>
    <hyperlink r:id="rId135" ref="L28"/>
    <hyperlink r:id="rId136" ref="N28"/>
    <hyperlink r:id="rId137" ref="I29"/>
    <hyperlink r:id="rId138" ref="K29"/>
    <hyperlink r:id="rId139" ref="L29"/>
    <hyperlink r:id="rId140" ref="N29"/>
    <hyperlink r:id="rId141" location="health" ref="O29"/>
    <hyperlink r:id="rId142" ref="Q29"/>
    <hyperlink r:id="rId143" ref="J30"/>
    <hyperlink r:id="rId144" ref="K30"/>
    <hyperlink r:id="rId145" ref="N30"/>
    <hyperlink r:id="rId146" ref="P30"/>
    <hyperlink r:id="rId147" ref="Q30"/>
    <hyperlink r:id="rId148" ref="I31"/>
    <hyperlink r:id="rId149" ref="J31"/>
    <hyperlink r:id="rId150" ref="K31"/>
    <hyperlink r:id="rId151" ref="M31"/>
    <hyperlink r:id="rId152" ref="I32"/>
    <hyperlink r:id="rId153" ref="K32"/>
    <hyperlink r:id="rId154" ref="L32"/>
    <hyperlink r:id="rId155" ref="M32"/>
    <hyperlink r:id="rId156" ref="N32"/>
    <hyperlink r:id="rId157" ref="C33"/>
    <hyperlink r:id="rId158" ref="I33"/>
    <hyperlink r:id="rId159" ref="J33"/>
    <hyperlink r:id="rId160" ref="K33"/>
    <hyperlink r:id="rId161" location="health" ref="O33"/>
    <hyperlink r:id="rId162" ref="C34"/>
    <hyperlink r:id="rId163" ref="I34"/>
    <hyperlink r:id="rId164" ref="J34"/>
    <hyperlink r:id="rId165" ref="K34"/>
    <hyperlink r:id="rId166" location="health" ref="O34"/>
    <hyperlink r:id="rId167" ref="C35"/>
    <hyperlink r:id="rId168" ref="I35"/>
    <hyperlink r:id="rId169" ref="K35"/>
    <hyperlink r:id="rId170" ref="L35"/>
    <hyperlink r:id="rId171" location="health" ref="O35"/>
    <hyperlink r:id="rId172" ref="C36"/>
    <hyperlink r:id="rId173" ref="I36"/>
    <hyperlink r:id="rId174" ref="K36"/>
    <hyperlink r:id="rId175" ref="L36"/>
    <hyperlink r:id="rId176" ref="N36"/>
    <hyperlink r:id="rId177" location="health" ref="O36"/>
    <hyperlink r:id="rId178" ref="I37"/>
    <hyperlink r:id="rId179" ref="K37"/>
    <hyperlink r:id="rId180" ref="M37"/>
    <hyperlink r:id="rId181" ref="Q37"/>
    <hyperlink r:id="rId182" ref="I38"/>
    <hyperlink r:id="rId183" ref="K38"/>
    <hyperlink r:id="rId184" ref="N38"/>
    <hyperlink r:id="rId185" ref="Q38"/>
    <hyperlink r:id="rId186" ref="K39"/>
    <hyperlink r:id="rId187" ref="N39"/>
    <hyperlink r:id="rId188" ref="P39"/>
    <hyperlink r:id="rId189" ref="Q39"/>
    <hyperlink r:id="rId190" ref="K40"/>
    <hyperlink r:id="rId191" ref="M40"/>
    <hyperlink r:id="rId192" ref="N40"/>
    <hyperlink r:id="rId193" ref="P40"/>
    <hyperlink r:id="rId194" ref="K41"/>
    <hyperlink r:id="rId195" ref="P41"/>
    <hyperlink r:id="rId196" ref="Q41"/>
    <hyperlink r:id="rId197" ref="K42"/>
    <hyperlink r:id="rId198" location="health" ref="O42"/>
    <hyperlink r:id="rId199" ref="Q42"/>
    <hyperlink r:id="rId200" ref="K43"/>
    <hyperlink r:id="rId201" ref="N43"/>
    <hyperlink r:id="rId202" location="health" ref="O43"/>
    <hyperlink r:id="rId203" ref="Q43"/>
    <hyperlink r:id="rId204" ref="I44"/>
    <hyperlink r:id="rId205" ref="K44"/>
    <hyperlink r:id="rId206" ref="M44"/>
    <hyperlink r:id="rId207" ref="N44"/>
    <hyperlink r:id="rId208" ref="K45"/>
    <hyperlink r:id="rId209" ref="L45"/>
    <hyperlink r:id="rId210" ref="M45"/>
    <hyperlink r:id="rId211" ref="N45"/>
    <hyperlink r:id="rId212" location="health" ref="O45"/>
    <hyperlink r:id="rId213" ref="I46"/>
    <hyperlink r:id="rId214" ref="N46"/>
    <hyperlink r:id="rId215" ref="L47"/>
    <hyperlink r:id="rId216" ref="N47"/>
    <hyperlink r:id="rId217" ref="Q47"/>
    <hyperlink r:id="rId218" ref="J48"/>
    <hyperlink r:id="rId219" ref="K48"/>
    <hyperlink r:id="rId220" ref="L48"/>
    <hyperlink r:id="rId221" ref="N48"/>
    <hyperlink r:id="rId222" ref="O48"/>
    <hyperlink r:id="rId223" ref="J49"/>
    <hyperlink r:id="rId224" ref="K49"/>
    <hyperlink r:id="rId225" ref="L49"/>
    <hyperlink r:id="rId226" ref="N49"/>
    <hyperlink r:id="rId227" ref="O49"/>
    <hyperlink r:id="rId228" ref="I50"/>
    <hyperlink r:id="rId229" ref="J50"/>
    <hyperlink r:id="rId230" ref="K50"/>
    <hyperlink r:id="rId231" ref="P50"/>
    <hyperlink r:id="rId232" ref="J51"/>
    <hyperlink r:id="rId233" ref="K51"/>
    <hyperlink r:id="rId234" ref="N51"/>
    <hyperlink r:id="rId235" ref="P51"/>
    <hyperlink r:id="rId236" ref="Q51"/>
    <hyperlink r:id="rId237" ref="I52"/>
    <hyperlink r:id="rId238" ref="J52"/>
    <hyperlink r:id="rId239" ref="K52"/>
    <hyperlink r:id="rId240" ref="L52"/>
    <hyperlink r:id="rId241" location="health" ref="O52"/>
    <hyperlink r:id="rId242" ref="I53"/>
    <hyperlink r:id="rId243" ref="J53"/>
    <hyperlink r:id="rId244" ref="K53"/>
    <hyperlink r:id="rId245" ref="L53"/>
    <hyperlink r:id="rId246" ref="M53"/>
    <hyperlink r:id="rId247" ref="C54"/>
    <hyperlink r:id="rId248" ref="I54"/>
    <hyperlink r:id="rId249" ref="K54"/>
    <hyperlink r:id="rId250" location="health" ref="O54"/>
    <hyperlink r:id="rId251" ref="C55"/>
    <hyperlink r:id="rId252" ref="I55"/>
    <hyperlink r:id="rId253" ref="K55"/>
    <hyperlink r:id="rId254" ref="N55"/>
    <hyperlink r:id="rId255" location="health" ref="O55"/>
    <hyperlink r:id="rId256" ref="I56"/>
    <hyperlink r:id="rId257" ref="K56"/>
    <hyperlink r:id="rId258" ref="Q56"/>
    <hyperlink r:id="rId259" ref="K57"/>
    <hyperlink r:id="rId260" ref="N57"/>
    <hyperlink r:id="rId261" ref="P57"/>
    <hyperlink r:id="rId262" ref="Q57"/>
    <hyperlink r:id="rId263" ref="K58"/>
    <hyperlink r:id="rId264" ref="N58"/>
    <hyperlink r:id="rId265" ref="P58"/>
    <hyperlink r:id="rId266" ref="Q58"/>
    <hyperlink r:id="rId267" ref="I59"/>
    <hyperlink r:id="rId268" ref="L59"/>
    <hyperlink r:id="rId269" location="health" ref="O59"/>
    <hyperlink r:id="rId270" ref="Q59"/>
    <hyperlink r:id="rId271" ref="I60"/>
    <hyperlink r:id="rId272" ref="K60"/>
    <hyperlink r:id="rId273" ref="L60"/>
    <hyperlink r:id="rId274" location="health" ref="O60"/>
    <hyperlink r:id="rId275" ref="M61"/>
    <hyperlink r:id="rId276" ref="N61"/>
    <hyperlink r:id="rId277" ref="Q61"/>
    <hyperlink r:id="rId278" ref="J62"/>
    <hyperlink r:id="rId279" ref="K62"/>
    <hyperlink r:id="rId280" ref="N62"/>
    <hyperlink r:id="rId281" ref="I63"/>
    <hyperlink r:id="rId282" ref="Q63"/>
    <hyperlink r:id="rId283" ref="I64"/>
    <hyperlink r:id="rId284" ref="M64"/>
    <hyperlink r:id="rId285" location="health" ref="O64"/>
    <hyperlink r:id="rId286" ref="Q64"/>
    <hyperlink r:id="rId287" ref="I65"/>
    <hyperlink r:id="rId288" ref="M65"/>
    <hyperlink r:id="rId289" location="health" ref="O65"/>
    <hyperlink r:id="rId290" ref="J66"/>
    <hyperlink r:id="rId291" ref="K66"/>
    <hyperlink r:id="rId292" ref="P66"/>
    <hyperlink r:id="rId293" ref="Q66"/>
    <hyperlink r:id="rId294" ref="J67"/>
    <hyperlink r:id="rId295" ref="K67"/>
    <hyperlink r:id="rId296" ref="P67"/>
    <hyperlink r:id="rId297" ref="J68"/>
    <hyperlink r:id="rId298" ref="K68"/>
    <hyperlink r:id="rId299" ref="P68"/>
    <hyperlink r:id="rId300" ref="N69"/>
    <hyperlink r:id="rId301" ref="Q69"/>
    <hyperlink r:id="rId302" ref="J70"/>
    <hyperlink r:id="rId303" ref="N70"/>
    <hyperlink r:id="rId304" ref="Q70"/>
    <hyperlink r:id="rId305" ref="I71"/>
    <hyperlink r:id="rId306" ref="K71"/>
    <hyperlink r:id="rId307" ref="I72"/>
    <hyperlink r:id="rId308" ref="J72"/>
    <hyperlink r:id="rId309" ref="K72"/>
    <hyperlink r:id="rId310" ref="L72"/>
    <hyperlink r:id="rId311" ref="I73"/>
    <hyperlink r:id="rId312" ref="K73"/>
    <hyperlink r:id="rId313" ref="L73"/>
    <hyperlink r:id="rId314" ref="M73"/>
    <hyperlink r:id="rId315" ref="I74"/>
    <hyperlink r:id="rId316" ref="J74"/>
    <hyperlink r:id="rId317" location="health" ref="O74"/>
    <hyperlink r:id="rId318" ref="I75"/>
    <hyperlink r:id="rId319" ref="J75"/>
    <hyperlink r:id="rId320" location="health" ref="O75"/>
    <hyperlink r:id="rId321" ref="J76"/>
    <hyperlink r:id="rId322" ref="K76"/>
    <hyperlink r:id="rId323" ref="L76"/>
    <hyperlink r:id="rId324" ref="M76"/>
    <hyperlink r:id="rId325" ref="K77"/>
    <hyperlink r:id="rId326" ref="L78"/>
    <hyperlink r:id="rId327" ref="N78"/>
    <hyperlink r:id="rId328" ref="C79"/>
    <hyperlink r:id="rId329" ref="I79"/>
    <hyperlink r:id="rId330" ref="K79"/>
    <hyperlink r:id="rId331" location="health" ref="O79"/>
    <hyperlink r:id="rId332" ref="C80"/>
    <hyperlink r:id="rId333" ref="I80"/>
    <hyperlink r:id="rId334" ref="K80"/>
    <hyperlink r:id="rId335" ref="M80"/>
    <hyperlink r:id="rId336" ref="I81"/>
    <hyperlink r:id="rId337" ref="K81"/>
    <hyperlink r:id="rId338" location="health" ref="O81"/>
    <hyperlink r:id="rId339" ref="I82"/>
    <hyperlink r:id="rId340" ref="K82"/>
    <hyperlink r:id="rId341" ref="K83"/>
    <hyperlink r:id="rId342" ref="P83"/>
    <hyperlink r:id="rId343" ref="K84"/>
    <hyperlink r:id="rId344" ref="P84"/>
    <hyperlink r:id="rId345" ref="J85"/>
    <hyperlink r:id="rId346" ref="K85"/>
    <hyperlink r:id="rId347" ref="N85"/>
    <hyperlink r:id="rId348" ref="K86"/>
    <hyperlink r:id="rId349" ref="K87"/>
    <hyperlink r:id="rId350" location="health" ref="O87"/>
    <hyperlink r:id="rId351" ref="J88"/>
    <hyperlink r:id="rId352" ref="K88"/>
    <hyperlink r:id="rId353" ref="N88"/>
    <hyperlink r:id="rId354" ref="J89"/>
    <hyperlink r:id="rId355" ref="K89"/>
    <hyperlink r:id="rId356" ref="N89"/>
    <hyperlink r:id="rId357" ref="I90"/>
    <hyperlink r:id="rId358" ref="K90"/>
    <hyperlink r:id="rId359" ref="Q90"/>
    <hyperlink r:id="rId360" ref="I91"/>
    <hyperlink r:id="rId361" ref="K91"/>
    <hyperlink r:id="rId362" ref="M91"/>
    <hyperlink r:id="rId363" ref="I92"/>
    <hyperlink r:id="rId364" ref="K92"/>
    <hyperlink r:id="rId365" ref="M92"/>
    <hyperlink r:id="rId366" ref="I93"/>
    <hyperlink r:id="rId367" ref="Q93"/>
    <hyperlink r:id="rId368" ref="K94"/>
    <hyperlink r:id="rId369" ref="M94"/>
    <hyperlink r:id="rId370" ref="Q94"/>
    <hyperlink r:id="rId371" ref="I95"/>
    <hyperlink r:id="rId372" ref="N96"/>
    <hyperlink r:id="rId373" ref="Q96"/>
    <hyperlink r:id="rId374" ref="I97"/>
    <hyperlink r:id="rId375" ref="Q97"/>
    <hyperlink r:id="rId376" ref="I98"/>
    <hyperlink r:id="rId377" location="health" ref="O98"/>
    <hyperlink r:id="rId378" ref="Q98"/>
    <hyperlink r:id="rId379" ref="I99"/>
    <hyperlink r:id="rId380" ref="M99"/>
    <hyperlink r:id="rId381" location="health" ref="O99"/>
    <hyperlink r:id="rId382" ref="J100"/>
    <hyperlink r:id="rId383" ref="N100"/>
    <hyperlink r:id="rId384" ref="P100"/>
    <hyperlink r:id="rId385" ref="J101"/>
    <hyperlink r:id="rId386" ref="K101"/>
    <hyperlink r:id="rId387" ref="L101"/>
    <hyperlink r:id="rId388" ref="I102"/>
    <hyperlink r:id="rId389" ref="K102"/>
    <hyperlink r:id="rId390" location="health" ref="O102"/>
    <hyperlink r:id="rId391" ref="I103"/>
    <hyperlink r:id="rId392" ref="I104"/>
    <hyperlink r:id="rId393" ref="I105"/>
    <hyperlink r:id="rId394" ref="J107"/>
    <hyperlink r:id="rId395" ref="K107"/>
    <hyperlink r:id="rId396" ref="L107"/>
    <hyperlink r:id="rId397" ref="I108"/>
    <hyperlink r:id="rId398" location="health" ref="O108"/>
    <hyperlink r:id="rId399" ref="I109"/>
    <hyperlink r:id="rId400" location="health" ref="O109"/>
    <hyperlink r:id="rId401" ref="J110"/>
    <hyperlink r:id="rId402" ref="K110"/>
    <hyperlink r:id="rId403" ref="M110"/>
    <hyperlink r:id="rId404" ref="K111"/>
    <hyperlink r:id="rId405" ref="K112"/>
    <hyperlink r:id="rId406" ref="K113"/>
    <hyperlink r:id="rId407" location="health" ref="O114"/>
    <hyperlink r:id="rId408" ref="C115"/>
    <hyperlink r:id="rId409" ref="I115"/>
    <hyperlink r:id="rId410" location="health" ref="O115"/>
    <hyperlink r:id="rId411" ref="N116"/>
    <hyperlink r:id="rId412" ref="C117"/>
    <hyperlink r:id="rId413" ref="I117"/>
    <hyperlink r:id="rId414" ref="N117"/>
    <hyperlink r:id="rId415" ref="C118"/>
    <hyperlink r:id="rId416" ref="I118"/>
    <hyperlink r:id="rId417" ref="N118"/>
    <hyperlink r:id="rId418" ref="N119"/>
    <hyperlink r:id="rId419" ref="K120"/>
    <hyperlink r:id="rId420" ref="I121"/>
    <hyperlink r:id="rId421" ref="K121"/>
    <hyperlink r:id="rId422" ref="I122"/>
    <hyperlink r:id="rId423" ref="K122"/>
    <hyperlink r:id="rId424" ref="K123"/>
    <hyperlink r:id="rId425" ref="P123"/>
    <hyperlink r:id="rId426" ref="K124"/>
    <hyperlink r:id="rId427" ref="P124"/>
    <hyperlink r:id="rId428" ref="K125"/>
    <hyperlink r:id="rId429" ref="Q125"/>
    <hyperlink r:id="rId430" ref="I126"/>
    <hyperlink r:id="rId431" ref="K126"/>
    <hyperlink r:id="rId432" ref="I127"/>
    <hyperlink r:id="rId433" ref="K127"/>
    <hyperlink r:id="rId434" ref="I128"/>
    <hyperlink r:id="rId435" ref="K128"/>
    <hyperlink r:id="rId436" ref="I129"/>
    <hyperlink r:id="rId437" ref="K129"/>
    <hyperlink r:id="rId438" ref="I130"/>
    <hyperlink r:id="rId439" ref="K130"/>
    <hyperlink r:id="rId440" ref="I131"/>
    <hyperlink r:id="rId441" ref="K131"/>
    <hyperlink r:id="rId442" ref="I132"/>
    <hyperlink r:id="rId443" ref="K132"/>
    <hyperlink r:id="rId444" ref="I133"/>
    <hyperlink r:id="rId445" ref="K133"/>
    <hyperlink r:id="rId446" ref="K134"/>
    <hyperlink r:id="rId447" ref="N134"/>
    <hyperlink r:id="rId448" ref="P135"/>
    <hyperlink r:id="rId449" ref="I136"/>
    <hyperlink r:id="rId450" location="health" ref="O136"/>
    <hyperlink r:id="rId451" ref="I137"/>
    <hyperlink r:id="rId452" location="health" ref="O137"/>
    <hyperlink r:id="rId453" ref="I138"/>
    <hyperlink r:id="rId454" location="health" ref="O138"/>
    <hyperlink r:id="rId455" ref="I139"/>
    <hyperlink r:id="rId456" ref="Q139"/>
    <hyperlink r:id="rId457" ref="I140"/>
    <hyperlink r:id="rId458" ref="J141"/>
    <hyperlink r:id="rId459" ref="L141"/>
    <hyperlink r:id="rId460" ref="I142"/>
    <hyperlink r:id="rId461" ref="N142"/>
    <hyperlink r:id="rId462" ref="I143"/>
    <hyperlink r:id="rId463" ref="N143"/>
    <hyperlink r:id="rId464" ref="J144"/>
    <hyperlink r:id="rId465" ref="N144"/>
    <hyperlink r:id="rId466" ref="I145"/>
    <hyperlink r:id="rId467" location="health" ref="O145"/>
    <hyperlink r:id="rId468" ref="I146"/>
    <hyperlink r:id="rId469" ref="N146"/>
    <hyperlink r:id="rId470" ref="I147"/>
    <hyperlink r:id="rId471" ref="M147"/>
    <hyperlink r:id="rId472" ref="I148"/>
    <hyperlink r:id="rId473" ref="Q148"/>
    <hyperlink r:id="rId474" ref="P149"/>
    <hyperlink r:id="rId475" ref="Q149"/>
    <hyperlink r:id="rId476" ref="J150"/>
    <hyperlink r:id="rId477" ref="K150"/>
    <hyperlink r:id="rId478" ref="I151"/>
    <hyperlink r:id="rId479" ref="J152"/>
    <hyperlink r:id="rId480" ref="P152"/>
    <hyperlink r:id="rId481" ref="P153"/>
    <hyperlink r:id="rId482" ref="J154"/>
    <hyperlink r:id="rId483" ref="P154"/>
    <hyperlink r:id="rId484" ref="J155"/>
    <hyperlink r:id="rId485" ref="P155"/>
    <hyperlink r:id="rId486" ref="J156"/>
    <hyperlink r:id="rId487" ref="P156"/>
    <hyperlink r:id="rId488" ref="J157"/>
    <hyperlink r:id="rId489" ref="P157"/>
    <hyperlink r:id="rId490" ref="J158"/>
    <hyperlink r:id="rId491" ref="N158"/>
    <hyperlink r:id="rId492" ref="J159"/>
    <hyperlink r:id="rId493" ref="N159"/>
    <hyperlink r:id="rId494" ref="P162"/>
    <hyperlink r:id="rId495" ref="J163"/>
    <hyperlink r:id="rId496" ref="K163"/>
    <hyperlink r:id="rId497" ref="J164"/>
    <hyperlink r:id="rId498" ref="K164"/>
    <hyperlink r:id="rId499" ref="J165"/>
    <hyperlink r:id="rId500" ref="K165"/>
    <hyperlink r:id="rId501" ref="J166"/>
    <hyperlink r:id="rId502" ref="K166"/>
    <hyperlink r:id="rId503" ref="J167"/>
    <hyperlink r:id="rId504" ref="K167"/>
    <hyperlink r:id="rId505" ref="J168"/>
    <hyperlink r:id="rId506" ref="K168"/>
    <hyperlink r:id="rId507" ref="J169"/>
    <hyperlink r:id="rId508" ref="K169"/>
    <hyperlink r:id="rId509" ref="K171"/>
    <hyperlink r:id="rId510" ref="N171"/>
    <hyperlink r:id="rId511" ref="K172"/>
    <hyperlink r:id="rId512" ref="N172"/>
    <hyperlink r:id="rId513" ref="K173"/>
    <hyperlink r:id="rId514" ref="N173"/>
    <hyperlink r:id="rId515" ref="I174"/>
    <hyperlink r:id="rId516" location="health" ref="O174"/>
    <hyperlink r:id="rId517" ref="J185"/>
    <hyperlink r:id="rId518" ref="N185"/>
    <hyperlink r:id="rId519" ref="J186"/>
    <hyperlink r:id="rId520" ref="N186"/>
    <hyperlink r:id="rId521" ref="J187"/>
    <hyperlink r:id="rId522" ref="N187"/>
    <hyperlink r:id="rId523" ref="J188"/>
    <hyperlink r:id="rId524" ref="L188"/>
    <hyperlink r:id="rId525" ref="K189"/>
    <hyperlink r:id="rId526" ref="L189"/>
    <hyperlink r:id="rId527" ref="K190"/>
    <hyperlink r:id="rId528" ref="L190"/>
    <hyperlink r:id="rId529" ref="K191"/>
    <hyperlink r:id="rId530" ref="L191"/>
    <hyperlink r:id="rId531" ref="C192"/>
    <hyperlink r:id="rId532" ref="I192"/>
    <hyperlink r:id="rId533" ref="C193"/>
    <hyperlink r:id="rId534" ref="I193"/>
    <hyperlink r:id="rId535" ref="N194"/>
    <hyperlink r:id="rId536" ref="C195"/>
    <hyperlink r:id="rId537" ref="I195"/>
    <hyperlink r:id="rId538" location="health" ref="O196"/>
    <hyperlink r:id="rId539" ref="N197"/>
    <hyperlink r:id="rId540" ref="N198"/>
    <hyperlink r:id="rId541" ref="N199"/>
    <hyperlink r:id="rId542" ref="N200"/>
    <hyperlink r:id="rId543" location="health" ref="O201"/>
    <hyperlink r:id="rId544" location="health" ref="O202"/>
    <hyperlink r:id="rId545" ref="L203"/>
    <hyperlink r:id="rId546" ref="K204"/>
    <hyperlink r:id="rId547" ref="K205"/>
    <hyperlink r:id="rId548" ref="K206"/>
    <hyperlink r:id="rId549" ref="K207"/>
    <hyperlink r:id="rId550" ref="L208"/>
    <hyperlink r:id="rId551" ref="K209"/>
    <hyperlink r:id="rId552" ref="J214"/>
    <hyperlink r:id="rId553" ref="J215"/>
    <hyperlink r:id="rId554" ref="N216"/>
    <hyperlink r:id="rId555" ref="N217"/>
    <hyperlink r:id="rId556" ref="K218"/>
    <hyperlink r:id="rId557" ref="I219"/>
    <hyperlink r:id="rId558" ref="I220"/>
    <hyperlink r:id="rId559" ref="I221"/>
    <hyperlink r:id="rId560" ref="I223"/>
    <hyperlink r:id="rId561" ref="N225"/>
    <hyperlink r:id="rId562" ref="N226"/>
    <hyperlink r:id="rId563" ref="L227"/>
    <hyperlink r:id="rId564" ref="I228"/>
    <hyperlink r:id="rId565" ref="I229"/>
    <hyperlink r:id="rId566" ref="I230"/>
    <hyperlink r:id="rId567" ref="N232"/>
    <hyperlink r:id="rId568" ref="J233"/>
    <hyperlink r:id="rId569" ref="Q235"/>
    <hyperlink r:id="rId570" ref="Q237"/>
    <hyperlink r:id="rId571" ref="N239"/>
    <hyperlink r:id="rId572" ref="N240"/>
    <hyperlink r:id="rId573" ref="I241"/>
    <hyperlink r:id="rId574" ref="I242"/>
    <hyperlink r:id="rId575" ref="I243"/>
    <hyperlink r:id="rId576" ref="I244"/>
    <hyperlink r:id="rId577" ref="I245"/>
    <hyperlink r:id="rId578" ref="I246"/>
    <hyperlink r:id="rId579" ref="I247"/>
    <hyperlink r:id="rId580" ref="I248"/>
    <hyperlink r:id="rId581" ref="I249"/>
    <hyperlink r:id="rId582" ref="I250"/>
    <hyperlink r:id="rId583" ref="I251"/>
    <hyperlink r:id="rId584" ref="I252"/>
    <hyperlink r:id="rId585" ref="I253"/>
    <hyperlink r:id="rId586" ref="I254"/>
    <hyperlink r:id="rId587" ref="I255"/>
    <hyperlink r:id="rId588" ref="I256"/>
    <hyperlink r:id="rId589" ref="I257"/>
    <hyperlink r:id="rId590" ref="I258"/>
    <hyperlink r:id="rId591" ref="I259"/>
    <hyperlink r:id="rId592" ref="I260"/>
    <hyperlink r:id="rId593" ref="I261"/>
    <hyperlink r:id="rId594" ref="I262"/>
    <hyperlink r:id="rId595" ref="I263"/>
    <hyperlink r:id="rId596" ref="I264"/>
    <hyperlink r:id="rId597" ref="P265"/>
    <hyperlink r:id="rId598" ref="J267"/>
    <hyperlink r:id="rId599" ref="J269"/>
    <hyperlink r:id="rId600" ref="J270"/>
    <hyperlink r:id="rId601" ref="J271"/>
    <hyperlink r:id="rId602" ref="J272"/>
    <hyperlink r:id="rId603" ref="J273"/>
    <hyperlink r:id="rId604" ref="J274"/>
    <hyperlink r:id="rId605" ref="J275"/>
    <hyperlink r:id="rId606" ref="J276"/>
    <hyperlink r:id="rId607" ref="L277"/>
    <hyperlink r:id="rId608" ref="I278"/>
    <hyperlink r:id="rId609" ref="K281"/>
    <hyperlink r:id="rId610" ref="K282"/>
    <hyperlink r:id="rId611" ref="K283"/>
    <hyperlink r:id="rId612" ref="K284"/>
    <hyperlink r:id="rId613" ref="L285"/>
    <hyperlink r:id="rId614" ref="P287"/>
    <hyperlink r:id="rId615" ref="K288"/>
    <hyperlink r:id="rId616" ref="K289"/>
    <hyperlink r:id="rId617" ref="I290"/>
    <hyperlink r:id="rId618" ref="P291"/>
    <hyperlink r:id="rId619" ref="J292"/>
    <hyperlink r:id="rId620" ref="I293"/>
    <hyperlink r:id="rId621" ref="I294"/>
    <hyperlink r:id="rId622" ref="J295"/>
    <hyperlink r:id="rId623" ref="P296"/>
    <hyperlink r:id="rId624" ref="P297"/>
    <hyperlink r:id="rId625" ref="P298"/>
    <hyperlink r:id="rId626" ref="P299"/>
    <hyperlink r:id="rId627" ref="J300"/>
    <hyperlink r:id="rId628" ref="J301"/>
    <hyperlink r:id="rId629" ref="J302"/>
    <hyperlink r:id="rId630" ref="J303"/>
    <hyperlink r:id="rId631" ref="I304"/>
    <hyperlink r:id="rId632" ref="I306"/>
    <hyperlink r:id="rId633" ref="L307"/>
    <hyperlink r:id="rId634" ref="L308"/>
    <hyperlink r:id="rId635" ref="P310"/>
    <hyperlink r:id="rId636" ref="P311"/>
    <hyperlink r:id="rId637" ref="N312"/>
  </hyperlinks>
  <drawing r:id="rId6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3" t="s">
        <v>293</v>
      </c>
      <c r="B1" s="34"/>
      <c r="C1" s="34"/>
      <c r="D1" s="34"/>
      <c r="E1" s="34"/>
      <c r="F1" s="34"/>
      <c r="G1" s="34"/>
      <c r="H1" s="34"/>
      <c r="I1" s="34"/>
      <c r="J1" s="34"/>
      <c r="K1" s="34"/>
      <c r="L1" s="34"/>
      <c r="M1" s="34"/>
      <c r="N1" s="34"/>
      <c r="O1" s="34"/>
      <c r="P1" s="34"/>
      <c r="Q1" s="34"/>
      <c r="R1" s="34"/>
      <c r="S1" s="34"/>
      <c r="T1" s="34"/>
      <c r="U1" s="34"/>
      <c r="V1" s="34"/>
      <c r="W1" s="34"/>
      <c r="X1" s="34"/>
      <c r="Y1" s="34"/>
      <c r="Z1" s="34"/>
    </row>
    <row r="2">
      <c r="A2" t="s">
        <v>217</v>
      </c>
      <c r="B2">
        <v>5.9</v>
      </c>
      <c r="C2" s="19" t="s">
        <v>218</v>
      </c>
      <c r="F2">
        <v>2016.0</v>
      </c>
      <c r="G2" t="s">
        <v>212</v>
      </c>
      <c r="H2" t="s">
        <v>219</v>
      </c>
      <c r="I2" s="19" t="s">
        <v>209</v>
      </c>
      <c r="J2" s="19" t="s">
        <v>220</v>
      </c>
      <c r="K2" s="19" t="s">
        <v>122</v>
      </c>
      <c r="L2" s="19" t="s">
        <v>193</v>
      </c>
      <c r="M2" s="19" t="s">
        <v>214</v>
      </c>
      <c r="N2" s="19" t="s">
        <v>218</v>
      </c>
      <c r="O2" s="19" t="s">
        <v>96</v>
      </c>
      <c r="Q2" s="19" t="s">
        <v>221</v>
      </c>
      <c r="R2" t="s">
        <v>102</v>
      </c>
      <c r="T2">
        <v>9.0</v>
      </c>
    </row>
    <row r="3">
      <c r="A3" t="s">
        <v>210</v>
      </c>
      <c r="B3">
        <v>20.7</v>
      </c>
      <c r="C3" s="19" t="s">
        <v>211</v>
      </c>
      <c r="F3">
        <v>2015.0</v>
      </c>
      <c r="G3" t="s">
        <v>212</v>
      </c>
      <c r="H3" t="s">
        <v>213</v>
      </c>
      <c r="I3" s="19" t="s">
        <v>209</v>
      </c>
      <c r="K3" s="19" t="s">
        <v>122</v>
      </c>
      <c r="M3" s="19" t="s">
        <v>214</v>
      </c>
      <c r="N3" s="19" t="s">
        <v>211</v>
      </c>
      <c r="O3" s="19" t="s">
        <v>96</v>
      </c>
      <c r="P3" t="s">
        <v>215</v>
      </c>
      <c r="R3" t="s">
        <v>102</v>
      </c>
      <c r="S3" t="s">
        <v>216</v>
      </c>
      <c r="T3">
        <v>8.0</v>
      </c>
    </row>
    <row r="4">
      <c r="A4" t="s">
        <v>222</v>
      </c>
      <c r="B4">
        <v>3.9</v>
      </c>
      <c r="C4" s="19" t="s">
        <v>66</v>
      </c>
      <c r="F4">
        <v>2015.0</v>
      </c>
      <c r="G4" t="s">
        <v>212</v>
      </c>
      <c r="H4" t="s">
        <v>223</v>
      </c>
      <c r="I4" s="19" t="s">
        <v>209</v>
      </c>
      <c r="K4" s="19" t="s">
        <v>122</v>
      </c>
      <c r="L4" s="19" t="s">
        <v>193</v>
      </c>
      <c r="M4" s="19" t="s">
        <v>214</v>
      </c>
      <c r="N4" s="19" t="s">
        <v>224</v>
      </c>
      <c r="O4" s="19" t="s">
        <v>96</v>
      </c>
      <c r="Q4" s="19" t="s">
        <v>221</v>
      </c>
      <c r="T4">
        <v>7.0</v>
      </c>
    </row>
    <row r="5">
      <c r="A5" t="s">
        <v>225</v>
      </c>
      <c r="B5">
        <v>5.9</v>
      </c>
      <c r="C5" s="19" t="s">
        <v>226</v>
      </c>
      <c r="F5">
        <v>2014.0</v>
      </c>
      <c r="G5" t="s">
        <v>212</v>
      </c>
      <c r="H5" t="s">
        <v>227</v>
      </c>
      <c r="I5" s="19" t="s">
        <v>209</v>
      </c>
      <c r="K5" s="19" t="s">
        <v>122</v>
      </c>
      <c r="M5" s="19" t="s">
        <v>214</v>
      </c>
      <c r="N5" s="19" t="s">
        <v>164</v>
      </c>
      <c r="O5" s="19" t="s">
        <v>96</v>
      </c>
      <c r="Q5" s="19" t="s">
        <v>221</v>
      </c>
      <c r="T5">
        <v>6.0</v>
      </c>
    </row>
    <row r="6">
      <c r="A6" t="s">
        <v>230</v>
      </c>
      <c r="B6">
        <v>22.3</v>
      </c>
      <c r="C6" s="19" t="s">
        <v>231</v>
      </c>
      <c r="F6">
        <v>2015.0</v>
      </c>
      <c r="G6" t="s">
        <v>212</v>
      </c>
      <c r="H6" t="s">
        <v>232</v>
      </c>
      <c r="I6" s="19" t="s">
        <v>209</v>
      </c>
      <c r="K6" s="19" t="s">
        <v>122</v>
      </c>
      <c r="L6" s="19" t="s">
        <v>193</v>
      </c>
      <c r="N6" s="19" t="s">
        <v>231</v>
      </c>
      <c r="O6" s="19" t="s">
        <v>96</v>
      </c>
      <c r="T6">
        <v>5.0</v>
      </c>
    </row>
    <row r="7">
      <c r="A7" t="s">
        <v>312</v>
      </c>
      <c r="I7" s="19" t="s">
        <v>209</v>
      </c>
      <c r="K7" s="19" t="s">
        <v>122</v>
      </c>
      <c r="M7" s="19" t="s">
        <v>214</v>
      </c>
      <c r="N7" s="19" t="s">
        <v>164</v>
      </c>
      <c r="R7" t="s">
        <v>102</v>
      </c>
      <c r="T7">
        <v>5.0</v>
      </c>
    </row>
    <row r="8">
      <c r="A8" t="s">
        <v>228</v>
      </c>
      <c r="B8">
        <v>6.9</v>
      </c>
      <c r="C8" s="19" t="s">
        <v>66</v>
      </c>
      <c r="F8">
        <v>2015.0</v>
      </c>
      <c r="G8" t="s">
        <v>212</v>
      </c>
      <c r="H8" t="s">
        <v>229</v>
      </c>
      <c r="I8" s="19" t="s">
        <v>209</v>
      </c>
      <c r="K8" s="19" t="s">
        <v>122</v>
      </c>
      <c r="N8" s="19" t="s">
        <v>164</v>
      </c>
      <c r="O8" s="19" t="s">
        <v>96</v>
      </c>
      <c r="T8">
        <v>4.0</v>
      </c>
    </row>
    <row r="9">
      <c r="A9" t="s">
        <v>302</v>
      </c>
      <c r="H9" t="s">
        <v>303</v>
      </c>
      <c r="I9" s="19" t="s">
        <v>209</v>
      </c>
      <c r="L9" s="19" t="s">
        <v>193</v>
      </c>
      <c r="O9" s="19" t="s">
        <v>96</v>
      </c>
      <c r="Q9" s="19" t="s">
        <v>242</v>
      </c>
      <c r="T9">
        <v>4.0</v>
      </c>
    </row>
    <row r="10">
      <c r="A10" t="s">
        <v>304</v>
      </c>
      <c r="H10" t="s">
        <v>305</v>
      </c>
      <c r="I10" s="19" t="s">
        <v>209</v>
      </c>
      <c r="K10" s="19" t="s">
        <v>122</v>
      </c>
      <c r="L10" s="19" t="s">
        <v>193</v>
      </c>
      <c r="O10" s="19" t="s">
        <v>96</v>
      </c>
      <c r="T10">
        <v>4.0</v>
      </c>
    </row>
    <row r="11">
      <c r="A11" t="s">
        <v>321</v>
      </c>
      <c r="M11" s="19" t="s">
        <v>214</v>
      </c>
      <c r="N11" s="19" t="s">
        <v>164</v>
      </c>
      <c r="Q11" s="19" t="s">
        <v>221</v>
      </c>
      <c r="R11" t="s">
        <v>102</v>
      </c>
      <c r="T11">
        <v>4.0</v>
      </c>
    </row>
    <row r="12">
      <c r="A12" t="s">
        <v>323</v>
      </c>
      <c r="I12" s="19" t="s">
        <v>209</v>
      </c>
      <c r="M12" s="19" t="s">
        <v>214</v>
      </c>
      <c r="O12" s="19" t="s">
        <v>96</v>
      </c>
      <c r="Q12" s="19" t="s">
        <v>221</v>
      </c>
      <c r="T12">
        <v>4.0</v>
      </c>
    </row>
    <row r="13">
      <c r="A13" t="s">
        <v>326</v>
      </c>
      <c r="H13" t="s">
        <v>327</v>
      </c>
      <c r="I13" s="19" t="s">
        <v>209</v>
      </c>
      <c r="O13" s="19" t="s">
        <v>96</v>
      </c>
      <c r="Q13" s="19" t="s">
        <v>221</v>
      </c>
      <c r="T13">
        <v>3.0</v>
      </c>
    </row>
    <row r="14">
      <c r="A14" t="s">
        <v>330</v>
      </c>
      <c r="H14" t="s">
        <v>331</v>
      </c>
      <c r="I14" s="19" t="s">
        <v>209</v>
      </c>
      <c r="M14" s="19" t="s">
        <v>214</v>
      </c>
      <c r="O14" s="19" t="s">
        <v>96</v>
      </c>
      <c r="T14">
        <v>3.0</v>
      </c>
    </row>
    <row r="15">
      <c r="A15" t="s">
        <v>317</v>
      </c>
      <c r="I15" s="19" t="s">
        <v>209</v>
      </c>
      <c r="K15" s="19" t="s">
        <v>122</v>
      </c>
      <c r="T15">
        <v>2.0</v>
      </c>
    </row>
    <row r="16">
      <c r="A16" t="s">
        <v>336</v>
      </c>
      <c r="I16" s="19" t="s">
        <v>209</v>
      </c>
      <c r="O16" s="19" t="s">
        <v>96</v>
      </c>
      <c r="T16">
        <v>2.0</v>
      </c>
    </row>
    <row r="17">
      <c r="A17" s="9" t="s">
        <v>339</v>
      </c>
      <c r="I17" s="19" t="s">
        <v>209</v>
      </c>
      <c r="N17" s="19" t="s">
        <v>164</v>
      </c>
      <c r="T17">
        <v>2.0</v>
      </c>
    </row>
    <row r="18">
      <c r="A18" t="s">
        <v>347</v>
      </c>
      <c r="I18" s="19" t="s">
        <v>209</v>
      </c>
      <c r="M18" s="19" t="s">
        <v>214</v>
      </c>
      <c r="T18">
        <v>2.0</v>
      </c>
    </row>
    <row r="19">
      <c r="A19" t="s">
        <v>348</v>
      </c>
      <c r="H19" t="s">
        <v>349</v>
      </c>
      <c r="I19" s="19" t="s">
        <v>209</v>
      </c>
      <c r="O19" s="19" t="s">
        <v>96</v>
      </c>
      <c r="T19">
        <v>2.0</v>
      </c>
    </row>
    <row r="20">
      <c r="A20" t="s">
        <v>306</v>
      </c>
      <c r="L20" s="19" t="s">
        <v>193</v>
      </c>
      <c r="T20">
        <v>1.0</v>
      </c>
    </row>
    <row r="21">
      <c r="A21" t="s">
        <v>353</v>
      </c>
      <c r="R21" t="s">
        <v>102</v>
      </c>
      <c r="T21">
        <v>1.0</v>
      </c>
    </row>
    <row r="22">
      <c r="A22" t="s">
        <v>354</v>
      </c>
      <c r="I22" s="19" t="s">
        <v>209</v>
      </c>
      <c r="T22">
        <v>1.0</v>
      </c>
    </row>
    <row r="23">
      <c r="A23" t="s">
        <v>355</v>
      </c>
      <c r="I23" s="19" t="s">
        <v>209</v>
      </c>
      <c r="T23">
        <v>1.0</v>
      </c>
    </row>
    <row r="24">
      <c r="A24" t="s">
        <v>357</v>
      </c>
      <c r="I24" s="19" t="s">
        <v>209</v>
      </c>
      <c r="T24">
        <v>1.0</v>
      </c>
    </row>
    <row r="25" ht="16.5" customHeight="1">
      <c r="A25" t="s">
        <v>358</v>
      </c>
      <c r="H25" t="s">
        <v>359</v>
      </c>
      <c r="I25" s="19" t="s">
        <v>209</v>
      </c>
      <c r="T25">
        <v>1.0</v>
      </c>
    </row>
    <row r="26">
      <c r="A26" t="s">
        <v>361</v>
      </c>
      <c r="I26" s="19" t="s">
        <v>209</v>
      </c>
      <c r="T26">
        <v>1.0</v>
      </c>
    </row>
    <row r="27">
      <c r="A27" t="s">
        <v>363</v>
      </c>
      <c r="I27" s="19" t="s">
        <v>209</v>
      </c>
      <c r="T27">
        <v>1.0</v>
      </c>
    </row>
    <row r="28">
      <c r="A28" t="s">
        <v>364</v>
      </c>
      <c r="I28" s="19" t="s">
        <v>209</v>
      </c>
      <c r="T28">
        <v>1.0</v>
      </c>
    </row>
    <row r="29">
      <c r="A29" t="s">
        <v>366</v>
      </c>
      <c r="I29" s="19" t="s">
        <v>209</v>
      </c>
      <c r="T29">
        <v>1.0</v>
      </c>
    </row>
    <row r="30">
      <c r="A30" t="s">
        <v>368</v>
      </c>
      <c r="I30" s="19" t="s">
        <v>209</v>
      </c>
      <c r="T30">
        <v>1.0</v>
      </c>
    </row>
    <row r="32">
      <c r="A32" s="33" t="s">
        <v>369</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t="s">
        <v>253</v>
      </c>
      <c r="G33" t="s">
        <v>254</v>
      </c>
      <c r="H33" t="s">
        <v>255</v>
      </c>
      <c r="I33" s="19" t="s">
        <v>209</v>
      </c>
      <c r="J33" s="19" t="s">
        <v>256</v>
      </c>
      <c r="K33" s="19" t="s">
        <v>122</v>
      </c>
      <c r="M33" s="19" t="s">
        <v>214</v>
      </c>
      <c r="N33" s="19" t="s">
        <v>164</v>
      </c>
      <c r="P33" t="s">
        <v>257</v>
      </c>
      <c r="Q33" s="19" t="s">
        <v>221</v>
      </c>
      <c r="R33" t="s">
        <v>102</v>
      </c>
      <c r="S33" t="s">
        <v>258</v>
      </c>
      <c r="T33">
        <v>9.0</v>
      </c>
    </row>
    <row r="34">
      <c r="A34" t="s">
        <v>371</v>
      </c>
      <c r="J34" s="19" t="s">
        <v>256</v>
      </c>
      <c r="K34" s="19" t="s">
        <v>335</v>
      </c>
      <c r="L34" s="19" t="s">
        <v>193</v>
      </c>
      <c r="N34" s="19" t="s">
        <v>164</v>
      </c>
      <c r="P34" t="s">
        <v>372</v>
      </c>
      <c r="Q34" s="19" t="s">
        <v>221</v>
      </c>
      <c r="R34" t="s">
        <v>102</v>
      </c>
      <c r="S34" t="s">
        <v>257</v>
      </c>
      <c r="T34">
        <v>8.0</v>
      </c>
    </row>
    <row r="35">
      <c r="A35" t="s">
        <v>374</v>
      </c>
      <c r="G35" t="s">
        <v>376</v>
      </c>
      <c r="H35" t="s">
        <v>377</v>
      </c>
      <c r="J35" s="19" t="s">
        <v>256</v>
      </c>
      <c r="K35" s="19" t="s">
        <v>335</v>
      </c>
      <c r="L35" s="19" t="s">
        <v>193</v>
      </c>
      <c r="N35" s="19" t="s">
        <v>164</v>
      </c>
      <c r="P35" t="s">
        <v>372</v>
      </c>
      <c r="Q35" s="19" t="s">
        <v>221</v>
      </c>
      <c r="R35" t="s">
        <v>102</v>
      </c>
      <c r="S35" t="s">
        <v>257</v>
      </c>
      <c r="T35">
        <v>8.0</v>
      </c>
    </row>
    <row r="36">
      <c r="A36" t="s">
        <v>381</v>
      </c>
      <c r="G36" t="s">
        <v>382</v>
      </c>
      <c r="I36" s="19" t="s">
        <v>209</v>
      </c>
      <c r="K36" s="19" t="s">
        <v>335</v>
      </c>
      <c r="L36" s="19" t="s">
        <v>193</v>
      </c>
      <c r="N36" s="19" t="s">
        <v>164</v>
      </c>
      <c r="P36" t="s">
        <v>372</v>
      </c>
      <c r="R36" t="s">
        <v>102</v>
      </c>
      <c r="S36" t="s">
        <v>257</v>
      </c>
      <c r="T36">
        <v>7.0</v>
      </c>
    </row>
    <row r="37">
      <c r="A37" t="s">
        <v>384</v>
      </c>
      <c r="H37" t="s">
        <v>385</v>
      </c>
      <c r="L37" s="19" t="s">
        <v>193</v>
      </c>
      <c r="N37" s="19" t="s">
        <v>164</v>
      </c>
      <c r="P37" t="s">
        <v>257</v>
      </c>
      <c r="Q37" s="19" t="s">
        <v>221</v>
      </c>
      <c r="S37" t="s">
        <v>257</v>
      </c>
      <c r="T37">
        <v>5.0</v>
      </c>
    </row>
    <row r="38">
      <c r="A38" t="s">
        <v>350</v>
      </c>
      <c r="H38" t="s">
        <v>351</v>
      </c>
      <c r="J38" s="19" t="s">
        <v>256</v>
      </c>
      <c r="K38" s="19" t="s">
        <v>122</v>
      </c>
      <c r="N38" s="19" t="s">
        <v>164</v>
      </c>
      <c r="R38" t="s">
        <v>102</v>
      </c>
      <c r="T38">
        <v>4.0</v>
      </c>
    </row>
    <row r="39">
      <c r="A39" t="s">
        <v>388</v>
      </c>
      <c r="K39" s="19" t="s">
        <v>122</v>
      </c>
      <c r="N39" s="19" t="s">
        <v>164</v>
      </c>
      <c r="T39">
        <v>2.0</v>
      </c>
    </row>
    <row r="40">
      <c r="A40" t="s">
        <v>338</v>
      </c>
      <c r="G40" t="s">
        <v>340</v>
      </c>
      <c r="S40" t="s">
        <v>341</v>
      </c>
      <c r="T40">
        <v>1.0</v>
      </c>
    </row>
    <row r="41">
      <c r="A41" t="s">
        <v>352</v>
      </c>
      <c r="R41" t="s">
        <v>102</v>
      </c>
      <c r="T41">
        <v>1.0</v>
      </c>
    </row>
    <row r="42">
      <c r="A42" t="s">
        <v>391</v>
      </c>
      <c r="G42" t="s">
        <v>254</v>
      </c>
      <c r="S42" t="s">
        <v>392</v>
      </c>
      <c r="T42">
        <v>1.0</v>
      </c>
    </row>
    <row r="43">
      <c r="A43" t="s">
        <v>393</v>
      </c>
      <c r="N43" s="19" t="s">
        <v>164</v>
      </c>
      <c r="T43">
        <v>1.0</v>
      </c>
    </row>
    <row r="45">
      <c r="A45" s="33" t="s">
        <v>396</v>
      </c>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t="s">
        <v>397</v>
      </c>
      <c r="I46" s="19" t="s">
        <v>209</v>
      </c>
      <c r="J46" t="s">
        <v>273</v>
      </c>
      <c r="K46" s="19" t="s">
        <v>122</v>
      </c>
      <c r="L46" s="19" t="s">
        <v>193</v>
      </c>
      <c r="N46" s="19" t="s">
        <v>164</v>
      </c>
      <c r="O46" s="19" t="s">
        <v>96</v>
      </c>
      <c r="Q46" t="s">
        <v>261</v>
      </c>
      <c r="R46" t="s">
        <v>102</v>
      </c>
      <c r="S46" t="s">
        <v>296</v>
      </c>
      <c r="T46">
        <v>9.0</v>
      </c>
    </row>
    <row r="47">
      <c r="A47" t="s">
        <v>400</v>
      </c>
      <c r="I47" s="19" t="s">
        <v>209</v>
      </c>
      <c r="J47" t="s">
        <v>273</v>
      </c>
      <c r="K47" s="19" t="s">
        <v>122</v>
      </c>
      <c r="L47" s="19" t="s">
        <v>193</v>
      </c>
      <c r="N47" s="19" t="s">
        <v>164</v>
      </c>
      <c r="O47" s="19" t="s">
        <v>96</v>
      </c>
      <c r="Q47" t="s">
        <v>261</v>
      </c>
      <c r="R47" t="s">
        <v>102</v>
      </c>
      <c r="S47" t="s">
        <v>296</v>
      </c>
      <c r="T47">
        <v>9.0</v>
      </c>
    </row>
    <row r="48">
      <c r="A48" t="s">
        <v>405</v>
      </c>
      <c r="I48" s="19" t="s">
        <v>209</v>
      </c>
      <c r="K48" s="19" t="s">
        <v>86</v>
      </c>
      <c r="L48" s="19" t="s">
        <v>193</v>
      </c>
      <c r="N48" s="19" t="s">
        <v>164</v>
      </c>
      <c r="O48" s="19" t="s">
        <v>96</v>
      </c>
      <c r="Q48" t="s">
        <v>261</v>
      </c>
      <c r="R48" t="s">
        <v>102</v>
      </c>
      <c r="S48" t="s">
        <v>296</v>
      </c>
      <c r="T48">
        <v>8.0</v>
      </c>
    </row>
    <row r="49">
      <c r="A49" t="s">
        <v>409</v>
      </c>
      <c r="I49" s="19" t="s">
        <v>209</v>
      </c>
      <c r="K49" s="19" t="s">
        <v>86</v>
      </c>
      <c r="L49" s="19" t="s">
        <v>193</v>
      </c>
      <c r="N49" s="19" t="s">
        <v>164</v>
      </c>
      <c r="O49" s="19" t="s">
        <v>96</v>
      </c>
      <c r="Q49" t="s">
        <v>261</v>
      </c>
      <c r="R49" t="s">
        <v>102</v>
      </c>
      <c r="S49" t="s">
        <v>296</v>
      </c>
      <c r="T49">
        <v>8.0</v>
      </c>
    </row>
    <row r="50">
      <c r="A50" t="s">
        <v>413</v>
      </c>
      <c r="I50" s="19" t="s">
        <v>209</v>
      </c>
      <c r="L50" s="19" t="s">
        <v>193</v>
      </c>
      <c r="N50" s="19" t="s">
        <v>164</v>
      </c>
      <c r="Q50" t="s">
        <v>261</v>
      </c>
      <c r="R50" t="s">
        <v>102</v>
      </c>
      <c r="S50" t="s">
        <v>414</v>
      </c>
      <c r="T50">
        <v>6.0</v>
      </c>
    </row>
    <row r="51">
      <c r="A51" t="s">
        <v>417</v>
      </c>
      <c r="I51" s="19" t="s">
        <v>209</v>
      </c>
      <c r="L51" s="19" t="s">
        <v>193</v>
      </c>
      <c r="N51" s="19" t="s">
        <v>164</v>
      </c>
      <c r="Q51" t="s">
        <v>261</v>
      </c>
      <c r="R51" t="s">
        <v>102</v>
      </c>
      <c r="S51" t="s">
        <v>414</v>
      </c>
      <c r="T51">
        <v>6.0</v>
      </c>
    </row>
    <row r="52">
      <c r="A52" t="s">
        <v>267</v>
      </c>
      <c r="K52" s="19" t="s">
        <v>122</v>
      </c>
      <c r="N52" s="19" t="s">
        <v>164</v>
      </c>
      <c r="P52" s="19" t="s">
        <v>268</v>
      </c>
      <c r="Q52" s="19" t="s">
        <v>242</v>
      </c>
      <c r="R52" t="s">
        <v>102</v>
      </c>
      <c r="T52">
        <v>5.0</v>
      </c>
    </row>
    <row r="53">
      <c r="A53" t="s">
        <v>295</v>
      </c>
      <c r="K53" s="19" t="s">
        <v>122</v>
      </c>
      <c r="O53" s="19" t="s">
        <v>96</v>
      </c>
      <c r="Q53" s="19" t="s">
        <v>242</v>
      </c>
      <c r="R53" t="s">
        <v>102</v>
      </c>
      <c r="S53" t="s">
        <v>296</v>
      </c>
      <c r="T53">
        <v>5.0</v>
      </c>
    </row>
    <row r="54">
      <c r="A54" t="s">
        <v>386</v>
      </c>
      <c r="H54" t="s">
        <v>387</v>
      </c>
      <c r="K54" s="19" t="s">
        <v>122</v>
      </c>
      <c r="L54" s="19" t="s">
        <v>193</v>
      </c>
      <c r="M54" s="19" t="s">
        <v>214</v>
      </c>
      <c r="N54" s="19" t="s">
        <v>164</v>
      </c>
      <c r="O54" s="19" t="s">
        <v>96</v>
      </c>
      <c r="T54">
        <v>5.0</v>
      </c>
    </row>
    <row r="55">
      <c r="A55" t="s">
        <v>419</v>
      </c>
      <c r="I55" s="19" t="s">
        <v>209</v>
      </c>
      <c r="N55" s="19" t="s">
        <v>164</v>
      </c>
      <c r="Q55" t="s">
        <v>420</v>
      </c>
      <c r="R55" t="s">
        <v>102</v>
      </c>
      <c r="S55" t="s">
        <v>296</v>
      </c>
      <c r="T55">
        <v>5.0</v>
      </c>
    </row>
    <row r="56">
      <c r="A56" t="s">
        <v>277</v>
      </c>
      <c r="K56" s="19" t="s">
        <v>122</v>
      </c>
      <c r="N56" s="19" t="s">
        <v>164</v>
      </c>
      <c r="P56" s="19" t="s">
        <v>268</v>
      </c>
      <c r="Q56" s="19" t="s">
        <v>221</v>
      </c>
      <c r="T56">
        <v>4.0</v>
      </c>
    </row>
    <row r="57">
      <c r="A57" t="s">
        <v>421</v>
      </c>
      <c r="I57" s="19" t="s">
        <v>209</v>
      </c>
      <c r="Q57" s="19" t="s">
        <v>242</v>
      </c>
      <c r="R57" t="s">
        <v>102</v>
      </c>
      <c r="S57" t="s">
        <v>296</v>
      </c>
      <c r="T57">
        <v>4.0</v>
      </c>
    </row>
    <row r="58">
      <c r="A58" t="s">
        <v>422</v>
      </c>
      <c r="H58" t="s">
        <v>423</v>
      </c>
      <c r="J58" s="19" t="s">
        <v>256</v>
      </c>
      <c r="K58" s="19" t="s">
        <v>86</v>
      </c>
      <c r="P58" s="19" t="s">
        <v>268</v>
      </c>
      <c r="Q58" s="19" t="s">
        <v>221</v>
      </c>
      <c r="T58">
        <v>4.0</v>
      </c>
    </row>
    <row r="59">
      <c r="A59" t="s">
        <v>424</v>
      </c>
      <c r="H59" t="s">
        <v>425</v>
      </c>
      <c r="J59" s="19" t="s">
        <v>256</v>
      </c>
      <c r="K59" s="19" t="s">
        <v>122</v>
      </c>
      <c r="P59" s="19" t="s">
        <v>268</v>
      </c>
      <c r="S59" t="s">
        <v>426</v>
      </c>
      <c r="T59">
        <v>4.0</v>
      </c>
    </row>
    <row r="60">
      <c r="A60" t="s">
        <v>380</v>
      </c>
      <c r="H60" t="s">
        <v>379</v>
      </c>
      <c r="I60" s="19" t="s">
        <v>209</v>
      </c>
      <c r="Q60" s="19" t="s">
        <v>242</v>
      </c>
      <c r="S60" t="s">
        <v>296</v>
      </c>
      <c r="T60">
        <v>3.0</v>
      </c>
    </row>
    <row r="61">
      <c r="A61" t="s">
        <v>389</v>
      </c>
      <c r="H61" t="s">
        <v>390</v>
      </c>
      <c r="K61" s="19" t="s">
        <v>86</v>
      </c>
      <c r="M61" s="19" t="s">
        <v>214</v>
      </c>
      <c r="Q61" s="19" t="s">
        <v>221</v>
      </c>
      <c r="T61">
        <v>3.0</v>
      </c>
    </row>
    <row r="62">
      <c r="A62" t="s">
        <v>373</v>
      </c>
      <c r="H62" t="s">
        <v>375</v>
      </c>
      <c r="I62" s="19" t="s">
        <v>209</v>
      </c>
      <c r="O62" s="19" t="s">
        <v>96</v>
      </c>
      <c r="T62">
        <v>2.0</v>
      </c>
    </row>
    <row r="63">
      <c r="A63" t="s">
        <v>378</v>
      </c>
      <c r="H63" t="s">
        <v>379</v>
      </c>
      <c r="I63" s="19" t="s">
        <v>209</v>
      </c>
      <c r="O63" s="19" t="s">
        <v>96</v>
      </c>
      <c r="T63">
        <v>2.0</v>
      </c>
    </row>
    <row r="64">
      <c r="A64" t="s">
        <v>383</v>
      </c>
      <c r="I64" s="19" t="s">
        <v>209</v>
      </c>
      <c r="O64" s="19" t="s">
        <v>96</v>
      </c>
      <c r="T64">
        <v>2.0</v>
      </c>
    </row>
    <row r="65">
      <c r="A65" t="s">
        <v>433</v>
      </c>
      <c r="P65" s="19" t="s">
        <v>268</v>
      </c>
      <c r="Q65" s="19" t="s">
        <v>221</v>
      </c>
      <c r="T65">
        <v>2.0</v>
      </c>
    </row>
    <row r="66">
      <c r="A66" t="s">
        <v>338</v>
      </c>
      <c r="G66" t="s">
        <v>340</v>
      </c>
      <c r="S66" t="s">
        <v>341</v>
      </c>
      <c r="T66">
        <v>1.0</v>
      </c>
    </row>
    <row r="67">
      <c r="A67" t="s">
        <v>352</v>
      </c>
      <c r="R67" t="s">
        <v>102</v>
      </c>
      <c r="T67">
        <v>1.0</v>
      </c>
    </row>
    <row r="68">
      <c r="A68" t="s">
        <v>354</v>
      </c>
      <c r="I68" s="19" t="s">
        <v>209</v>
      </c>
      <c r="T68">
        <v>1.0</v>
      </c>
    </row>
    <row r="69">
      <c r="A69" t="s">
        <v>355</v>
      </c>
      <c r="I69" s="19" t="s">
        <v>209</v>
      </c>
      <c r="T69">
        <v>1.0</v>
      </c>
    </row>
    <row r="70">
      <c r="A70" t="s">
        <v>357</v>
      </c>
      <c r="I70" s="19" t="s">
        <v>209</v>
      </c>
      <c r="T70">
        <v>1.0</v>
      </c>
    </row>
    <row r="71">
      <c r="A71" t="s">
        <v>394</v>
      </c>
      <c r="R71" t="s">
        <v>102</v>
      </c>
      <c r="T71">
        <v>1.0</v>
      </c>
    </row>
    <row r="72">
      <c r="A72" t="s">
        <v>427</v>
      </c>
      <c r="N72" s="19" t="s">
        <v>164</v>
      </c>
      <c r="T72">
        <v>1.0</v>
      </c>
    </row>
    <row r="73">
      <c r="A73" t="s">
        <v>437</v>
      </c>
      <c r="I73" s="19" t="s">
        <v>209</v>
      </c>
      <c r="T73">
        <v>1.0</v>
      </c>
    </row>
    <row r="74">
      <c r="A74" t="s">
        <v>438</v>
      </c>
      <c r="J74" s="19" t="s">
        <v>77</v>
      </c>
      <c r="T74">
        <v>1.0</v>
      </c>
    </row>
    <row r="76">
      <c r="A76" s="33" t="s">
        <v>441</v>
      </c>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t="s">
        <v>281</v>
      </c>
      <c r="G77" t="s">
        <v>254</v>
      </c>
      <c r="H77" t="s">
        <v>282</v>
      </c>
      <c r="J77" s="19" t="s">
        <v>256</v>
      </c>
      <c r="K77" s="19" t="s">
        <v>122</v>
      </c>
      <c r="L77" s="19" t="s">
        <v>193</v>
      </c>
      <c r="N77" s="19" t="s">
        <v>164</v>
      </c>
      <c r="P77" t="s">
        <v>283</v>
      </c>
      <c r="Q77" t="s">
        <v>261</v>
      </c>
      <c r="R77" t="s">
        <v>102</v>
      </c>
      <c r="S77" t="s">
        <v>284</v>
      </c>
      <c r="T77">
        <v>8.0</v>
      </c>
    </row>
    <row r="78">
      <c r="A78" t="s">
        <v>411</v>
      </c>
      <c r="H78" t="s">
        <v>412</v>
      </c>
      <c r="I78" s="19" t="s">
        <v>209</v>
      </c>
      <c r="J78" s="19" t="s">
        <v>256</v>
      </c>
      <c r="K78" s="19" t="s">
        <v>122</v>
      </c>
      <c r="L78" s="19" t="s">
        <v>193</v>
      </c>
      <c r="N78" s="19" t="s">
        <v>164</v>
      </c>
      <c r="P78" t="s">
        <v>283</v>
      </c>
      <c r="Q78" t="s">
        <v>261</v>
      </c>
      <c r="S78" t="s">
        <v>288</v>
      </c>
      <c r="T78">
        <v>8.0</v>
      </c>
    </row>
    <row r="79">
      <c r="A79" t="s">
        <v>415</v>
      </c>
      <c r="H79" t="s">
        <v>416</v>
      </c>
      <c r="I79" s="19" t="s">
        <v>209</v>
      </c>
      <c r="J79" t="s">
        <v>273</v>
      </c>
      <c r="K79" s="19" t="s">
        <v>122</v>
      </c>
      <c r="L79" s="19" t="s">
        <v>193</v>
      </c>
      <c r="N79" s="19" t="s">
        <v>164</v>
      </c>
      <c r="Q79" s="19" t="s">
        <v>242</v>
      </c>
      <c r="R79" t="s">
        <v>102</v>
      </c>
      <c r="S79" t="s">
        <v>418</v>
      </c>
      <c r="T79">
        <v>8.0</v>
      </c>
    </row>
    <row r="80">
      <c r="A80" t="s">
        <v>453</v>
      </c>
      <c r="G80" t="s">
        <v>254</v>
      </c>
      <c r="H80" t="s">
        <v>454</v>
      </c>
      <c r="I80" s="19" t="s">
        <v>209</v>
      </c>
      <c r="J80" s="19" t="s">
        <v>256</v>
      </c>
      <c r="L80" s="19" t="s">
        <v>193</v>
      </c>
      <c r="N80" s="19" t="s">
        <v>164</v>
      </c>
      <c r="P80" t="s">
        <v>283</v>
      </c>
      <c r="Q80" t="s">
        <v>261</v>
      </c>
      <c r="R80" t="s">
        <v>102</v>
      </c>
      <c r="S80" t="s">
        <v>284</v>
      </c>
      <c r="T80">
        <v>8.0</v>
      </c>
    </row>
    <row r="81">
      <c r="A81" t="s">
        <v>428</v>
      </c>
      <c r="G81" t="s">
        <v>254</v>
      </c>
      <c r="H81" t="s">
        <v>429</v>
      </c>
      <c r="L81" s="19" t="s">
        <v>193</v>
      </c>
      <c r="N81" s="19" t="s">
        <v>164</v>
      </c>
      <c r="P81" t="s">
        <v>430</v>
      </c>
      <c r="Q81" t="s">
        <v>261</v>
      </c>
      <c r="R81" t="s">
        <v>102</v>
      </c>
      <c r="S81" t="s">
        <v>284</v>
      </c>
      <c r="T81">
        <v>6.0</v>
      </c>
    </row>
    <row r="82">
      <c r="A82" t="s">
        <v>431</v>
      </c>
      <c r="G82" t="s">
        <v>254</v>
      </c>
      <c r="H82" t="s">
        <v>432</v>
      </c>
      <c r="L82" s="19" t="s">
        <v>193</v>
      </c>
      <c r="N82" s="19" t="s">
        <v>164</v>
      </c>
      <c r="P82" t="s">
        <v>283</v>
      </c>
      <c r="Q82" t="s">
        <v>261</v>
      </c>
      <c r="R82" t="s">
        <v>102</v>
      </c>
      <c r="S82" t="s">
        <v>284</v>
      </c>
      <c r="T82">
        <v>6.0</v>
      </c>
    </row>
    <row r="83">
      <c r="A83" t="s">
        <v>463</v>
      </c>
      <c r="G83" t="s">
        <v>464</v>
      </c>
      <c r="N83" s="19" t="s">
        <v>164</v>
      </c>
      <c r="P83" t="s">
        <v>430</v>
      </c>
      <c r="Q83" s="19" t="s">
        <v>221</v>
      </c>
      <c r="S83" t="s">
        <v>284</v>
      </c>
      <c r="T83">
        <v>4.0</v>
      </c>
    </row>
    <row r="84">
      <c r="A84" t="s">
        <v>285</v>
      </c>
      <c r="H84" t="s">
        <v>282</v>
      </c>
      <c r="J84" s="19" t="s">
        <v>220</v>
      </c>
      <c r="K84" s="19" t="s">
        <v>122</v>
      </c>
      <c r="N84" s="19" t="s">
        <v>164</v>
      </c>
      <c r="T84">
        <v>3.0</v>
      </c>
    </row>
    <row r="85">
      <c r="A85" t="s">
        <v>287</v>
      </c>
      <c r="K85" s="19" t="s">
        <v>122</v>
      </c>
      <c r="P85" t="s">
        <v>288</v>
      </c>
      <c r="S85" t="s">
        <v>288</v>
      </c>
      <c r="T85">
        <v>3.0</v>
      </c>
    </row>
    <row r="86">
      <c r="A86" t="s">
        <v>434</v>
      </c>
      <c r="G86" t="s">
        <v>126</v>
      </c>
      <c r="N86" s="19" t="s">
        <v>164</v>
      </c>
      <c r="Q86" s="19" t="s">
        <v>221</v>
      </c>
      <c r="S86" t="s">
        <v>418</v>
      </c>
      <c r="T86">
        <v>3.0</v>
      </c>
    </row>
    <row r="87">
      <c r="A87" t="s">
        <v>391</v>
      </c>
      <c r="G87" t="s">
        <v>254</v>
      </c>
      <c r="S87" t="s">
        <v>392</v>
      </c>
      <c r="T87">
        <v>1.0</v>
      </c>
    </row>
    <row r="88">
      <c r="A88" t="s">
        <v>475</v>
      </c>
      <c r="L88" s="19" t="s">
        <v>193</v>
      </c>
      <c r="T88">
        <v>1.0</v>
      </c>
    </row>
    <row r="89">
      <c r="A89" t="s">
        <v>476</v>
      </c>
      <c r="K89" s="19" t="s">
        <v>122</v>
      </c>
      <c r="T89">
        <v>1.0</v>
      </c>
    </row>
    <row r="90">
      <c r="A90" t="s">
        <v>477</v>
      </c>
      <c r="J90" s="19" t="s">
        <v>77</v>
      </c>
      <c r="T90">
        <v>1.0</v>
      </c>
    </row>
    <row r="92">
      <c r="A92" s="33" t="s">
        <v>479</v>
      </c>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t="s">
        <v>480</v>
      </c>
      <c r="H93" t="s">
        <v>481</v>
      </c>
      <c r="J93" s="19" t="s">
        <v>256</v>
      </c>
      <c r="K93" s="19" t="s">
        <v>122</v>
      </c>
      <c r="L93" s="19" t="s">
        <v>193</v>
      </c>
      <c r="N93" s="19" t="s">
        <v>164</v>
      </c>
      <c r="O93" s="19" t="s">
        <v>482</v>
      </c>
      <c r="P93" s="19" t="s">
        <v>268</v>
      </c>
      <c r="Q93" s="19" t="s">
        <v>221</v>
      </c>
      <c r="R93" t="s">
        <v>102</v>
      </c>
      <c r="T93">
        <v>8.0</v>
      </c>
    </row>
    <row r="94">
      <c r="A94" t="s">
        <v>309</v>
      </c>
      <c r="I94" s="19" t="s">
        <v>209</v>
      </c>
      <c r="K94" s="19" t="s">
        <v>122</v>
      </c>
      <c r="L94" s="19" t="s">
        <v>193</v>
      </c>
      <c r="M94" s="19" t="s">
        <v>214</v>
      </c>
      <c r="O94" s="19" t="s">
        <v>96</v>
      </c>
      <c r="Q94" s="19" t="s">
        <v>242</v>
      </c>
      <c r="T94">
        <v>6.0</v>
      </c>
    </row>
    <row r="95" ht="15.0" customHeight="1">
      <c r="A95" t="s">
        <v>310</v>
      </c>
      <c r="H95" t="s">
        <v>311</v>
      </c>
      <c r="I95" s="19" t="s">
        <v>209</v>
      </c>
      <c r="K95" s="19" t="s">
        <v>122</v>
      </c>
      <c r="L95" s="19" t="s">
        <v>193</v>
      </c>
      <c r="M95" s="19" t="s">
        <v>214</v>
      </c>
      <c r="O95" s="19" t="s">
        <v>96</v>
      </c>
      <c r="Q95" s="19" t="s">
        <v>242</v>
      </c>
      <c r="T95">
        <v>6.0</v>
      </c>
    </row>
    <row r="96">
      <c r="A96" t="s">
        <v>483</v>
      </c>
      <c r="H96" t="s">
        <v>484</v>
      </c>
      <c r="I96" s="19" t="s">
        <v>209</v>
      </c>
      <c r="K96" s="19" t="s">
        <v>122</v>
      </c>
      <c r="L96" s="19" t="s">
        <v>193</v>
      </c>
      <c r="N96" s="19" t="s">
        <v>164</v>
      </c>
      <c r="O96" s="19" t="s">
        <v>96</v>
      </c>
      <c r="Q96" s="19" t="s">
        <v>221</v>
      </c>
      <c r="T96">
        <v>6.0</v>
      </c>
    </row>
    <row r="97">
      <c r="A97" t="s">
        <v>486</v>
      </c>
      <c r="H97" t="s">
        <v>487</v>
      </c>
      <c r="J97" s="19" t="s">
        <v>256</v>
      </c>
      <c r="K97" s="19" t="s">
        <v>122</v>
      </c>
      <c r="N97" s="19" t="s">
        <v>164</v>
      </c>
      <c r="P97" s="19" t="s">
        <v>268</v>
      </c>
      <c r="Q97" s="19" t="s">
        <v>221</v>
      </c>
      <c r="R97" t="s">
        <v>102</v>
      </c>
      <c r="T97">
        <v>6.0</v>
      </c>
    </row>
    <row r="98">
      <c r="A98" t="s">
        <v>241</v>
      </c>
      <c r="I98" s="19" t="s">
        <v>209</v>
      </c>
      <c r="K98" s="19" t="s">
        <v>122</v>
      </c>
      <c r="M98" s="19" t="s">
        <v>214</v>
      </c>
      <c r="Q98" s="19" t="s">
        <v>242</v>
      </c>
      <c r="R98" t="s">
        <v>102</v>
      </c>
      <c r="T98">
        <v>5.0</v>
      </c>
    </row>
    <row r="99">
      <c r="A99" t="s">
        <v>269</v>
      </c>
      <c r="H99" t="s">
        <v>270</v>
      </c>
      <c r="K99" s="19" t="s">
        <v>122</v>
      </c>
      <c r="M99" s="19" t="s">
        <v>214</v>
      </c>
      <c r="N99" s="19" t="s">
        <v>164</v>
      </c>
      <c r="P99" s="19" t="s">
        <v>268</v>
      </c>
      <c r="R99" t="s">
        <v>102</v>
      </c>
      <c r="T99">
        <v>5.0</v>
      </c>
    </row>
    <row r="100">
      <c r="A100" t="s">
        <v>490</v>
      </c>
      <c r="J100" s="19" t="s">
        <v>77</v>
      </c>
      <c r="K100" s="19" t="s">
        <v>122</v>
      </c>
      <c r="L100" s="19" t="s">
        <v>193</v>
      </c>
      <c r="N100" s="19" t="s">
        <v>164</v>
      </c>
      <c r="O100" s="19" t="s">
        <v>482</v>
      </c>
      <c r="T100">
        <v>5.0</v>
      </c>
    </row>
    <row r="101">
      <c r="A101" t="s">
        <v>491</v>
      </c>
      <c r="J101" s="19" t="s">
        <v>77</v>
      </c>
      <c r="K101" s="19" t="s">
        <v>122</v>
      </c>
      <c r="L101" s="19" t="s">
        <v>193</v>
      </c>
      <c r="N101" s="19" t="s">
        <v>164</v>
      </c>
      <c r="O101" s="19" t="s">
        <v>482</v>
      </c>
      <c r="T101">
        <v>5.0</v>
      </c>
    </row>
    <row r="102">
      <c r="A102" t="s">
        <v>492</v>
      </c>
      <c r="H102" t="s">
        <v>493</v>
      </c>
      <c r="I102" s="19" t="s">
        <v>209</v>
      </c>
      <c r="J102" s="19" t="s">
        <v>256</v>
      </c>
      <c r="K102" s="19" t="s">
        <v>122</v>
      </c>
      <c r="P102" s="19" t="s">
        <v>268</v>
      </c>
      <c r="R102" t="s">
        <v>102</v>
      </c>
      <c r="T102">
        <v>5.0</v>
      </c>
    </row>
    <row r="103">
      <c r="A103" t="s">
        <v>494</v>
      </c>
      <c r="H103" t="s">
        <v>495</v>
      </c>
      <c r="J103" s="19" t="s">
        <v>256</v>
      </c>
      <c r="K103" s="19" t="s">
        <v>86</v>
      </c>
      <c r="N103" s="19" t="s">
        <v>164</v>
      </c>
      <c r="P103" s="19" t="s">
        <v>268</v>
      </c>
      <c r="Q103" s="19" t="s">
        <v>221</v>
      </c>
      <c r="T103">
        <v>5.0</v>
      </c>
    </row>
    <row r="104">
      <c r="A104" t="s">
        <v>496</v>
      </c>
      <c r="I104" s="19" t="s">
        <v>209</v>
      </c>
      <c r="M104" s="19" t="s">
        <v>214</v>
      </c>
      <c r="O104" s="19" t="s">
        <v>96</v>
      </c>
      <c r="Q104" t="s">
        <v>261</v>
      </c>
      <c r="T104">
        <v>4.0</v>
      </c>
    </row>
    <row r="105">
      <c r="A105" t="s">
        <v>422</v>
      </c>
      <c r="H105" t="s">
        <v>423</v>
      </c>
      <c r="J105" s="19" t="s">
        <v>256</v>
      </c>
      <c r="K105" s="19" t="s">
        <v>86</v>
      </c>
      <c r="P105" s="19" t="s">
        <v>268</v>
      </c>
      <c r="Q105" s="19" t="s">
        <v>221</v>
      </c>
      <c r="T105">
        <v>4.0</v>
      </c>
    </row>
    <row r="106">
      <c r="A106" t="s">
        <v>424</v>
      </c>
      <c r="H106" t="s">
        <v>425</v>
      </c>
      <c r="J106" s="19" t="s">
        <v>256</v>
      </c>
      <c r="K106" s="19" t="s">
        <v>122</v>
      </c>
      <c r="P106" s="19" t="s">
        <v>268</v>
      </c>
      <c r="S106" t="s">
        <v>426</v>
      </c>
      <c r="T106">
        <v>4.0</v>
      </c>
    </row>
    <row r="107">
      <c r="A107" t="s">
        <v>497</v>
      </c>
      <c r="H107" t="s">
        <v>493</v>
      </c>
      <c r="J107" s="19" t="s">
        <v>256</v>
      </c>
      <c r="K107" s="19" t="s">
        <v>122</v>
      </c>
      <c r="P107" s="19" t="s">
        <v>268</v>
      </c>
      <c r="R107" t="s">
        <v>102</v>
      </c>
      <c r="T107">
        <v>4.0</v>
      </c>
    </row>
    <row r="108">
      <c r="A108" t="s">
        <v>499</v>
      </c>
      <c r="J108" s="19" t="s">
        <v>256</v>
      </c>
      <c r="N108" s="19" t="s">
        <v>164</v>
      </c>
      <c r="Q108" s="19" t="s">
        <v>221</v>
      </c>
      <c r="S108" t="s">
        <v>501</v>
      </c>
      <c r="T108">
        <v>4.0</v>
      </c>
    </row>
    <row r="109">
      <c r="A109" t="s">
        <v>237</v>
      </c>
      <c r="B109">
        <v>2.8</v>
      </c>
      <c r="C109" s="19" t="s">
        <v>238</v>
      </c>
      <c r="F109">
        <v>2017.0</v>
      </c>
      <c r="G109" t="s">
        <v>239</v>
      </c>
      <c r="H109" t="s">
        <v>240</v>
      </c>
      <c r="I109" s="19" t="s">
        <v>209</v>
      </c>
      <c r="K109" s="19" t="s">
        <v>122</v>
      </c>
      <c r="O109" s="19" t="s">
        <v>96</v>
      </c>
      <c r="T109">
        <v>3.0</v>
      </c>
    </row>
    <row r="110">
      <c r="A110" t="s">
        <v>243</v>
      </c>
      <c r="B110">
        <v>2053.0</v>
      </c>
      <c r="C110" s="19" t="s">
        <v>66</v>
      </c>
      <c r="F110">
        <v>2016.0</v>
      </c>
      <c r="G110" t="s">
        <v>239</v>
      </c>
      <c r="I110" s="19" t="s">
        <v>209</v>
      </c>
      <c r="K110" s="19" t="s">
        <v>122</v>
      </c>
      <c r="M110" s="19" t="s">
        <v>214</v>
      </c>
      <c r="T110">
        <v>3.0</v>
      </c>
    </row>
    <row r="111">
      <c r="A111" t="s">
        <v>244</v>
      </c>
      <c r="H111" t="s">
        <v>245</v>
      </c>
      <c r="I111" s="19" t="s">
        <v>209</v>
      </c>
      <c r="K111" s="19" t="s">
        <v>122</v>
      </c>
      <c r="O111" s="19" t="s">
        <v>96</v>
      </c>
      <c r="T111">
        <v>3.0</v>
      </c>
    </row>
    <row r="112">
      <c r="A112" t="s">
        <v>278</v>
      </c>
      <c r="K112" s="19" t="s">
        <v>122</v>
      </c>
      <c r="P112" s="19" t="s">
        <v>268</v>
      </c>
      <c r="S112" t="s">
        <v>279</v>
      </c>
      <c r="T112">
        <v>3.0</v>
      </c>
    </row>
    <row r="113">
      <c r="A113" t="s">
        <v>292</v>
      </c>
      <c r="K113" s="19" t="s">
        <v>122</v>
      </c>
      <c r="O113" s="19" t="s">
        <v>96</v>
      </c>
      <c r="S113" t="s">
        <v>294</v>
      </c>
      <c r="T113">
        <v>3.0</v>
      </c>
    </row>
    <row r="114">
      <c r="A114" t="s">
        <v>300</v>
      </c>
      <c r="J114" s="19" t="s">
        <v>256</v>
      </c>
      <c r="K114" s="19" t="s">
        <v>122</v>
      </c>
      <c r="N114" s="19" t="s">
        <v>164</v>
      </c>
      <c r="T114">
        <v>3.0</v>
      </c>
    </row>
    <row r="115">
      <c r="A115" t="s">
        <v>301</v>
      </c>
      <c r="J115" s="19" t="s">
        <v>256</v>
      </c>
      <c r="K115" s="19" t="s">
        <v>122</v>
      </c>
      <c r="N115" s="19" t="s">
        <v>164</v>
      </c>
      <c r="T115">
        <v>3.0</v>
      </c>
    </row>
    <row r="116">
      <c r="A116" t="s">
        <v>307</v>
      </c>
      <c r="I116" s="19" t="s">
        <v>209</v>
      </c>
      <c r="K116" s="19" t="s">
        <v>122</v>
      </c>
      <c r="Q116" s="19" t="s">
        <v>221</v>
      </c>
      <c r="T116">
        <v>3.0</v>
      </c>
    </row>
    <row r="117">
      <c r="A117" t="s">
        <v>324</v>
      </c>
      <c r="H117" t="s">
        <v>325</v>
      </c>
      <c r="I117" s="19" t="s">
        <v>209</v>
      </c>
      <c r="K117" s="19" t="s">
        <v>122</v>
      </c>
      <c r="M117" s="19" t="s">
        <v>214</v>
      </c>
      <c r="T117">
        <v>3.0</v>
      </c>
    </row>
    <row r="118">
      <c r="A118" t="s">
        <v>328</v>
      </c>
      <c r="H118" t="s">
        <v>329</v>
      </c>
      <c r="I118" s="19" t="s">
        <v>209</v>
      </c>
      <c r="K118" s="19" t="s">
        <v>122</v>
      </c>
      <c r="M118" s="19" t="s">
        <v>214</v>
      </c>
      <c r="T118">
        <v>3.0</v>
      </c>
    </row>
    <row r="119">
      <c r="A119" t="s">
        <v>515</v>
      </c>
      <c r="H119" t="s">
        <v>484</v>
      </c>
      <c r="I119" s="19" t="s">
        <v>209</v>
      </c>
      <c r="P119" t="s">
        <v>516</v>
      </c>
      <c r="S119" t="s">
        <v>517</v>
      </c>
      <c r="T119">
        <v>3.0</v>
      </c>
    </row>
    <row r="120">
      <c r="A120" t="s">
        <v>518</v>
      </c>
      <c r="J120" s="19" t="s">
        <v>77</v>
      </c>
      <c r="K120" s="19" t="s">
        <v>122</v>
      </c>
      <c r="L120" s="19" t="s">
        <v>193</v>
      </c>
      <c r="T120">
        <v>3.0</v>
      </c>
    </row>
    <row r="121">
      <c r="A121" t="s">
        <v>308</v>
      </c>
      <c r="I121" s="19" t="s">
        <v>209</v>
      </c>
      <c r="K121" s="19" t="s">
        <v>122</v>
      </c>
      <c r="T121">
        <v>2.0</v>
      </c>
    </row>
    <row r="122">
      <c r="A122" t="s">
        <v>313</v>
      </c>
      <c r="I122" s="19" t="s">
        <v>209</v>
      </c>
      <c r="K122" s="19" t="s">
        <v>122</v>
      </c>
      <c r="T122">
        <v>2.0</v>
      </c>
    </row>
    <row r="123">
      <c r="A123" t="s">
        <v>314</v>
      </c>
      <c r="H123" t="s">
        <v>315</v>
      </c>
      <c r="I123" s="19" t="s">
        <v>209</v>
      </c>
      <c r="K123" s="19" t="s">
        <v>122</v>
      </c>
      <c r="T123">
        <v>2.0</v>
      </c>
    </row>
    <row r="124">
      <c r="A124" t="s">
        <v>316</v>
      </c>
      <c r="I124" s="19" t="s">
        <v>209</v>
      </c>
      <c r="K124" s="19" t="s">
        <v>122</v>
      </c>
      <c r="T124">
        <v>2.0</v>
      </c>
    </row>
    <row r="125">
      <c r="A125" t="s">
        <v>317</v>
      </c>
      <c r="I125" s="19" t="s">
        <v>209</v>
      </c>
      <c r="K125" s="19" t="s">
        <v>122</v>
      </c>
      <c r="T125">
        <v>2.0</v>
      </c>
    </row>
    <row r="126">
      <c r="A126" t="s">
        <v>318</v>
      </c>
      <c r="H126" t="s">
        <v>319</v>
      </c>
      <c r="I126" s="19" t="s">
        <v>209</v>
      </c>
      <c r="K126" s="19" t="s">
        <v>122</v>
      </c>
      <c r="T126">
        <v>2.0</v>
      </c>
    </row>
    <row r="127">
      <c r="A127" t="s">
        <v>320</v>
      </c>
      <c r="I127" s="19" t="s">
        <v>209</v>
      </c>
      <c r="K127" s="19" t="s">
        <v>122</v>
      </c>
      <c r="T127">
        <v>2.0</v>
      </c>
    </row>
    <row r="128">
      <c r="A128" t="s">
        <v>322</v>
      </c>
      <c r="I128" s="19" t="s">
        <v>209</v>
      </c>
      <c r="K128" s="19" t="s">
        <v>122</v>
      </c>
      <c r="T128">
        <v>2.0</v>
      </c>
    </row>
    <row r="129">
      <c r="A129" t="s">
        <v>332</v>
      </c>
      <c r="H129" t="s">
        <v>333</v>
      </c>
      <c r="K129" s="19" t="s">
        <v>122</v>
      </c>
      <c r="N129" s="19" t="s">
        <v>164</v>
      </c>
      <c r="T129">
        <v>2.0</v>
      </c>
    </row>
    <row r="130">
      <c r="A130" t="s">
        <v>395</v>
      </c>
      <c r="I130" s="19" t="s">
        <v>209</v>
      </c>
      <c r="Q130" s="19" t="s">
        <v>242</v>
      </c>
      <c r="T130">
        <v>2.0</v>
      </c>
    </row>
    <row r="131">
      <c r="A131" t="s">
        <v>347</v>
      </c>
      <c r="I131" s="19" t="s">
        <v>209</v>
      </c>
      <c r="M131" s="19" t="s">
        <v>214</v>
      </c>
      <c r="T131">
        <v>2.0</v>
      </c>
    </row>
    <row r="132">
      <c r="A132" t="s">
        <v>500</v>
      </c>
      <c r="I132" s="19" t="s">
        <v>209</v>
      </c>
      <c r="Q132" s="19" t="s">
        <v>242</v>
      </c>
      <c r="T132">
        <v>2.0</v>
      </c>
    </row>
    <row r="133">
      <c r="A133" t="s">
        <v>433</v>
      </c>
      <c r="P133" s="19" t="s">
        <v>268</v>
      </c>
      <c r="Q133" s="19" t="s">
        <v>221</v>
      </c>
      <c r="T133">
        <v>2.0</v>
      </c>
    </row>
    <row r="134">
      <c r="A134" t="s">
        <v>519</v>
      </c>
      <c r="J134" s="19" t="s">
        <v>256</v>
      </c>
      <c r="K134" s="19" t="s">
        <v>122</v>
      </c>
      <c r="T134">
        <v>2.0</v>
      </c>
    </row>
    <row r="135">
      <c r="A135" t="s">
        <v>520</v>
      </c>
      <c r="H135" t="s">
        <v>521</v>
      </c>
      <c r="J135" s="19" t="s">
        <v>256</v>
      </c>
      <c r="N135" s="19" t="s">
        <v>164</v>
      </c>
      <c r="T135">
        <v>2.0</v>
      </c>
    </row>
    <row r="136">
      <c r="A136" t="s">
        <v>522</v>
      </c>
      <c r="J136" s="19" t="s">
        <v>256</v>
      </c>
      <c r="N136" s="19" t="s">
        <v>164</v>
      </c>
      <c r="T136">
        <v>2.0</v>
      </c>
    </row>
    <row r="137">
      <c r="A137" t="s">
        <v>439</v>
      </c>
      <c r="N137" s="19" t="s">
        <v>164</v>
      </c>
      <c r="T137">
        <v>1.0</v>
      </c>
    </row>
    <row r="138">
      <c r="A138" t="s">
        <v>462</v>
      </c>
      <c r="Q138" s="19" t="s">
        <v>221</v>
      </c>
      <c r="T138">
        <v>1.0</v>
      </c>
    </row>
    <row r="139">
      <c r="A139" t="s">
        <v>498</v>
      </c>
      <c r="I139" s="19" t="s">
        <v>209</v>
      </c>
      <c r="T139">
        <v>1.0</v>
      </c>
    </row>
    <row r="140">
      <c r="A140" t="s">
        <v>502</v>
      </c>
      <c r="I140" s="19" t="s">
        <v>209</v>
      </c>
      <c r="T140">
        <v>1.0</v>
      </c>
    </row>
    <row r="141">
      <c r="A141" t="s">
        <v>503</v>
      </c>
      <c r="I141" s="19" t="s">
        <v>209</v>
      </c>
      <c r="T141">
        <v>1.0</v>
      </c>
    </row>
    <row r="142">
      <c r="A142" t="s">
        <v>504</v>
      </c>
      <c r="I142" s="19" t="s">
        <v>209</v>
      </c>
      <c r="T142">
        <v>1.0</v>
      </c>
    </row>
    <row r="143">
      <c r="A143" t="s">
        <v>505</v>
      </c>
      <c r="I143" s="19" t="s">
        <v>209</v>
      </c>
      <c r="T143">
        <v>1.0</v>
      </c>
    </row>
    <row r="144">
      <c r="A144" t="s">
        <v>506</v>
      </c>
      <c r="I144" s="19" t="s">
        <v>209</v>
      </c>
      <c r="T144">
        <v>1.0</v>
      </c>
    </row>
    <row r="145">
      <c r="A145" t="s">
        <v>507</v>
      </c>
      <c r="I145" s="19" t="s">
        <v>209</v>
      </c>
      <c r="T145">
        <v>1.0</v>
      </c>
    </row>
    <row r="146">
      <c r="A146" t="s">
        <v>363</v>
      </c>
      <c r="I146" s="19" t="s">
        <v>209</v>
      </c>
      <c r="T146">
        <v>1.0</v>
      </c>
    </row>
    <row r="147">
      <c r="A147" t="s">
        <v>508</v>
      </c>
      <c r="I147" s="19" t="s">
        <v>209</v>
      </c>
      <c r="T147">
        <v>1.0</v>
      </c>
    </row>
    <row r="148">
      <c r="A148" t="s">
        <v>509</v>
      </c>
      <c r="I148" s="19" t="s">
        <v>209</v>
      </c>
      <c r="T148">
        <v>1.0</v>
      </c>
    </row>
    <row r="149">
      <c r="A149" t="s">
        <v>510</v>
      </c>
      <c r="I149" s="19" t="s">
        <v>209</v>
      </c>
      <c r="T149">
        <v>1.0</v>
      </c>
    </row>
    <row r="150">
      <c r="A150" t="s">
        <v>511</v>
      </c>
      <c r="H150" t="s">
        <v>512</v>
      </c>
      <c r="I150" s="19" t="s">
        <v>209</v>
      </c>
      <c r="T150">
        <v>1.0</v>
      </c>
    </row>
    <row r="151">
      <c r="A151" t="s">
        <v>513</v>
      </c>
      <c r="I151" s="19" t="s">
        <v>209</v>
      </c>
      <c r="T151">
        <v>1.0</v>
      </c>
    </row>
    <row r="152">
      <c r="A152" t="s">
        <v>525</v>
      </c>
      <c r="I152" s="19" t="s">
        <v>209</v>
      </c>
      <c r="T152">
        <v>1.0</v>
      </c>
    </row>
    <row r="153">
      <c r="A153" t="s">
        <v>526</v>
      </c>
      <c r="I153" s="19" t="s">
        <v>209</v>
      </c>
      <c r="T153">
        <v>1.0</v>
      </c>
    </row>
    <row r="154">
      <c r="A154" t="s">
        <v>527</v>
      </c>
      <c r="I154" s="19" t="s">
        <v>209</v>
      </c>
      <c r="T154">
        <v>1.0</v>
      </c>
    </row>
    <row r="155">
      <c r="A155" t="s">
        <v>528</v>
      </c>
      <c r="J155" t="s">
        <v>273</v>
      </c>
      <c r="T155">
        <v>1.0</v>
      </c>
    </row>
    <row r="156">
      <c r="A156" t="s">
        <v>529</v>
      </c>
      <c r="J156" s="19" t="s">
        <v>256</v>
      </c>
      <c r="T156">
        <v>1.0</v>
      </c>
    </row>
    <row r="157">
      <c r="A157" t="s">
        <v>530</v>
      </c>
      <c r="J157" s="19" t="s">
        <v>77</v>
      </c>
      <c r="T157">
        <v>1.0</v>
      </c>
    </row>
    <row r="158">
      <c r="A158" t="s">
        <v>438</v>
      </c>
      <c r="J158" s="19" t="s">
        <v>77</v>
      </c>
      <c r="T158">
        <v>1.0</v>
      </c>
    </row>
    <row r="159">
      <c r="A159" t="s">
        <v>531</v>
      </c>
      <c r="J159" s="19" t="s">
        <v>77</v>
      </c>
      <c r="T159">
        <v>1.0</v>
      </c>
    </row>
    <row r="160">
      <c r="A160" t="s">
        <v>532</v>
      </c>
      <c r="J160" s="19" t="s">
        <v>77</v>
      </c>
      <c r="T160">
        <v>1.0</v>
      </c>
    </row>
    <row r="161">
      <c r="A161" t="s">
        <v>533</v>
      </c>
      <c r="H161" t="s">
        <v>534</v>
      </c>
      <c r="J161" s="19" t="s">
        <v>256</v>
      </c>
      <c r="T161">
        <v>1.0</v>
      </c>
    </row>
    <row r="163">
      <c r="A163" s="33" t="s">
        <v>535</v>
      </c>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t="s">
        <v>536</v>
      </c>
      <c r="H164" t="s">
        <v>537</v>
      </c>
      <c r="J164" s="19" t="s">
        <v>256</v>
      </c>
      <c r="K164" s="19" t="s">
        <v>122</v>
      </c>
      <c r="L164" s="19" t="s">
        <v>193</v>
      </c>
      <c r="N164" s="19" t="s">
        <v>164</v>
      </c>
      <c r="P164" s="19" t="s">
        <v>538</v>
      </c>
      <c r="Q164" s="19" t="s">
        <v>221</v>
      </c>
      <c r="R164" t="s">
        <v>102</v>
      </c>
      <c r="S164" t="s">
        <v>524</v>
      </c>
      <c r="T164">
        <v>8.0</v>
      </c>
    </row>
    <row r="165">
      <c r="A165" t="s">
        <v>381</v>
      </c>
      <c r="G165" t="s">
        <v>382</v>
      </c>
      <c r="I165" s="19" t="s">
        <v>209</v>
      </c>
      <c r="K165" s="19" t="s">
        <v>335</v>
      </c>
      <c r="L165" s="19" t="s">
        <v>193</v>
      </c>
      <c r="N165" s="19" t="s">
        <v>164</v>
      </c>
      <c r="P165" t="s">
        <v>372</v>
      </c>
      <c r="R165" t="s">
        <v>102</v>
      </c>
      <c r="S165" t="s">
        <v>257</v>
      </c>
      <c r="T165">
        <v>7.0</v>
      </c>
    </row>
    <row r="166">
      <c r="A166" t="s">
        <v>483</v>
      </c>
      <c r="H166" t="s">
        <v>484</v>
      </c>
      <c r="I166" s="19" t="s">
        <v>209</v>
      </c>
      <c r="K166" s="19" t="s">
        <v>122</v>
      </c>
      <c r="L166" s="19" t="s">
        <v>193</v>
      </c>
      <c r="N166" s="19" t="s">
        <v>164</v>
      </c>
      <c r="O166" s="19" t="s">
        <v>96</v>
      </c>
      <c r="Q166" s="19" t="s">
        <v>221</v>
      </c>
      <c r="T166">
        <v>6.0</v>
      </c>
    </row>
    <row r="167">
      <c r="A167" t="s">
        <v>494</v>
      </c>
      <c r="H167" t="s">
        <v>495</v>
      </c>
      <c r="J167" s="19" t="s">
        <v>256</v>
      </c>
      <c r="K167" s="19" t="s">
        <v>86</v>
      </c>
      <c r="N167" s="19" t="s">
        <v>164</v>
      </c>
      <c r="P167" s="19" t="s">
        <v>268</v>
      </c>
      <c r="Q167" s="19" t="s">
        <v>221</v>
      </c>
      <c r="T167">
        <v>5.0</v>
      </c>
    </row>
    <row r="168">
      <c r="A168" t="s">
        <v>499</v>
      </c>
      <c r="J168" s="19" t="s">
        <v>256</v>
      </c>
      <c r="N168" s="19" t="s">
        <v>164</v>
      </c>
      <c r="Q168" s="19" t="s">
        <v>221</v>
      </c>
      <c r="S168" t="s">
        <v>501</v>
      </c>
      <c r="T168">
        <v>4.0</v>
      </c>
    </row>
    <row r="169">
      <c r="A169" t="s">
        <v>548</v>
      </c>
      <c r="H169" t="s">
        <v>550</v>
      </c>
      <c r="I169" s="19" t="s">
        <v>209</v>
      </c>
      <c r="J169" s="19" t="s">
        <v>256</v>
      </c>
      <c r="O169" s="19" t="s">
        <v>96</v>
      </c>
      <c r="S169" t="s">
        <v>553</v>
      </c>
      <c r="T169">
        <v>4.0</v>
      </c>
    </row>
    <row r="170">
      <c r="A170" t="s">
        <v>554</v>
      </c>
      <c r="H170" t="s">
        <v>555</v>
      </c>
      <c r="I170" s="19" t="s">
        <v>209</v>
      </c>
      <c r="J170" s="19" t="s">
        <v>256</v>
      </c>
      <c r="O170" s="19" t="s">
        <v>96</v>
      </c>
      <c r="S170" t="s">
        <v>553</v>
      </c>
      <c r="T170">
        <v>4.0</v>
      </c>
    </row>
    <row r="171">
      <c r="A171" t="s">
        <v>557</v>
      </c>
      <c r="J171" s="19" t="s">
        <v>77</v>
      </c>
      <c r="K171" s="19" t="s">
        <v>408</v>
      </c>
      <c r="L171" s="19" t="s">
        <v>193</v>
      </c>
      <c r="M171" s="19" t="s">
        <v>214</v>
      </c>
      <c r="T171">
        <v>4.0</v>
      </c>
    </row>
    <row r="172">
      <c r="A172" t="s">
        <v>558</v>
      </c>
      <c r="G172" t="s">
        <v>559</v>
      </c>
      <c r="J172" t="s">
        <v>273</v>
      </c>
      <c r="K172" s="19" t="s">
        <v>408</v>
      </c>
      <c r="P172" t="s">
        <v>560</v>
      </c>
      <c r="S172" t="s">
        <v>561</v>
      </c>
      <c r="T172">
        <v>4.0</v>
      </c>
    </row>
    <row r="173">
      <c r="A173" t="s">
        <v>326</v>
      </c>
      <c r="H173" t="s">
        <v>327</v>
      </c>
      <c r="I173" s="19" t="s">
        <v>209</v>
      </c>
      <c r="O173" s="19" t="s">
        <v>96</v>
      </c>
      <c r="Q173" s="19" t="s">
        <v>221</v>
      </c>
      <c r="T173">
        <v>3.0</v>
      </c>
    </row>
    <row r="174">
      <c r="A174" t="s">
        <v>515</v>
      </c>
      <c r="H174" t="s">
        <v>484</v>
      </c>
      <c r="I174" s="19" t="s">
        <v>209</v>
      </c>
      <c r="P174" t="s">
        <v>516</v>
      </c>
      <c r="S174" t="s">
        <v>517</v>
      </c>
      <c r="T174">
        <v>3.0</v>
      </c>
    </row>
    <row r="175">
      <c r="A175" t="s">
        <v>518</v>
      </c>
      <c r="J175" s="19" t="s">
        <v>77</v>
      </c>
      <c r="K175" s="19" t="s">
        <v>122</v>
      </c>
      <c r="L175" s="19" t="s">
        <v>193</v>
      </c>
      <c r="T175">
        <v>3.0</v>
      </c>
    </row>
    <row r="176">
      <c r="A176" t="s">
        <v>567</v>
      </c>
      <c r="J176" s="19" t="s">
        <v>77</v>
      </c>
      <c r="K176" s="19" t="s">
        <v>408</v>
      </c>
      <c r="M176" s="19" t="s">
        <v>214</v>
      </c>
      <c r="T176">
        <v>3.0</v>
      </c>
    </row>
    <row r="177">
      <c r="A177" t="s">
        <v>568</v>
      </c>
      <c r="G177" t="s">
        <v>569</v>
      </c>
      <c r="J177" t="s">
        <v>273</v>
      </c>
      <c r="K177" s="19" t="s">
        <v>408</v>
      </c>
      <c r="S177" t="s">
        <v>553</v>
      </c>
      <c r="T177">
        <v>3.0</v>
      </c>
    </row>
    <row r="178">
      <c r="A178" t="s">
        <v>571</v>
      </c>
      <c r="J178" t="s">
        <v>273</v>
      </c>
      <c r="K178" s="19" t="s">
        <v>408</v>
      </c>
      <c r="S178" t="s">
        <v>553</v>
      </c>
      <c r="T178">
        <v>3.0</v>
      </c>
    </row>
    <row r="179">
      <c r="A179" t="s">
        <v>572</v>
      </c>
      <c r="J179" t="s">
        <v>273</v>
      </c>
      <c r="K179" s="19" t="s">
        <v>408</v>
      </c>
      <c r="S179" t="s">
        <v>553</v>
      </c>
      <c r="T179">
        <v>3.0</v>
      </c>
    </row>
    <row r="180">
      <c r="A180" t="s">
        <v>173</v>
      </c>
      <c r="B180">
        <v>58270.0</v>
      </c>
      <c r="C180" s="19" t="s">
        <v>66</v>
      </c>
      <c r="F180">
        <v>2017.0</v>
      </c>
      <c r="G180" t="s">
        <v>74</v>
      </c>
      <c r="H180" t="s">
        <v>176</v>
      </c>
      <c r="I180" s="19" t="s">
        <v>66</v>
      </c>
      <c r="N180" s="19" t="s">
        <v>164</v>
      </c>
      <c r="T180">
        <v>2.0</v>
      </c>
    </row>
    <row r="181">
      <c r="A181" t="s">
        <v>342</v>
      </c>
      <c r="G181" t="s">
        <v>343</v>
      </c>
      <c r="P181" s="19" t="s">
        <v>268</v>
      </c>
      <c r="S181" t="s">
        <v>344</v>
      </c>
      <c r="T181">
        <v>2.0</v>
      </c>
    </row>
    <row r="182">
      <c r="A182" t="s">
        <v>472</v>
      </c>
      <c r="J182" s="19" t="s">
        <v>256</v>
      </c>
      <c r="N182" s="19" t="s">
        <v>164</v>
      </c>
      <c r="T182">
        <v>2.0</v>
      </c>
    </row>
    <row r="183">
      <c r="A183" t="s">
        <v>336</v>
      </c>
      <c r="I183" s="19" t="s">
        <v>209</v>
      </c>
      <c r="O183" s="19" t="s">
        <v>96</v>
      </c>
      <c r="T183">
        <v>2.0</v>
      </c>
    </row>
    <row r="184">
      <c r="A184" t="s">
        <v>485</v>
      </c>
      <c r="I184" s="19" t="s">
        <v>209</v>
      </c>
      <c r="N184" s="19" t="s">
        <v>164</v>
      </c>
      <c r="T184">
        <v>2.0</v>
      </c>
    </row>
    <row r="185">
      <c r="A185" t="s">
        <v>433</v>
      </c>
      <c r="P185" s="19" t="s">
        <v>268</v>
      </c>
      <c r="Q185" s="19" t="s">
        <v>221</v>
      </c>
      <c r="T185">
        <v>2.0</v>
      </c>
    </row>
    <row r="186">
      <c r="A186" t="s">
        <v>519</v>
      </c>
      <c r="J186" s="19" t="s">
        <v>256</v>
      </c>
      <c r="K186" s="19" t="s">
        <v>122</v>
      </c>
      <c r="T186">
        <v>2.0</v>
      </c>
    </row>
    <row r="187">
      <c r="A187" t="s">
        <v>523</v>
      </c>
      <c r="I187" s="19" t="s">
        <v>209</v>
      </c>
      <c r="S187" t="s">
        <v>524</v>
      </c>
      <c r="T187">
        <v>2.0</v>
      </c>
    </row>
    <row r="188">
      <c r="A188" t="s">
        <v>578</v>
      </c>
      <c r="J188" s="19" t="s">
        <v>77</v>
      </c>
      <c r="K188" s="19" t="s">
        <v>86</v>
      </c>
      <c r="T188">
        <v>2.0</v>
      </c>
    </row>
    <row r="189">
      <c r="A189" t="s">
        <v>579</v>
      </c>
      <c r="J189" s="19" t="s">
        <v>77</v>
      </c>
      <c r="K189" s="19" t="s">
        <v>86</v>
      </c>
      <c r="T189">
        <v>2.0</v>
      </c>
    </row>
    <row r="190">
      <c r="A190" t="s">
        <v>581</v>
      </c>
      <c r="J190" s="19" t="s">
        <v>77</v>
      </c>
      <c r="K190" s="19" t="s">
        <v>86</v>
      </c>
      <c r="T190">
        <v>2.0</v>
      </c>
    </row>
    <row r="191">
      <c r="A191" t="s">
        <v>583</v>
      </c>
      <c r="J191" s="19" t="s">
        <v>77</v>
      </c>
      <c r="K191" s="19" t="s">
        <v>86</v>
      </c>
      <c r="T191">
        <v>2.0</v>
      </c>
    </row>
    <row r="192">
      <c r="A192" t="s">
        <v>586</v>
      </c>
      <c r="J192" s="19" t="s">
        <v>77</v>
      </c>
      <c r="K192" s="19" t="s">
        <v>86</v>
      </c>
      <c r="T192">
        <v>2.0</v>
      </c>
    </row>
    <row r="193">
      <c r="A193" t="s">
        <v>587</v>
      </c>
      <c r="K193" s="19" t="s">
        <v>122</v>
      </c>
      <c r="N193" s="19" t="s">
        <v>164</v>
      </c>
      <c r="T193">
        <v>2.0</v>
      </c>
    </row>
    <row r="194">
      <c r="A194" t="s">
        <v>388</v>
      </c>
      <c r="K194" s="19" t="s">
        <v>122</v>
      </c>
      <c r="N194" s="19" t="s">
        <v>164</v>
      </c>
      <c r="T194">
        <v>2.0</v>
      </c>
    </row>
    <row r="195">
      <c r="A195" t="s">
        <v>588</v>
      </c>
      <c r="K195" s="19" t="s">
        <v>122</v>
      </c>
      <c r="N195" s="19" t="s">
        <v>164</v>
      </c>
      <c r="T195">
        <v>2.0</v>
      </c>
    </row>
    <row r="196">
      <c r="A196" t="s">
        <v>589</v>
      </c>
      <c r="G196" t="s">
        <v>590</v>
      </c>
      <c r="P196" t="s">
        <v>591</v>
      </c>
      <c r="S196" t="s">
        <v>553</v>
      </c>
      <c r="T196">
        <v>2.0</v>
      </c>
    </row>
    <row r="197">
      <c r="A197" t="s">
        <v>592</v>
      </c>
      <c r="G197" t="s">
        <v>593</v>
      </c>
      <c r="P197" t="s">
        <v>594</v>
      </c>
      <c r="S197" t="s">
        <v>596</v>
      </c>
      <c r="T197">
        <v>2.0</v>
      </c>
    </row>
    <row r="198">
      <c r="A198" t="s">
        <v>599</v>
      </c>
      <c r="H198" t="s">
        <v>600</v>
      </c>
      <c r="J198" s="19" t="s">
        <v>256</v>
      </c>
      <c r="N198" s="19" t="s">
        <v>164</v>
      </c>
      <c r="T198">
        <v>2.0</v>
      </c>
    </row>
    <row r="199">
      <c r="A199" t="s">
        <v>460</v>
      </c>
      <c r="J199" s="19" t="s">
        <v>256</v>
      </c>
      <c r="T199">
        <v>1.0</v>
      </c>
    </row>
    <row r="200">
      <c r="A200" t="s">
        <v>361</v>
      </c>
      <c r="I200" s="19" t="s">
        <v>209</v>
      </c>
      <c r="T200">
        <v>1.0</v>
      </c>
    </row>
    <row r="201">
      <c r="A201" t="s">
        <v>489</v>
      </c>
      <c r="I201" s="19" t="s">
        <v>209</v>
      </c>
      <c r="T201">
        <v>1.0</v>
      </c>
    </row>
    <row r="202">
      <c r="A202" t="s">
        <v>437</v>
      </c>
      <c r="I202" s="19" t="s">
        <v>209</v>
      </c>
      <c r="T202">
        <v>1.0</v>
      </c>
    </row>
    <row r="203">
      <c r="A203" t="s">
        <v>498</v>
      </c>
      <c r="I203" s="19" t="s">
        <v>209</v>
      </c>
      <c r="T203">
        <v>1.0</v>
      </c>
    </row>
    <row r="204">
      <c r="A204" t="s">
        <v>502</v>
      </c>
      <c r="I204" s="19" t="s">
        <v>209</v>
      </c>
      <c r="T204">
        <v>1.0</v>
      </c>
    </row>
    <row r="205">
      <c r="A205" t="s">
        <v>506</v>
      </c>
      <c r="I205" s="19" t="s">
        <v>209</v>
      </c>
      <c r="T205">
        <v>1.0</v>
      </c>
    </row>
    <row r="206">
      <c r="A206" t="s">
        <v>507</v>
      </c>
      <c r="I206" s="19" t="s">
        <v>209</v>
      </c>
      <c r="T206">
        <v>1.0</v>
      </c>
    </row>
    <row r="207">
      <c r="A207" t="s">
        <v>510</v>
      </c>
      <c r="I207" s="19" t="s">
        <v>209</v>
      </c>
      <c r="T207">
        <v>1.0</v>
      </c>
    </row>
    <row r="208">
      <c r="A208" t="s">
        <v>513</v>
      </c>
      <c r="I208" s="19" t="s">
        <v>209</v>
      </c>
      <c r="T208">
        <v>1.0</v>
      </c>
    </row>
    <row r="209">
      <c r="A209" t="s">
        <v>364</v>
      </c>
      <c r="I209" s="19" t="s">
        <v>209</v>
      </c>
      <c r="T209">
        <v>1.0</v>
      </c>
    </row>
    <row r="210">
      <c r="A210" t="s">
        <v>539</v>
      </c>
      <c r="I210" s="19" t="s">
        <v>209</v>
      </c>
      <c r="T210">
        <v>1.0</v>
      </c>
    </row>
    <row r="211">
      <c r="A211" t="s">
        <v>549</v>
      </c>
      <c r="P211" s="19" t="s">
        <v>268</v>
      </c>
      <c r="T211">
        <v>1.0</v>
      </c>
    </row>
    <row r="212">
      <c r="A212" t="s">
        <v>530</v>
      </c>
      <c r="J212" s="19" t="s">
        <v>77</v>
      </c>
      <c r="T212">
        <v>1.0</v>
      </c>
    </row>
    <row r="213">
      <c r="A213" t="s">
        <v>574</v>
      </c>
      <c r="J213" s="19" t="s">
        <v>77</v>
      </c>
      <c r="T213">
        <v>1.0</v>
      </c>
    </row>
    <row r="214">
      <c r="A214" t="s">
        <v>90</v>
      </c>
      <c r="H214" t="s">
        <v>575</v>
      </c>
      <c r="J214" s="19" t="s">
        <v>77</v>
      </c>
      <c r="T214">
        <v>1.0</v>
      </c>
    </row>
    <row r="215">
      <c r="A215" t="s">
        <v>576</v>
      </c>
      <c r="I215" s="19" t="s">
        <v>209</v>
      </c>
      <c r="T215">
        <v>1.0</v>
      </c>
    </row>
    <row r="216">
      <c r="A216" t="s">
        <v>610</v>
      </c>
      <c r="G216" t="s">
        <v>254</v>
      </c>
      <c r="S216" t="s">
        <v>611</v>
      </c>
      <c r="T216">
        <v>1.0</v>
      </c>
    </row>
    <row r="217">
      <c r="A217" t="s">
        <v>616</v>
      </c>
      <c r="K217" s="19" t="s">
        <v>335</v>
      </c>
      <c r="T217">
        <v>1.0</v>
      </c>
    </row>
    <row r="218">
      <c r="A218" t="s">
        <v>617</v>
      </c>
      <c r="L218" s="19" t="s">
        <v>193</v>
      </c>
      <c r="T218">
        <v>1.0</v>
      </c>
    </row>
    <row r="219">
      <c r="A219" t="s">
        <v>618</v>
      </c>
      <c r="K219" s="19" t="s">
        <v>335</v>
      </c>
      <c r="T219">
        <v>1.0</v>
      </c>
    </row>
    <row r="220">
      <c r="A220" t="s">
        <v>477</v>
      </c>
      <c r="J220" s="19" t="s">
        <v>77</v>
      </c>
      <c r="T220">
        <v>1.0</v>
      </c>
    </row>
    <row r="221">
      <c r="A221" t="s">
        <v>619</v>
      </c>
      <c r="J221" s="19" t="s">
        <v>256</v>
      </c>
      <c r="T221">
        <v>1.0</v>
      </c>
    </row>
    <row r="222">
      <c r="A222" t="s">
        <v>620</v>
      </c>
      <c r="J222" s="19" t="s">
        <v>256</v>
      </c>
      <c r="T222">
        <v>1.0</v>
      </c>
    </row>
    <row r="223">
      <c r="A223" t="s">
        <v>621</v>
      </c>
      <c r="J223" s="19" t="s">
        <v>256</v>
      </c>
      <c r="T223">
        <v>1.0</v>
      </c>
    </row>
    <row r="225">
      <c r="A225" s="33" t="s">
        <v>624</v>
      </c>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c r="A226" t="s">
        <v>217</v>
      </c>
      <c r="B226">
        <v>5.9</v>
      </c>
      <c r="C226" s="19" t="s">
        <v>218</v>
      </c>
      <c r="F226">
        <v>2016.0</v>
      </c>
      <c r="G226" t="s">
        <v>212</v>
      </c>
      <c r="H226" t="s">
        <v>219</v>
      </c>
      <c r="I226" s="19" t="s">
        <v>209</v>
      </c>
      <c r="J226" s="19" t="s">
        <v>220</v>
      </c>
      <c r="K226" s="19" t="s">
        <v>122</v>
      </c>
      <c r="L226" s="19" t="s">
        <v>193</v>
      </c>
      <c r="M226" s="19" t="s">
        <v>214</v>
      </c>
      <c r="N226" s="19" t="s">
        <v>218</v>
      </c>
      <c r="O226" s="19" t="s">
        <v>96</v>
      </c>
      <c r="Q226" s="19" t="s">
        <v>221</v>
      </c>
      <c r="R226" t="s">
        <v>102</v>
      </c>
      <c r="T226">
        <v>9.0</v>
      </c>
    </row>
    <row r="227">
      <c r="A227" t="s">
        <v>253</v>
      </c>
      <c r="G227" t="s">
        <v>254</v>
      </c>
      <c r="H227" t="s">
        <v>255</v>
      </c>
      <c r="I227" s="19" t="s">
        <v>209</v>
      </c>
      <c r="J227" s="19" t="s">
        <v>256</v>
      </c>
      <c r="K227" s="19" t="s">
        <v>122</v>
      </c>
      <c r="M227" s="19" t="s">
        <v>214</v>
      </c>
      <c r="N227" s="19" t="s">
        <v>164</v>
      </c>
      <c r="P227" t="s">
        <v>257</v>
      </c>
      <c r="Q227" s="19" t="s">
        <v>221</v>
      </c>
      <c r="R227" t="s">
        <v>102</v>
      </c>
      <c r="S227" t="s">
        <v>258</v>
      </c>
      <c r="T227">
        <v>9.0</v>
      </c>
    </row>
    <row r="228">
      <c r="A228" t="s">
        <v>210</v>
      </c>
      <c r="B228">
        <v>20.7</v>
      </c>
      <c r="C228" s="19" t="s">
        <v>211</v>
      </c>
      <c r="F228">
        <v>2015.0</v>
      </c>
      <c r="G228" t="s">
        <v>212</v>
      </c>
      <c r="H228" t="s">
        <v>213</v>
      </c>
      <c r="I228" s="19" t="s">
        <v>209</v>
      </c>
      <c r="K228" s="19" t="s">
        <v>122</v>
      </c>
      <c r="M228" s="19" t="s">
        <v>214</v>
      </c>
      <c r="N228" s="19" t="s">
        <v>211</v>
      </c>
      <c r="O228" s="19" t="s">
        <v>96</v>
      </c>
      <c r="P228" t="s">
        <v>215</v>
      </c>
      <c r="R228" t="s">
        <v>102</v>
      </c>
      <c r="S228" t="s">
        <v>216</v>
      </c>
      <c r="T228">
        <v>8.0</v>
      </c>
    </row>
    <row r="229">
      <c r="A229" t="s">
        <v>281</v>
      </c>
      <c r="G229" t="s">
        <v>254</v>
      </c>
      <c r="H229" t="s">
        <v>282</v>
      </c>
      <c r="J229" s="19" t="s">
        <v>256</v>
      </c>
      <c r="K229" s="19" t="s">
        <v>122</v>
      </c>
      <c r="L229" s="19" t="s">
        <v>193</v>
      </c>
      <c r="N229" s="19" t="s">
        <v>164</v>
      </c>
      <c r="P229" t="s">
        <v>283</v>
      </c>
      <c r="Q229" t="s">
        <v>261</v>
      </c>
      <c r="R229" t="s">
        <v>102</v>
      </c>
      <c r="S229" t="s">
        <v>284</v>
      </c>
      <c r="T229">
        <v>8.0</v>
      </c>
    </row>
    <row r="230">
      <c r="A230" t="s">
        <v>233</v>
      </c>
      <c r="B230">
        <v>863.8</v>
      </c>
      <c r="C230" s="19" t="s">
        <v>234</v>
      </c>
      <c r="F230">
        <v>2017.0</v>
      </c>
      <c r="G230" t="s">
        <v>212</v>
      </c>
      <c r="H230" t="s">
        <v>235</v>
      </c>
      <c r="I230" s="19" t="s">
        <v>209</v>
      </c>
      <c r="K230" s="19" t="s">
        <v>122</v>
      </c>
      <c r="L230" s="19" t="s">
        <v>193</v>
      </c>
      <c r="N230" s="19" t="s">
        <v>164</v>
      </c>
      <c r="O230" s="19" t="s">
        <v>96</v>
      </c>
      <c r="R230" t="s">
        <v>102</v>
      </c>
      <c r="T230">
        <v>6.0</v>
      </c>
    </row>
    <row r="231">
      <c r="A231" t="s">
        <v>259</v>
      </c>
      <c r="H231" t="s">
        <v>260</v>
      </c>
      <c r="I231" s="19" t="s">
        <v>209</v>
      </c>
      <c r="K231" s="19" t="s">
        <v>122</v>
      </c>
      <c r="O231" s="19" t="s">
        <v>96</v>
      </c>
      <c r="Q231" t="s">
        <v>261</v>
      </c>
      <c r="R231" t="s">
        <v>102</v>
      </c>
      <c r="S231" t="s">
        <v>262</v>
      </c>
      <c r="T231">
        <v>6.0</v>
      </c>
    </row>
    <row r="232">
      <c r="A232" t="s">
        <v>207</v>
      </c>
      <c r="B232">
        <v>79.7</v>
      </c>
      <c r="C232" s="19" t="s">
        <v>66</v>
      </c>
      <c r="F232">
        <v>2018.0</v>
      </c>
      <c r="G232" t="s">
        <v>208</v>
      </c>
      <c r="I232" s="19" t="s">
        <v>209</v>
      </c>
      <c r="K232" s="19" t="s">
        <v>122</v>
      </c>
      <c r="L232" s="19" t="s">
        <v>193</v>
      </c>
      <c r="O232" s="19" t="s">
        <v>96</v>
      </c>
      <c r="R232" t="s">
        <v>102</v>
      </c>
      <c r="T232">
        <v>5.0</v>
      </c>
    </row>
    <row r="233">
      <c r="A233" t="s">
        <v>230</v>
      </c>
      <c r="B233">
        <v>22.3</v>
      </c>
      <c r="C233" s="19" t="s">
        <v>231</v>
      </c>
      <c r="F233">
        <v>2015.0</v>
      </c>
      <c r="G233" t="s">
        <v>212</v>
      </c>
      <c r="H233" t="s">
        <v>232</v>
      </c>
      <c r="I233" s="19" t="s">
        <v>209</v>
      </c>
      <c r="K233" s="19" t="s">
        <v>122</v>
      </c>
      <c r="L233" s="19" t="s">
        <v>193</v>
      </c>
      <c r="N233" s="19" t="s">
        <v>231</v>
      </c>
      <c r="O233" s="19" t="s">
        <v>96</v>
      </c>
      <c r="T233">
        <v>5.0</v>
      </c>
    </row>
    <row r="234">
      <c r="A234" t="s">
        <v>241</v>
      </c>
      <c r="I234" s="19" t="s">
        <v>209</v>
      </c>
      <c r="K234" s="19" t="s">
        <v>122</v>
      </c>
      <c r="M234" s="19" t="s">
        <v>214</v>
      </c>
      <c r="Q234" s="19" t="s">
        <v>242</v>
      </c>
      <c r="R234" t="s">
        <v>102</v>
      </c>
      <c r="T234">
        <v>5.0</v>
      </c>
    </row>
    <row r="235">
      <c r="A235" t="s">
        <v>265</v>
      </c>
      <c r="H235" t="s">
        <v>266</v>
      </c>
      <c r="I235" s="19" t="s">
        <v>209</v>
      </c>
      <c r="K235" s="19" t="s">
        <v>122</v>
      </c>
      <c r="N235" s="19" t="s">
        <v>164</v>
      </c>
      <c r="Q235" s="19" t="s">
        <v>221</v>
      </c>
      <c r="R235" t="s">
        <v>102</v>
      </c>
      <c r="T235">
        <v>5.0</v>
      </c>
    </row>
    <row r="236">
      <c r="A236" t="s">
        <v>267</v>
      </c>
      <c r="K236" s="19" t="s">
        <v>122</v>
      </c>
      <c r="N236" s="19" t="s">
        <v>164</v>
      </c>
      <c r="P236" s="19" t="s">
        <v>268</v>
      </c>
      <c r="Q236" s="19" t="s">
        <v>242</v>
      </c>
      <c r="R236" t="s">
        <v>102</v>
      </c>
      <c r="T236">
        <v>5.0</v>
      </c>
    </row>
    <row r="237">
      <c r="A237" t="s">
        <v>269</v>
      </c>
      <c r="H237" t="s">
        <v>270</v>
      </c>
      <c r="K237" s="19" t="s">
        <v>122</v>
      </c>
      <c r="M237" s="19" t="s">
        <v>214</v>
      </c>
      <c r="N237" s="19" t="s">
        <v>164</v>
      </c>
      <c r="P237" s="19" t="s">
        <v>268</v>
      </c>
      <c r="R237" t="s">
        <v>102</v>
      </c>
      <c r="T237">
        <v>5.0</v>
      </c>
    </row>
    <row r="238">
      <c r="A238" t="s">
        <v>271</v>
      </c>
      <c r="H238" t="s">
        <v>272</v>
      </c>
      <c r="J238" t="s">
        <v>273</v>
      </c>
      <c r="K238" s="19" t="s">
        <v>122</v>
      </c>
      <c r="P238" s="19" t="s">
        <v>268</v>
      </c>
      <c r="Q238" s="19" t="s">
        <v>242</v>
      </c>
      <c r="R238" t="s">
        <v>102</v>
      </c>
      <c r="T238">
        <v>5.0</v>
      </c>
    </row>
    <row r="239">
      <c r="A239" t="s">
        <v>295</v>
      </c>
      <c r="K239" s="19" t="s">
        <v>122</v>
      </c>
      <c r="O239" s="19" t="s">
        <v>96</v>
      </c>
      <c r="Q239" s="19" t="s">
        <v>242</v>
      </c>
      <c r="R239" t="s">
        <v>102</v>
      </c>
      <c r="S239" t="s">
        <v>296</v>
      </c>
      <c r="T239">
        <v>5.0</v>
      </c>
    </row>
    <row r="240">
      <c r="A240" t="s">
        <v>298</v>
      </c>
      <c r="H240" t="s">
        <v>299</v>
      </c>
      <c r="K240" s="19" t="s">
        <v>122</v>
      </c>
      <c r="N240" s="19" t="s">
        <v>164</v>
      </c>
      <c r="O240" s="19" t="s">
        <v>96</v>
      </c>
      <c r="Q240" s="19" t="s">
        <v>221</v>
      </c>
      <c r="R240" t="s">
        <v>102</v>
      </c>
      <c r="T240">
        <v>5.0</v>
      </c>
    </row>
    <row r="241">
      <c r="A241" t="s">
        <v>246</v>
      </c>
      <c r="H241" t="s">
        <v>247</v>
      </c>
      <c r="I241" s="19" t="s">
        <v>209</v>
      </c>
      <c r="K241" s="19" t="s">
        <v>122</v>
      </c>
      <c r="Q241" s="19" t="s">
        <v>221</v>
      </c>
      <c r="S241" t="s">
        <v>248</v>
      </c>
      <c r="T241">
        <v>4.0</v>
      </c>
    </row>
    <row r="242">
      <c r="A242" t="s">
        <v>275</v>
      </c>
      <c r="K242" s="19" t="s">
        <v>122</v>
      </c>
      <c r="N242" s="19" t="s">
        <v>164</v>
      </c>
      <c r="P242" s="19" t="s">
        <v>268</v>
      </c>
      <c r="Q242" s="19" t="s">
        <v>242</v>
      </c>
      <c r="T242">
        <v>4.0</v>
      </c>
    </row>
    <row r="243">
      <c r="A243" t="s">
        <v>277</v>
      </c>
      <c r="K243" s="19" t="s">
        <v>122</v>
      </c>
      <c r="N243" s="19" t="s">
        <v>164</v>
      </c>
      <c r="P243" s="19" t="s">
        <v>268</v>
      </c>
      <c r="Q243" s="19" t="s">
        <v>221</v>
      </c>
      <c r="T243">
        <v>4.0</v>
      </c>
    </row>
    <row r="244">
      <c r="A244" t="s">
        <v>243</v>
      </c>
      <c r="B244">
        <v>2053.0</v>
      </c>
      <c r="C244" s="19" t="s">
        <v>66</v>
      </c>
      <c r="F244">
        <v>2016.0</v>
      </c>
      <c r="G244" t="s">
        <v>239</v>
      </c>
      <c r="I244" s="19" t="s">
        <v>209</v>
      </c>
      <c r="K244" s="19" t="s">
        <v>122</v>
      </c>
      <c r="M244" s="19" t="s">
        <v>214</v>
      </c>
      <c r="T244">
        <v>3.0</v>
      </c>
    </row>
    <row r="245">
      <c r="A245" t="s">
        <v>244</v>
      </c>
      <c r="H245" t="s">
        <v>245</v>
      </c>
      <c r="I245" s="19" t="s">
        <v>209</v>
      </c>
      <c r="K245" s="19" t="s">
        <v>122</v>
      </c>
      <c r="O245" s="19" t="s">
        <v>96</v>
      </c>
      <c r="T245">
        <v>3.0</v>
      </c>
    </row>
    <row r="246">
      <c r="A246" t="s">
        <v>249</v>
      </c>
      <c r="H246" t="s">
        <v>250</v>
      </c>
      <c r="I246" s="19" t="s">
        <v>209</v>
      </c>
      <c r="K246" s="19" t="s">
        <v>122</v>
      </c>
      <c r="S246" t="s">
        <v>248</v>
      </c>
      <c r="T246">
        <v>3.0</v>
      </c>
    </row>
    <row r="247">
      <c r="A247" t="s">
        <v>274</v>
      </c>
      <c r="K247" s="19" t="s">
        <v>122</v>
      </c>
      <c r="P247" s="19" t="s">
        <v>268</v>
      </c>
      <c r="R247" t="s">
        <v>102</v>
      </c>
      <c r="T247">
        <v>3.0</v>
      </c>
    </row>
    <row r="248">
      <c r="A248" t="s">
        <v>278</v>
      </c>
      <c r="K248" s="19" t="s">
        <v>122</v>
      </c>
      <c r="P248" s="19" t="s">
        <v>268</v>
      </c>
      <c r="S248" t="s">
        <v>279</v>
      </c>
      <c r="T248">
        <v>3.0</v>
      </c>
    </row>
    <row r="249">
      <c r="A249" t="s">
        <v>285</v>
      </c>
      <c r="H249" t="s">
        <v>282</v>
      </c>
      <c r="J249" s="19" t="s">
        <v>220</v>
      </c>
      <c r="K249" s="19" t="s">
        <v>122</v>
      </c>
      <c r="N249" s="19" t="s">
        <v>164</v>
      </c>
      <c r="T249">
        <v>3.0</v>
      </c>
    </row>
    <row r="250">
      <c r="A250" t="s">
        <v>287</v>
      </c>
      <c r="K250" s="19" t="s">
        <v>122</v>
      </c>
      <c r="P250" t="s">
        <v>288</v>
      </c>
      <c r="S250" t="s">
        <v>288</v>
      </c>
      <c r="T250">
        <v>3.0</v>
      </c>
    </row>
    <row r="251">
      <c r="A251" t="s">
        <v>292</v>
      </c>
      <c r="K251" s="19" t="s">
        <v>122</v>
      </c>
      <c r="O251" s="19" t="s">
        <v>96</v>
      </c>
      <c r="S251" t="s">
        <v>294</v>
      </c>
      <c r="T251">
        <v>3.0</v>
      </c>
    </row>
    <row r="252">
      <c r="A252" t="s">
        <v>300</v>
      </c>
      <c r="J252" s="19" t="s">
        <v>256</v>
      </c>
      <c r="K252" s="19" t="s">
        <v>122</v>
      </c>
      <c r="N252" s="19" t="s">
        <v>164</v>
      </c>
      <c r="T252">
        <v>3.0</v>
      </c>
    </row>
    <row r="253">
      <c r="A253" t="s">
        <v>301</v>
      </c>
      <c r="J253" s="19" t="s">
        <v>256</v>
      </c>
      <c r="K253" s="19" t="s">
        <v>122</v>
      </c>
      <c r="N253" s="19" t="s">
        <v>164</v>
      </c>
      <c r="T253">
        <v>3.0</v>
      </c>
    </row>
    <row r="254">
      <c r="A254" t="s">
        <v>251</v>
      </c>
      <c r="H254" t="s">
        <v>252</v>
      </c>
      <c r="I254" s="19" t="s">
        <v>209</v>
      </c>
      <c r="K254" s="19" t="s">
        <v>122</v>
      </c>
      <c r="T254">
        <v>2.0</v>
      </c>
    </row>
    <row r="255">
      <c r="A255" t="s">
        <v>263</v>
      </c>
      <c r="H255" t="s">
        <v>264</v>
      </c>
      <c r="I255" s="19" t="s">
        <v>209</v>
      </c>
      <c r="K255" s="19" t="s">
        <v>122</v>
      </c>
      <c r="T255">
        <v>2.0</v>
      </c>
    </row>
    <row r="256">
      <c r="A256" t="s">
        <v>276</v>
      </c>
      <c r="K256" s="19" t="s">
        <v>122</v>
      </c>
      <c r="P256" s="19" t="s">
        <v>268</v>
      </c>
      <c r="T256">
        <v>2.0</v>
      </c>
    </row>
    <row r="257">
      <c r="A257" t="s">
        <v>280</v>
      </c>
      <c r="K257" s="19" t="s">
        <v>122</v>
      </c>
      <c r="P257" s="19" t="s">
        <v>268</v>
      </c>
      <c r="T257">
        <v>2.0</v>
      </c>
    </row>
    <row r="258">
      <c r="A258" t="s">
        <v>297</v>
      </c>
      <c r="K258" s="19" t="s">
        <v>122</v>
      </c>
      <c r="Q258" s="19" t="s">
        <v>242</v>
      </c>
      <c r="T258">
        <v>2.0</v>
      </c>
    </row>
    <row r="259">
      <c r="A259" t="s">
        <v>236</v>
      </c>
      <c r="L259" s="19" t="s">
        <v>193</v>
      </c>
      <c r="T259">
        <v>1.0</v>
      </c>
    </row>
    <row r="260">
      <c r="A260" t="s">
        <v>286</v>
      </c>
      <c r="K260" s="19" t="s">
        <v>122</v>
      </c>
      <c r="T260">
        <v>1.0</v>
      </c>
    </row>
    <row r="261">
      <c r="A261" t="s">
        <v>289</v>
      </c>
      <c r="K261" s="19" t="s">
        <v>122</v>
      </c>
      <c r="T261">
        <v>1.0</v>
      </c>
    </row>
    <row r="262">
      <c r="A262" t="s">
        <v>290</v>
      </c>
      <c r="K262" s="19" t="s">
        <v>122</v>
      </c>
      <c r="T262">
        <v>1.0</v>
      </c>
    </row>
    <row r="263">
      <c r="A263" t="s">
        <v>291</v>
      </c>
      <c r="K263" s="19" t="s">
        <v>122</v>
      </c>
      <c r="T263">
        <v>1.0</v>
      </c>
    </row>
    <row r="264">
      <c r="A264" t="s">
        <v>367</v>
      </c>
      <c r="K264" s="19" t="s">
        <v>122</v>
      </c>
      <c r="T264">
        <v>1.0</v>
      </c>
    </row>
    <row r="265">
      <c r="A265" t="s">
        <v>525</v>
      </c>
      <c r="I265" s="19" t="s">
        <v>209</v>
      </c>
      <c r="T265">
        <v>1.0</v>
      </c>
    </row>
    <row r="266">
      <c r="A266" t="s">
        <v>366</v>
      </c>
      <c r="I266" s="19" t="s">
        <v>209</v>
      </c>
      <c r="T266">
        <v>1.0</v>
      </c>
    </row>
    <row r="268">
      <c r="A268" s="33" t="s">
        <v>683</v>
      </c>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c r="A269" t="s">
        <v>406</v>
      </c>
      <c r="H269" t="s">
        <v>407</v>
      </c>
      <c r="I269" s="19" t="s">
        <v>209</v>
      </c>
      <c r="K269" s="19" t="s">
        <v>408</v>
      </c>
      <c r="N269" s="19" t="s">
        <v>164</v>
      </c>
      <c r="Q269" s="19" t="s">
        <v>221</v>
      </c>
      <c r="R269" t="s">
        <v>102</v>
      </c>
      <c r="S269" t="s">
        <v>248</v>
      </c>
      <c r="T269">
        <v>6.0</v>
      </c>
    </row>
    <row r="270">
      <c r="A270" t="s">
        <v>386</v>
      </c>
      <c r="H270" t="s">
        <v>387</v>
      </c>
      <c r="K270" s="19" t="s">
        <v>122</v>
      </c>
      <c r="L270" s="19" t="s">
        <v>193</v>
      </c>
      <c r="M270" s="19" t="s">
        <v>214</v>
      </c>
      <c r="N270" s="19" t="s">
        <v>164</v>
      </c>
      <c r="O270" s="19" t="s">
        <v>96</v>
      </c>
      <c r="T270">
        <v>5.0</v>
      </c>
    </row>
    <row r="271">
      <c r="A271" t="s">
        <v>384</v>
      </c>
      <c r="H271" t="s">
        <v>385</v>
      </c>
      <c r="L271" s="19" t="s">
        <v>193</v>
      </c>
      <c r="N271" s="19" t="s">
        <v>164</v>
      </c>
      <c r="P271" t="s">
        <v>257</v>
      </c>
      <c r="Q271" s="19" t="s">
        <v>221</v>
      </c>
      <c r="S271" t="s">
        <v>257</v>
      </c>
      <c r="T271">
        <v>5.0</v>
      </c>
    </row>
    <row r="272">
      <c r="A272" t="s">
        <v>246</v>
      </c>
      <c r="H272" t="s">
        <v>247</v>
      </c>
      <c r="I272" s="19" t="s">
        <v>209</v>
      </c>
      <c r="K272" s="19" t="s">
        <v>122</v>
      </c>
      <c r="Q272" s="19" t="s">
        <v>221</v>
      </c>
      <c r="S272" t="s">
        <v>248</v>
      </c>
      <c r="T272">
        <v>4.0</v>
      </c>
    </row>
    <row r="273">
      <c r="A273" t="s">
        <v>350</v>
      </c>
      <c r="H273" t="s">
        <v>351</v>
      </c>
      <c r="J273" s="19" t="s">
        <v>256</v>
      </c>
      <c r="K273" s="19" t="s">
        <v>122</v>
      </c>
      <c r="N273" s="19" t="s">
        <v>164</v>
      </c>
      <c r="R273" t="s">
        <v>102</v>
      </c>
      <c r="T273">
        <v>4.0</v>
      </c>
    </row>
    <row r="274">
      <c r="A274" t="s">
        <v>191</v>
      </c>
      <c r="H274" t="s">
        <v>192</v>
      </c>
      <c r="L274" s="19" t="s">
        <v>193</v>
      </c>
      <c r="N274" s="19" t="s">
        <v>164</v>
      </c>
      <c r="R274" t="s">
        <v>102</v>
      </c>
      <c r="T274">
        <v>3.0</v>
      </c>
    </row>
    <row r="275">
      <c r="A275" t="s">
        <v>249</v>
      </c>
      <c r="H275" t="s">
        <v>250</v>
      </c>
      <c r="I275" s="19" t="s">
        <v>209</v>
      </c>
      <c r="K275" s="19" t="s">
        <v>122</v>
      </c>
      <c r="S275" t="s">
        <v>248</v>
      </c>
      <c r="T275">
        <v>3.0</v>
      </c>
    </row>
    <row r="276">
      <c r="A276" t="s">
        <v>398</v>
      </c>
      <c r="H276" t="s">
        <v>399</v>
      </c>
      <c r="I276" s="19" t="s">
        <v>209</v>
      </c>
      <c r="R276" t="s">
        <v>102</v>
      </c>
      <c r="S276" t="s">
        <v>248</v>
      </c>
      <c r="T276">
        <v>3.0</v>
      </c>
    </row>
    <row r="277">
      <c r="A277" t="s">
        <v>434</v>
      </c>
      <c r="G277" t="s">
        <v>126</v>
      </c>
      <c r="N277" s="19" t="s">
        <v>164</v>
      </c>
      <c r="Q277" s="19" t="s">
        <v>221</v>
      </c>
      <c r="S277" t="s">
        <v>418</v>
      </c>
      <c r="T277">
        <v>3.0</v>
      </c>
    </row>
    <row r="278">
      <c r="A278" t="s">
        <v>451</v>
      </c>
      <c r="H278" t="s">
        <v>452</v>
      </c>
      <c r="I278" s="19" t="s">
        <v>209</v>
      </c>
      <c r="Q278" s="19" t="s">
        <v>221</v>
      </c>
      <c r="R278" t="s">
        <v>102</v>
      </c>
      <c r="T278">
        <v>3.0</v>
      </c>
    </row>
    <row r="279">
      <c r="A279" t="s">
        <v>140</v>
      </c>
      <c r="B279">
        <v>0.7</v>
      </c>
      <c r="C279" s="19" t="s">
        <v>66</v>
      </c>
      <c r="F279">
        <v>2018.0</v>
      </c>
      <c r="G279" t="s">
        <v>74</v>
      </c>
      <c r="I279" s="19" t="s">
        <v>66</v>
      </c>
      <c r="O279" s="19" t="s">
        <v>96</v>
      </c>
      <c r="T279">
        <v>2.0</v>
      </c>
    </row>
    <row r="280">
      <c r="A280" t="s">
        <v>161</v>
      </c>
      <c r="H280" t="s">
        <v>163</v>
      </c>
      <c r="N280" s="19" t="s">
        <v>164</v>
      </c>
      <c r="R280" t="s">
        <v>102</v>
      </c>
      <c r="T280">
        <v>2.0</v>
      </c>
    </row>
    <row r="281">
      <c r="A281" t="s">
        <v>173</v>
      </c>
      <c r="B281">
        <v>58270.0</v>
      </c>
      <c r="C281" s="19" t="s">
        <v>66</v>
      </c>
      <c r="F281">
        <v>2017.0</v>
      </c>
      <c r="G281" t="s">
        <v>74</v>
      </c>
      <c r="H281" t="s">
        <v>176</v>
      </c>
      <c r="I281" s="19" t="s">
        <v>66</v>
      </c>
      <c r="N281" s="19" t="s">
        <v>164</v>
      </c>
      <c r="T281">
        <v>2.0</v>
      </c>
    </row>
    <row r="282">
      <c r="A282" t="s">
        <v>186</v>
      </c>
      <c r="B282">
        <v>41.5</v>
      </c>
      <c r="C282" s="19" t="s">
        <v>66</v>
      </c>
      <c r="F282">
        <v>2016.0</v>
      </c>
      <c r="G282" t="s">
        <v>74</v>
      </c>
      <c r="I282" s="19" t="s">
        <v>66</v>
      </c>
      <c r="N282" s="19" t="s">
        <v>164</v>
      </c>
      <c r="T282">
        <v>2.0</v>
      </c>
    </row>
    <row r="283">
      <c r="A283" t="s">
        <v>194</v>
      </c>
      <c r="H283" t="s">
        <v>195</v>
      </c>
      <c r="N283" s="19" t="s">
        <v>164</v>
      </c>
      <c r="R283" t="s">
        <v>102</v>
      </c>
      <c r="T283">
        <v>2.0</v>
      </c>
    </row>
    <row r="284">
      <c r="A284" t="s">
        <v>196</v>
      </c>
      <c r="H284" t="s">
        <v>197</v>
      </c>
      <c r="K284" s="19" t="s">
        <v>122</v>
      </c>
      <c r="R284" t="s">
        <v>102</v>
      </c>
      <c r="T284">
        <v>2.0</v>
      </c>
    </row>
    <row r="285">
      <c r="A285" t="s">
        <v>263</v>
      </c>
      <c r="H285" t="s">
        <v>264</v>
      </c>
      <c r="I285" s="19" t="s">
        <v>209</v>
      </c>
      <c r="K285" s="19" t="s">
        <v>122</v>
      </c>
      <c r="T285">
        <v>2.0</v>
      </c>
    </row>
    <row r="286">
      <c r="A286" t="s">
        <v>342</v>
      </c>
      <c r="G286" t="s">
        <v>343</v>
      </c>
      <c r="P286" s="19" t="s">
        <v>268</v>
      </c>
      <c r="S286" t="s">
        <v>344</v>
      </c>
      <c r="T286">
        <v>2.0</v>
      </c>
    </row>
    <row r="287">
      <c r="A287" t="s">
        <v>401</v>
      </c>
      <c r="H287" t="s">
        <v>402</v>
      </c>
      <c r="I287" s="19" t="s">
        <v>209</v>
      </c>
      <c r="R287" t="s">
        <v>102</v>
      </c>
      <c r="T287">
        <v>2.0</v>
      </c>
    </row>
    <row r="288">
      <c r="A288" t="s">
        <v>435</v>
      </c>
      <c r="H288" t="s">
        <v>436</v>
      </c>
      <c r="J288" s="19" t="s">
        <v>256</v>
      </c>
      <c r="L288" s="19" t="s">
        <v>193</v>
      </c>
      <c r="T288">
        <v>2.0</v>
      </c>
    </row>
    <row r="289">
      <c r="A289" t="s">
        <v>443</v>
      </c>
      <c r="H289" t="s">
        <v>444</v>
      </c>
      <c r="I289" s="19" t="s">
        <v>209</v>
      </c>
      <c r="N289" s="19" t="s">
        <v>164</v>
      </c>
      <c r="T289">
        <v>2.0</v>
      </c>
    </row>
    <row r="290">
      <c r="A290" t="s">
        <v>445</v>
      </c>
      <c r="H290" t="s">
        <v>446</v>
      </c>
      <c r="I290" s="19" t="s">
        <v>209</v>
      </c>
      <c r="N290" s="19" t="s">
        <v>164</v>
      </c>
      <c r="T290">
        <v>2.0</v>
      </c>
    </row>
    <row r="291">
      <c r="A291" t="s">
        <v>472</v>
      </c>
      <c r="J291" s="19" t="s">
        <v>256</v>
      </c>
      <c r="N291" s="19" t="s">
        <v>164</v>
      </c>
      <c r="T291">
        <v>2.0</v>
      </c>
    </row>
    <row r="292">
      <c r="A292" t="s">
        <v>519</v>
      </c>
      <c r="J292" s="19" t="s">
        <v>256</v>
      </c>
      <c r="K292" s="19" t="s">
        <v>122</v>
      </c>
      <c r="T292">
        <v>2.0</v>
      </c>
    </row>
    <row r="293">
      <c r="A293" t="s">
        <v>147</v>
      </c>
      <c r="B293">
        <v>82.0</v>
      </c>
      <c r="C293" s="19" t="s">
        <v>66</v>
      </c>
      <c r="F293">
        <v>2018.0</v>
      </c>
      <c r="G293" t="s">
        <v>74</v>
      </c>
      <c r="I293" s="19" t="s">
        <v>66</v>
      </c>
      <c r="T293">
        <v>1.0</v>
      </c>
    </row>
    <row r="294">
      <c r="A294" t="s">
        <v>156</v>
      </c>
      <c r="B294">
        <v>13.5</v>
      </c>
      <c r="C294" s="19" t="s">
        <v>66</v>
      </c>
      <c r="F294">
        <v>2015.0</v>
      </c>
      <c r="G294" t="s">
        <v>74</v>
      </c>
      <c r="I294" s="19" t="s">
        <v>66</v>
      </c>
      <c r="T294">
        <v>1.0</v>
      </c>
    </row>
    <row r="295">
      <c r="A295" t="s">
        <v>169</v>
      </c>
      <c r="N295" s="19" t="s">
        <v>164</v>
      </c>
      <c r="T295">
        <v>1.0</v>
      </c>
    </row>
    <row r="296">
      <c r="A296" t="s">
        <v>180</v>
      </c>
      <c r="B296">
        <v>2.3</v>
      </c>
      <c r="C296" s="19" t="s">
        <v>66</v>
      </c>
      <c r="F296">
        <v>2017.0</v>
      </c>
      <c r="G296" t="s">
        <v>74</v>
      </c>
      <c r="I296" s="19" t="s">
        <v>66</v>
      </c>
      <c r="T296">
        <v>1.0</v>
      </c>
    </row>
    <row r="297">
      <c r="A297" t="s">
        <v>190</v>
      </c>
      <c r="O297" s="19" t="s">
        <v>96</v>
      </c>
      <c r="T297">
        <v>1.0</v>
      </c>
    </row>
    <row r="298">
      <c r="A298" t="s">
        <v>198</v>
      </c>
      <c r="N298" s="19" t="s">
        <v>164</v>
      </c>
      <c r="T298">
        <v>1.0</v>
      </c>
    </row>
    <row r="299">
      <c r="A299" t="s">
        <v>199</v>
      </c>
      <c r="N299" s="19" t="s">
        <v>164</v>
      </c>
      <c r="T299">
        <v>1.0</v>
      </c>
    </row>
    <row r="300">
      <c r="A300" t="s">
        <v>200</v>
      </c>
      <c r="N300" s="19" t="s">
        <v>164</v>
      </c>
      <c r="T300">
        <v>1.0</v>
      </c>
    </row>
    <row r="301">
      <c r="A301" t="s">
        <v>201</v>
      </c>
      <c r="N301" s="19" t="s">
        <v>164</v>
      </c>
      <c r="T301">
        <v>1.0</v>
      </c>
    </row>
    <row r="302">
      <c r="A302" t="s">
        <v>202</v>
      </c>
      <c r="O302" s="19" t="s">
        <v>96</v>
      </c>
      <c r="T302">
        <v>1.0</v>
      </c>
    </row>
    <row r="303">
      <c r="A303" t="s">
        <v>203</v>
      </c>
      <c r="H303" t="s">
        <v>204</v>
      </c>
      <c r="O303" s="19" t="s">
        <v>96</v>
      </c>
      <c r="T303">
        <v>1.0</v>
      </c>
    </row>
    <row r="304">
      <c r="A304" t="s">
        <v>338</v>
      </c>
      <c r="G304" t="s">
        <v>340</v>
      </c>
      <c r="S304" t="s">
        <v>341</v>
      </c>
      <c r="T304">
        <v>1.0</v>
      </c>
    </row>
    <row r="305">
      <c r="A305" t="s">
        <v>352</v>
      </c>
      <c r="R305" t="s">
        <v>102</v>
      </c>
      <c r="T305">
        <v>1.0</v>
      </c>
    </row>
    <row r="306">
      <c r="A306" t="s">
        <v>353</v>
      </c>
      <c r="R306" t="s">
        <v>102</v>
      </c>
      <c r="T306">
        <v>1.0</v>
      </c>
    </row>
    <row r="307">
      <c r="A307" t="s">
        <v>365</v>
      </c>
      <c r="N307" s="19" t="s">
        <v>164</v>
      </c>
      <c r="T307">
        <v>1.0</v>
      </c>
    </row>
    <row r="308">
      <c r="A308" t="s">
        <v>394</v>
      </c>
      <c r="R308" t="s">
        <v>102</v>
      </c>
      <c r="T308">
        <v>1.0</v>
      </c>
    </row>
    <row r="309">
      <c r="A309" t="s">
        <v>403</v>
      </c>
      <c r="H309" t="s">
        <v>404</v>
      </c>
      <c r="I309" s="19" t="s">
        <v>209</v>
      </c>
      <c r="T309">
        <v>1.0</v>
      </c>
    </row>
    <row r="310">
      <c r="A310" t="s">
        <v>410</v>
      </c>
      <c r="R310" t="s">
        <v>102</v>
      </c>
      <c r="T310">
        <v>1.0</v>
      </c>
    </row>
    <row r="311">
      <c r="A311" t="s">
        <v>447</v>
      </c>
      <c r="H311" t="s">
        <v>448</v>
      </c>
      <c r="I311" s="19" t="s">
        <v>209</v>
      </c>
      <c r="T311">
        <v>1.0</v>
      </c>
    </row>
    <row r="312">
      <c r="A312" t="s">
        <v>449</v>
      </c>
      <c r="H312" t="s">
        <v>450</v>
      </c>
      <c r="I312" s="19" t="s">
        <v>209</v>
      </c>
      <c r="T312">
        <v>1.0</v>
      </c>
    </row>
    <row r="313">
      <c r="A313" t="s">
        <v>455</v>
      </c>
      <c r="G313" t="s">
        <v>456</v>
      </c>
      <c r="S313" t="s">
        <v>457</v>
      </c>
      <c r="T313">
        <v>1.0</v>
      </c>
    </row>
    <row r="314">
      <c r="A314" t="s">
        <v>458</v>
      </c>
      <c r="H314" t="s">
        <v>459</v>
      </c>
      <c r="N314" s="19" t="s">
        <v>164</v>
      </c>
      <c r="T314">
        <v>1.0</v>
      </c>
    </row>
    <row r="315">
      <c r="A315" t="s">
        <v>460</v>
      </c>
      <c r="J315" s="19" t="s">
        <v>256</v>
      </c>
      <c r="T315">
        <v>1.0</v>
      </c>
    </row>
    <row r="316">
      <c r="A316" t="s">
        <v>462</v>
      </c>
      <c r="Q316" s="19" t="s">
        <v>221</v>
      </c>
      <c r="T316">
        <v>1.0</v>
      </c>
    </row>
    <row r="317">
      <c r="A317" t="s">
        <v>466</v>
      </c>
      <c r="G317" t="s">
        <v>254</v>
      </c>
      <c r="S317" t="s">
        <v>467</v>
      </c>
      <c r="T317">
        <v>1.0</v>
      </c>
    </row>
    <row r="318">
      <c r="A318" t="s">
        <v>469</v>
      </c>
      <c r="G318" t="s">
        <v>340</v>
      </c>
      <c r="Q318" s="19" t="s">
        <v>221</v>
      </c>
      <c r="T318">
        <v>1.0</v>
      </c>
    </row>
    <row r="319">
      <c r="A319" t="s">
        <v>473</v>
      </c>
      <c r="H319" t="s">
        <v>474</v>
      </c>
      <c r="N319" s="19" t="s">
        <v>164</v>
      </c>
      <c r="T319">
        <v>1.0</v>
      </c>
    </row>
    <row r="320">
      <c r="A320" t="s">
        <v>393</v>
      </c>
      <c r="N320" s="19" t="s">
        <v>164</v>
      </c>
      <c r="T320">
        <v>1.0</v>
      </c>
    </row>
    <row r="321">
      <c r="A321" t="s">
        <v>549</v>
      </c>
      <c r="P321" s="19" t="s">
        <v>268</v>
      </c>
      <c r="T321">
        <v>1.0</v>
      </c>
    </row>
    <row r="322">
      <c r="A322" t="s">
        <v>565</v>
      </c>
      <c r="J322" s="19" t="s">
        <v>256</v>
      </c>
      <c r="T322">
        <v>1.0</v>
      </c>
    </row>
    <row r="323">
      <c r="A323" t="s">
        <v>530</v>
      </c>
      <c r="J323" s="19" t="s">
        <v>77</v>
      </c>
      <c r="T323">
        <v>1.0</v>
      </c>
    </row>
    <row r="324">
      <c r="A324" t="s">
        <v>618</v>
      </c>
      <c r="K324" s="19" t="s">
        <v>335</v>
      </c>
      <c r="T324">
        <v>1.0</v>
      </c>
    </row>
    <row r="325">
      <c r="A325" t="s">
        <v>694</v>
      </c>
      <c r="I325" s="19" t="s">
        <v>209</v>
      </c>
      <c r="T325">
        <v>1.0</v>
      </c>
    </row>
    <row r="326">
      <c r="A326" t="s">
        <v>696</v>
      </c>
      <c r="H326" t="s">
        <v>697</v>
      </c>
      <c r="L326" s="19" t="s">
        <v>193</v>
      </c>
      <c r="T326">
        <v>1.0</v>
      </c>
    </row>
    <row r="327">
      <c r="A327" t="s">
        <v>698</v>
      </c>
      <c r="R327" t="s">
        <v>102</v>
      </c>
      <c r="T327">
        <v>1.0</v>
      </c>
    </row>
    <row r="328">
      <c r="A328" t="s">
        <v>699</v>
      </c>
      <c r="P328" s="19" t="s">
        <v>538</v>
      </c>
      <c r="T328">
        <v>1.0</v>
      </c>
    </row>
    <row r="329">
      <c r="A329" t="s">
        <v>700</v>
      </c>
      <c r="P329" s="19" t="s">
        <v>268</v>
      </c>
      <c r="T329">
        <v>1.0</v>
      </c>
    </row>
    <row r="330">
      <c r="A330" t="s">
        <v>701</v>
      </c>
      <c r="N330" s="19" t="s">
        <v>164</v>
      </c>
      <c r="T330">
        <v>1.0</v>
      </c>
    </row>
    <row r="332">
      <c r="A332" s="33" t="s">
        <v>702</v>
      </c>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 r="A333" t="s">
        <v>129</v>
      </c>
      <c r="B333">
        <v>16.0</v>
      </c>
      <c r="C333" s="19" t="s">
        <v>66</v>
      </c>
      <c r="F333">
        <v>2018.0</v>
      </c>
      <c r="G333" t="s">
        <v>74</v>
      </c>
      <c r="I333" s="19" t="s">
        <v>66</v>
      </c>
      <c r="J333" s="19" t="s">
        <v>77</v>
      </c>
      <c r="K333" s="19" t="s">
        <v>122</v>
      </c>
      <c r="O333" s="19" t="s">
        <v>96</v>
      </c>
      <c r="R333" t="s">
        <v>102</v>
      </c>
      <c r="T333">
        <v>5.0</v>
      </c>
    </row>
    <row r="334">
      <c r="A334" t="s">
        <v>384</v>
      </c>
      <c r="H334" t="s">
        <v>385</v>
      </c>
      <c r="L334" s="19" t="s">
        <v>193</v>
      </c>
      <c r="N334" s="19" t="s">
        <v>164</v>
      </c>
      <c r="P334" t="s">
        <v>257</v>
      </c>
      <c r="Q334" s="19" t="s">
        <v>221</v>
      </c>
      <c r="S334" t="s">
        <v>257</v>
      </c>
      <c r="T334">
        <v>5.0</v>
      </c>
    </row>
    <row r="335">
      <c r="A335" t="s">
        <v>491</v>
      </c>
      <c r="J335" s="19" t="s">
        <v>77</v>
      </c>
      <c r="K335" s="19" t="s">
        <v>122</v>
      </c>
      <c r="L335" s="19" t="s">
        <v>193</v>
      </c>
      <c r="N335" s="19" t="s">
        <v>164</v>
      </c>
      <c r="O335" s="19" t="s">
        <v>482</v>
      </c>
      <c r="T335">
        <v>5.0</v>
      </c>
    </row>
    <row r="336">
      <c r="A336" t="s">
        <v>424</v>
      </c>
      <c r="H336" t="s">
        <v>425</v>
      </c>
      <c r="J336" s="19" t="s">
        <v>256</v>
      </c>
      <c r="K336" s="19" t="s">
        <v>122</v>
      </c>
      <c r="P336" s="19" t="s">
        <v>268</v>
      </c>
      <c r="S336" t="s">
        <v>426</v>
      </c>
      <c r="T336">
        <v>4.0</v>
      </c>
    </row>
    <row r="337">
      <c r="A337" t="s">
        <v>548</v>
      </c>
      <c r="H337" t="s">
        <v>550</v>
      </c>
      <c r="I337" s="19" t="s">
        <v>209</v>
      </c>
      <c r="J337" s="19" t="s">
        <v>256</v>
      </c>
      <c r="O337" s="19" t="s">
        <v>96</v>
      </c>
      <c r="S337" t="s">
        <v>553</v>
      </c>
      <c r="T337">
        <v>4.0</v>
      </c>
    </row>
    <row r="338">
      <c r="A338" t="s">
        <v>554</v>
      </c>
      <c r="H338" t="s">
        <v>555</v>
      </c>
      <c r="I338" s="19" t="s">
        <v>209</v>
      </c>
      <c r="J338" s="19" t="s">
        <v>256</v>
      </c>
      <c r="O338" s="19" t="s">
        <v>96</v>
      </c>
      <c r="S338" t="s">
        <v>553</v>
      </c>
      <c r="T338">
        <v>4.0</v>
      </c>
    </row>
    <row r="339">
      <c r="A339" t="s">
        <v>558</v>
      </c>
      <c r="G339" t="s">
        <v>559</v>
      </c>
      <c r="J339" t="s">
        <v>273</v>
      </c>
      <c r="K339" s="19" t="s">
        <v>408</v>
      </c>
      <c r="P339" t="s">
        <v>560</v>
      </c>
      <c r="S339" t="s">
        <v>561</v>
      </c>
      <c r="T339">
        <v>4.0</v>
      </c>
    </row>
    <row r="340">
      <c r="A340" t="s">
        <v>571</v>
      </c>
      <c r="J340" t="s">
        <v>273</v>
      </c>
      <c r="K340" s="19" t="s">
        <v>408</v>
      </c>
      <c r="S340" t="s">
        <v>553</v>
      </c>
      <c r="T340">
        <v>3.0</v>
      </c>
    </row>
    <row r="341">
      <c r="A341" t="s">
        <v>572</v>
      </c>
      <c r="J341" t="s">
        <v>273</v>
      </c>
      <c r="K341" s="19" t="s">
        <v>408</v>
      </c>
      <c r="S341" t="s">
        <v>553</v>
      </c>
      <c r="T341">
        <v>3.0</v>
      </c>
    </row>
    <row r="342">
      <c r="A342" t="s">
        <v>276</v>
      </c>
      <c r="K342" s="19" t="s">
        <v>122</v>
      </c>
      <c r="P342" s="19" t="s">
        <v>268</v>
      </c>
      <c r="T342">
        <v>2.0</v>
      </c>
    </row>
    <row r="343">
      <c r="A343" t="s">
        <v>544</v>
      </c>
      <c r="H343" t="s">
        <v>545</v>
      </c>
      <c r="J343" s="19" t="s">
        <v>77</v>
      </c>
      <c r="P343" s="19" t="s">
        <v>268</v>
      </c>
      <c r="T343">
        <v>2.0</v>
      </c>
    </row>
    <row r="344">
      <c r="A344" t="s">
        <v>566</v>
      </c>
      <c r="J344" s="19" t="s">
        <v>256</v>
      </c>
      <c r="N344" s="19" t="s">
        <v>164</v>
      </c>
      <c r="T344">
        <v>2.0</v>
      </c>
    </row>
    <row r="345">
      <c r="A345" t="s">
        <v>570</v>
      </c>
      <c r="J345" s="19" t="s">
        <v>256</v>
      </c>
      <c r="N345" s="19" t="s">
        <v>164</v>
      </c>
      <c r="T345">
        <v>2.0</v>
      </c>
    </row>
    <row r="346">
      <c r="A346" t="s">
        <v>601</v>
      </c>
      <c r="G346" t="s">
        <v>602</v>
      </c>
      <c r="P346" t="s">
        <v>603</v>
      </c>
      <c r="S346" t="s">
        <v>604</v>
      </c>
      <c r="T346">
        <v>2.0</v>
      </c>
    </row>
    <row r="347">
      <c r="A347" t="s">
        <v>605</v>
      </c>
      <c r="G347" t="s">
        <v>606</v>
      </c>
      <c r="P347" t="s">
        <v>607</v>
      </c>
      <c r="S347" t="s">
        <v>607</v>
      </c>
      <c r="T347">
        <v>2.0</v>
      </c>
    </row>
    <row r="348">
      <c r="A348" t="s">
        <v>658</v>
      </c>
      <c r="G348" t="s">
        <v>659</v>
      </c>
      <c r="P348" t="s">
        <v>660</v>
      </c>
      <c r="S348" t="s">
        <v>661</v>
      </c>
      <c r="T348">
        <v>2.0</v>
      </c>
    </row>
    <row r="349">
      <c r="A349" t="s">
        <v>662</v>
      </c>
      <c r="G349" t="s">
        <v>659</v>
      </c>
      <c r="P349" t="s">
        <v>663</v>
      </c>
      <c r="S349" t="s">
        <v>664</v>
      </c>
      <c r="T349">
        <v>2.0</v>
      </c>
    </row>
    <row r="350">
      <c r="A350" t="s">
        <v>520</v>
      </c>
      <c r="H350" t="s">
        <v>521</v>
      </c>
      <c r="J350" s="19" t="s">
        <v>256</v>
      </c>
      <c r="N350" s="19" t="s">
        <v>164</v>
      </c>
      <c r="T350">
        <v>2.0</v>
      </c>
    </row>
    <row r="351">
      <c r="A351" t="s">
        <v>522</v>
      </c>
      <c r="J351" s="19" t="s">
        <v>256</v>
      </c>
      <c r="N351" s="19" t="s">
        <v>164</v>
      </c>
      <c r="T351">
        <v>2.0</v>
      </c>
    </row>
    <row r="352">
      <c r="A352" t="s">
        <v>687</v>
      </c>
      <c r="K352" s="19" t="s">
        <v>122</v>
      </c>
      <c r="L352" s="19" t="s">
        <v>193</v>
      </c>
      <c r="T352">
        <v>2.0</v>
      </c>
    </row>
    <row r="353">
      <c r="A353" t="s">
        <v>190</v>
      </c>
      <c r="O353" s="19" t="s">
        <v>96</v>
      </c>
      <c r="T353">
        <v>1.0</v>
      </c>
    </row>
    <row r="354">
      <c r="A354" t="s">
        <v>236</v>
      </c>
      <c r="L354" s="19" t="s">
        <v>193</v>
      </c>
      <c r="T354">
        <v>1.0</v>
      </c>
    </row>
    <row r="355">
      <c r="A355" t="s">
        <v>334</v>
      </c>
      <c r="K355" s="19" t="s">
        <v>335</v>
      </c>
      <c r="T355">
        <v>1.0</v>
      </c>
    </row>
    <row r="356">
      <c r="A356" t="s">
        <v>338</v>
      </c>
      <c r="G356" t="s">
        <v>340</v>
      </c>
      <c r="S356" t="s">
        <v>341</v>
      </c>
      <c r="T356">
        <v>1.0</v>
      </c>
    </row>
    <row r="357">
      <c r="A357" t="s">
        <v>345</v>
      </c>
      <c r="S357" t="s">
        <v>346</v>
      </c>
      <c r="T357">
        <v>1.0</v>
      </c>
    </row>
    <row r="358">
      <c r="A358" t="s">
        <v>352</v>
      </c>
      <c r="R358" t="s">
        <v>102</v>
      </c>
      <c r="T358">
        <v>1.0</v>
      </c>
    </row>
    <row r="359">
      <c r="A359" t="s">
        <v>356</v>
      </c>
      <c r="J359" s="19" t="s">
        <v>256</v>
      </c>
      <c r="T359">
        <v>1.0</v>
      </c>
    </row>
    <row r="360">
      <c r="A360" t="s">
        <v>360</v>
      </c>
      <c r="J360" s="19" t="s">
        <v>256</v>
      </c>
      <c r="T360">
        <v>1.0</v>
      </c>
    </row>
    <row r="361">
      <c r="A361" t="s">
        <v>362</v>
      </c>
      <c r="N361" s="19" t="s">
        <v>164</v>
      </c>
      <c r="T361">
        <v>1.0</v>
      </c>
    </row>
    <row r="362">
      <c r="A362" t="s">
        <v>439</v>
      </c>
      <c r="N362" s="19" t="s">
        <v>164</v>
      </c>
      <c r="T362">
        <v>1.0</v>
      </c>
    </row>
    <row r="363">
      <c r="A363" t="s">
        <v>455</v>
      </c>
      <c r="G363" t="s">
        <v>456</v>
      </c>
      <c r="S363" t="s">
        <v>457</v>
      </c>
      <c r="T363">
        <v>1.0</v>
      </c>
    </row>
    <row r="364">
      <c r="A364" t="s">
        <v>539</v>
      </c>
      <c r="I364" s="19" t="s">
        <v>209</v>
      </c>
      <c r="T364">
        <v>1.0</v>
      </c>
    </row>
    <row r="365">
      <c r="A365" t="s">
        <v>549</v>
      </c>
      <c r="P365" s="19" t="s">
        <v>268</v>
      </c>
      <c r="T365">
        <v>1.0</v>
      </c>
    </row>
    <row r="366">
      <c r="A366" t="s">
        <v>565</v>
      </c>
      <c r="J366" s="19" t="s">
        <v>256</v>
      </c>
      <c r="T366">
        <v>1.0</v>
      </c>
    </row>
    <row r="367">
      <c r="A367" t="s">
        <v>574</v>
      </c>
      <c r="J367" s="19" t="s">
        <v>77</v>
      </c>
      <c r="T367">
        <v>1.0</v>
      </c>
    </row>
    <row r="368">
      <c r="A368" t="s">
        <v>475</v>
      </c>
      <c r="L368" s="19" t="s">
        <v>193</v>
      </c>
      <c r="T368">
        <v>1.0</v>
      </c>
    </row>
    <row r="369">
      <c r="A369" t="s">
        <v>612</v>
      </c>
      <c r="R369" t="s">
        <v>102</v>
      </c>
      <c r="T369">
        <v>1.0</v>
      </c>
    </row>
    <row r="370">
      <c r="A370" t="s">
        <v>476</v>
      </c>
      <c r="K370" s="19" t="s">
        <v>122</v>
      </c>
      <c r="T370">
        <v>1.0</v>
      </c>
    </row>
    <row r="371">
      <c r="A371" t="s">
        <v>622</v>
      </c>
      <c r="H371" t="s">
        <v>623</v>
      </c>
      <c r="K371" s="19" t="s">
        <v>122</v>
      </c>
      <c r="T371">
        <v>1.0</v>
      </c>
    </row>
    <row r="372">
      <c r="A372" t="s">
        <v>616</v>
      </c>
      <c r="K372" s="19" t="s">
        <v>335</v>
      </c>
      <c r="T372">
        <v>1.0</v>
      </c>
    </row>
    <row r="373">
      <c r="A373" t="s">
        <v>617</v>
      </c>
      <c r="L373" s="19" t="s">
        <v>193</v>
      </c>
      <c r="T373">
        <v>1.0</v>
      </c>
    </row>
    <row r="374">
      <c r="A374" t="s">
        <v>618</v>
      </c>
      <c r="K374" s="19" t="s">
        <v>335</v>
      </c>
      <c r="T374">
        <v>1.0</v>
      </c>
    </row>
    <row r="375">
      <c r="A375" t="s">
        <v>477</v>
      </c>
      <c r="J375" s="19" t="s">
        <v>77</v>
      </c>
      <c r="T375">
        <v>1.0</v>
      </c>
    </row>
    <row r="376">
      <c r="A376" t="s">
        <v>700</v>
      </c>
      <c r="P376" s="19" t="s">
        <v>268</v>
      </c>
      <c r="T376">
        <v>1.0</v>
      </c>
    </row>
    <row r="378">
      <c r="A378" s="33" t="s">
        <v>703</v>
      </c>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t="s">
        <v>253</v>
      </c>
      <c r="G379" t="s">
        <v>254</v>
      </c>
      <c r="H379" t="s">
        <v>255</v>
      </c>
      <c r="I379" s="19" t="s">
        <v>209</v>
      </c>
      <c r="J379" s="19" t="s">
        <v>256</v>
      </c>
      <c r="K379" s="19" t="s">
        <v>122</v>
      </c>
      <c r="M379" s="19" t="s">
        <v>214</v>
      </c>
      <c r="N379" s="19" t="s">
        <v>164</v>
      </c>
      <c r="P379" t="s">
        <v>257</v>
      </c>
      <c r="Q379" s="19" t="s">
        <v>221</v>
      </c>
      <c r="R379" t="s">
        <v>102</v>
      </c>
      <c r="S379" t="s">
        <v>258</v>
      </c>
      <c r="T379">
        <v>9.0</v>
      </c>
    </row>
    <row r="380">
      <c r="A380" t="s">
        <v>281</v>
      </c>
      <c r="G380" t="s">
        <v>254</v>
      </c>
      <c r="H380" t="s">
        <v>282</v>
      </c>
      <c r="J380" s="19" t="s">
        <v>256</v>
      </c>
      <c r="K380" s="19" t="s">
        <v>122</v>
      </c>
      <c r="L380" s="19" t="s">
        <v>193</v>
      </c>
      <c r="N380" s="19" t="s">
        <v>164</v>
      </c>
      <c r="P380" t="s">
        <v>283</v>
      </c>
      <c r="Q380" t="s">
        <v>261</v>
      </c>
      <c r="R380" t="s">
        <v>102</v>
      </c>
      <c r="S380" t="s">
        <v>284</v>
      </c>
      <c r="T380">
        <v>8.0</v>
      </c>
    </row>
    <row r="381">
      <c r="A381" t="s">
        <v>411</v>
      </c>
      <c r="H381" t="s">
        <v>412</v>
      </c>
      <c r="I381" s="19" t="s">
        <v>209</v>
      </c>
      <c r="J381" s="19" t="s">
        <v>256</v>
      </c>
      <c r="K381" s="19" t="s">
        <v>122</v>
      </c>
      <c r="L381" s="19" t="s">
        <v>193</v>
      </c>
      <c r="N381" s="19" t="s">
        <v>164</v>
      </c>
      <c r="P381" t="s">
        <v>283</v>
      </c>
      <c r="Q381" t="s">
        <v>261</v>
      </c>
      <c r="S381" t="s">
        <v>288</v>
      </c>
      <c r="T381">
        <v>8.0</v>
      </c>
    </row>
    <row r="382">
      <c r="A382" t="s">
        <v>374</v>
      </c>
      <c r="G382" t="s">
        <v>376</v>
      </c>
      <c r="H382" t="s">
        <v>377</v>
      </c>
      <c r="J382" s="19" t="s">
        <v>256</v>
      </c>
      <c r="K382" s="19" t="s">
        <v>335</v>
      </c>
      <c r="L382" s="19" t="s">
        <v>193</v>
      </c>
      <c r="N382" s="19" t="s">
        <v>164</v>
      </c>
      <c r="P382" t="s">
        <v>372</v>
      </c>
      <c r="Q382" s="19" t="s">
        <v>221</v>
      </c>
      <c r="R382" t="s">
        <v>102</v>
      </c>
      <c r="S382" t="s">
        <v>257</v>
      </c>
      <c r="T382">
        <v>8.0</v>
      </c>
    </row>
    <row r="383">
      <c r="A383" t="s">
        <v>453</v>
      </c>
      <c r="G383" t="s">
        <v>254</v>
      </c>
      <c r="H383" t="s">
        <v>454</v>
      </c>
      <c r="I383" s="19" t="s">
        <v>209</v>
      </c>
      <c r="J383" s="19" t="s">
        <v>256</v>
      </c>
      <c r="L383" s="19" t="s">
        <v>193</v>
      </c>
      <c r="N383" s="19" t="s">
        <v>164</v>
      </c>
      <c r="P383" t="s">
        <v>283</v>
      </c>
      <c r="Q383" t="s">
        <v>261</v>
      </c>
      <c r="R383" t="s">
        <v>102</v>
      </c>
      <c r="S383" t="s">
        <v>284</v>
      </c>
      <c r="T383">
        <v>8.0</v>
      </c>
    </row>
    <row r="384">
      <c r="A384" t="s">
        <v>428</v>
      </c>
      <c r="G384" t="s">
        <v>254</v>
      </c>
      <c r="H384" t="s">
        <v>429</v>
      </c>
      <c r="L384" s="19" t="s">
        <v>193</v>
      </c>
      <c r="N384" s="19" t="s">
        <v>164</v>
      </c>
      <c r="P384" t="s">
        <v>430</v>
      </c>
      <c r="Q384" t="s">
        <v>261</v>
      </c>
      <c r="R384" t="s">
        <v>102</v>
      </c>
      <c r="S384" t="s">
        <v>284</v>
      </c>
      <c r="T384">
        <v>6.0</v>
      </c>
    </row>
    <row r="385">
      <c r="A385" t="s">
        <v>431</v>
      </c>
      <c r="G385" t="s">
        <v>254</v>
      </c>
      <c r="H385" t="s">
        <v>432</v>
      </c>
      <c r="L385" s="19" t="s">
        <v>193</v>
      </c>
      <c r="N385" s="19" t="s">
        <v>164</v>
      </c>
      <c r="P385" t="s">
        <v>283</v>
      </c>
      <c r="Q385" t="s">
        <v>261</v>
      </c>
      <c r="R385" t="s">
        <v>102</v>
      </c>
      <c r="S385" t="s">
        <v>284</v>
      </c>
      <c r="T385">
        <v>6.0</v>
      </c>
    </row>
    <row r="386">
      <c r="A386" t="s">
        <v>463</v>
      </c>
      <c r="G386" t="s">
        <v>464</v>
      </c>
      <c r="N386" s="19" t="s">
        <v>164</v>
      </c>
      <c r="P386" t="s">
        <v>430</v>
      </c>
      <c r="Q386" s="19" t="s">
        <v>221</v>
      </c>
      <c r="S386" t="s">
        <v>284</v>
      </c>
      <c r="T386">
        <v>4.0</v>
      </c>
    </row>
    <row r="387">
      <c r="A387" t="s">
        <v>579</v>
      </c>
      <c r="J387" s="19" t="s">
        <v>77</v>
      </c>
      <c r="K387" s="19" t="s">
        <v>86</v>
      </c>
      <c r="T387">
        <v>2.0</v>
      </c>
    </row>
    <row r="388">
      <c r="A388" t="s">
        <v>581</v>
      </c>
      <c r="J388" s="19" t="s">
        <v>77</v>
      </c>
      <c r="K388" s="19" t="s">
        <v>86</v>
      </c>
      <c r="T388">
        <v>2.0</v>
      </c>
    </row>
    <row r="389">
      <c r="A389" t="s">
        <v>583</v>
      </c>
      <c r="J389" s="19" t="s">
        <v>77</v>
      </c>
      <c r="K389" s="19" t="s">
        <v>86</v>
      </c>
      <c r="T389">
        <v>2.0</v>
      </c>
    </row>
    <row r="390">
      <c r="A390" t="s">
        <v>586</v>
      </c>
      <c r="J390" s="19" t="s">
        <v>77</v>
      </c>
      <c r="K390" s="19" t="s">
        <v>86</v>
      </c>
      <c r="T390">
        <v>2.0</v>
      </c>
    </row>
    <row r="391">
      <c r="A391" t="s">
        <v>643</v>
      </c>
      <c r="G391" t="s">
        <v>644</v>
      </c>
      <c r="P391" t="s">
        <v>645</v>
      </c>
      <c r="S391" t="s">
        <v>646</v>
      </c>
      <c r="T391">
        <v>2.0</v>
      </c>
    </row>
    <row r="392">
      <c r="A392" t="s">
        <v>291</v>
      </c>
      <c r="K392" s="19" t="s">
        <v>122</v>
      </c>
      <c r="T392">
        <v>1.0</v>
      </c>
    </row>
    <row r="393">
      <c r="A393" t="s">
        <v>391</v>
      </c>
      <c r="G393" t="s">
        <v>254</v>
      </c>
      <c r="S393" t="s">
        <v>392</v>
      </c>
      <c r="T393">
        <v>1.0</v>
      </c>
    </row>
    <row r="394">
      <c r="A394" t="s">
        <v>466</v>
      </c>
      <c r="G394" t="s">
        <v>254</v>
      </c>
      <c r="S394" t="s">
        <v>467</v>
      </c>
      <c r="T394">
        <v>1.0</v>
      </c>
    </row>
    <row r="395">
      <c r="A395" t="s">
        <v>470</v>
      </c>
      <c r="G395" t="s">
        <v>254</v>
      </c>
      <c r="S395" t="s">
        <v>471</v>
      </c>
      <c r="T395">
        <v>1.0</v>
      </c>
    </row>
    <row r="396">
      <c r="A396" t="s">
        <v>610</v>
      </c>
      <c r="G396" t="s">
        <v>254</v>
      </c>
      <c r="S396" t="s">
        <v>611</v>
      </c>
      <c r="T396">
        <v>1.0</v>
      </c>
    </row>
    <row r="397">
      <c r="A397" t="s">
        <v>633</v>
      </c>
      <c r="G397" t="s">
        <v>254</v>
      </c>
      <c r="S397" t="s">
        <v>634</v>
      </c>
      <c r="T397">
        <v>1.0</v>
      </c>
    </row>
    <row r="399">
      <c r="A399" s="33" t="s">
        <v>704</v>
      </c>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t="s">
        <v>640</v>
      </c>
      <c r="H400" t="s">
        <v>641</v>
      </c>
      <c r="I400" s="19" t="s">
        <v>209</v>
      </c>
      <c r="O400" s="19" t="s">
        <v>96</v>
      </c>
      <c r="R400" t="s">
        <v>102</v>
      </c>
      <c r="T400">
        <v>3.0</v>
      </c>
    </row>
    <row r="401">
      <c r="A401" t="s">
        <v>642</v>
      </c>
      <c r="H401" t="s">
        <v>641</v>
      </c>
      <c r="I401" s="19" t="s">
        <v>209</v>
      </c>
      <c r="O401" s="19" t="s">
        <v>96</v>
      </c>
      <c r="R401" t="s">
        <v>102</v>
      </c>
      <c r="T401">
        <v>3.0</v>
      </c>
    </row>
    <row r="402">
      <c r="A402" t="s">
        <v>540</v>
      </c>
      <c r="H402" t="s">
        <v>541</v>
      </c>
      <c r="J402" s="19" t="s">
        <v>77</v>
      </c>
      <c r="P402" s="19" t="s">
        <v>538</v>
      </c>
      <c r="T402">
        <v>2.0</v>
      </c>
    </row>
    <row r="403">
      <c r="A403" t="s">
        <v>608</v>
      </c>
      <c r="P403" s="19" t="s">
        <v>538</v>
      </c>
      <c r="S403" t="s">
        <v>609</v>
      </c>
      <c r="T403">
        <v>2.0</v>
      </c>
    </row>
    <row r="404">
      <c r="A404" t="s">
        <v>629</v>
      </c>
      <c r="G404" t="s">
        <v>630</v>
      </c>
      <c r="P404" t="s">
        <v>631</v>
      </c>
      <c r="S404" t="s">
        <v>632</v>
      </c>
      <c r="T404">
        <v>2.0</v>
      </c>
    </row>
    <row r="405">
      <c r="A405" t="s">
        <v>643</v>
      </c>
      <c r="G405" t="s">
        <v>644</v>
      </c>
      <c r="P405" t="s">
        <v>645</v>
      </c>
      <c r="S405" t="s">
        <v>646</v>
      </c>
      <c r="T405">
        <v>2.0</v>
      </c>
    </row>
    <row r="406">
      <c r="A406" t="s">
        <v>675</v>
      </c>
      <c r="G406" t="s">
        <v>676</v>
      </c>
      <c r="P406" t="s">
        <v>677</v>
      </c>
      <c r="S406" t="s">
        <v>678</v>
      </c>
      <c r="T406">
        <v>2.0</v>
      </c>
    </row>
    <row r="407">
      <c r="A407" t="s">
        <v>338</v>
      </c>
      <c r="G407" t="s">
        <v>340</v>
      </c>
      <c r="S407" t="s">
        <v>341</v>
      </c>
      <c r="T407">
        <v>1.0</v>
      </c>
    </row>
    <row r="408">
      <c r="A408" t="s">
        <v>638</v>
      </c>
      <c r="H408" t="s">
        <v>639</v>
      </c>
      <c r="I408" s="19" t="s">
        <v>209</v>
      </c>
      <c r="T408">
        <v>1.0</v>
      </c>
    </row>
    <row r="409">
      <c r="A409" t="s">
        <v>647</v>
      </c>
      <c r="P409" s="19" t="s">
        <v>538</v>
      </c>
      <c r="T409">
        <v>1.0</v>
      </c>
    </row>
    <row r="410">
      <c r="A410" t="s">
        <v>648</v>
      </c>
      <c r="J410" s="19" t="s">
        <v>77</v>
      </c>
      <c r="T410">
        <v>1.0</v>
      </c>
    </row>
    <row r="411">
      <c r="A411" t="s">
        <v>656</v>
      </c>
      <c r="H411" t="s">
        <v>657</v>
      </c>
      <c r="I411" s="19" t="s">
        <v>209</v>
      </c>
      <c r="T411">
        <v>1.0</v>
      </c>
    </row>
    <row r="412">
      <c r="A412" t="s">
        <v>679</v>
      </c>
      <c r="P412" s="19" t="s">
        <v>538</v>
      </c>
      <c r="T412">
        <v>1.0</v>
      </c>
    </row>
    <row r="413">
      <c r="A413" t="s">
        <v>680</v>
      </c>
      <c r="P413" s="19" t="s">
        <v>538</v>
      </c>
      <c r="T413">
        <v>1.0</v>
      </c>
    </row>
    <row r="414">
      <c r="A414" t="s">
        <v>681</v>
      </c>
      <c r="P414" s="19" t="s">
        <v>538</v>
      </c>
      <c r="T414">
        <v>1.0</v>
      </c>
    </row>
    <row r="415">
      <c r="A415" t="s">
        <v>691</v>
      </c>
      <c r="G415" t="s">
        <v>692</v>
      </c>
      <c r="S415" t="s">
        <v>693</v>
      </c>
      <c r="T415">
        <v>1.0</v>
      </c>
    </row>
    <row r="416">
      <c r="A416" t="s">
        <v>699</v>
      </c>
      <c r="P416" s="19" t="s">
        <v>538</v>
      </c>
      <c r="T416">
        <v>1.0</v>
      </c>
    </row>
    <row r="418">
      <c r="A418" s="33" t="s">
        <v>705</v>
      </c>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c r="A419" t="s">
        <v>350</v>
      </c>
      <c r="H419" t="s">
        <v>351</v>
      </c>
      <c r="J419" s="19" t="s">
        <v>256</v>
      </c>
      <c r="K419" s="19" t="s">
        <v>122</v>
      </c>
      <c r="N419" s="19" t="s">
        <v>164</v>
      </c>
      <c r="R419" t="s">
        <v>102</v>
      </c>
      <c r="T419">
        <v>4.0</v>
      </c>
    </row>
    <row r="420">
      <c r="A420" t="s">
        <v>424</v>
      </c>
      <c r="H420" t="s">
        <v>425</v>
      </c>
      <c r="J420" s="19" t="s">
        <v>256</v>
      </c>
      <c r="K420" s="19" t="s">
        <v>122</v>
      </c>
      <c r="P420" s="19" t="s">
        <v>268</v>
      </c>
      <c r="S420" t="s">
        <v>426</v>
      </c>
      <c r="T420">
        <v>4.0</v>
      </c>
    </row>
    <row r="421">
      <c r="A421" t="s">
        <v>499</v>
      </c>
      <c r="J421" s="19" t="s">
        <v>256</v>
      </c>
      <c r="N421" s="19" t="s">
        <v>164</v>
      </c>
      <c r="Q421" s="19" t="s">
        <v>221</v>
      </c>
      <c r="S421" t="s">
        <v>501</v>
      </c>
      <c r="T421">
        <v>4.0</v>
      </c>
    </row>
    <row r="422">
      <c r="A422" t="s">
        <v>551</v>
      </c>
      <c r="H422" t="s">
        <v>552</v>
      </c>
      <c r="J422" s="19" t="s">
        <v>256</v>
      </c>
      <c r="N422" s="19" t="s">
        <v>164</v>
      </c>
      <c r="P422" s="19" t="s">
        <v>268</v>
      </c>
      <c r="T422">
        <v>3.0</v>
      </c>
    </row>
    <row r="423">
      <c r="A423" t="s">
        <v>342</v>
      </c>
      <c r="G423" t="s">
        <v>343</v>
      </c>
      <c r="P423" s="19" t="s">
        <v>268</v>
      </c>
      <c r="S423" t="s">
        <v>344</v>
      </c>
      <c r="T423">
        <v>2.0</v>
      </c>
    </row>
    <row r="424">
      <c r="A424" t="s">
        <v>542</v>
      </c>
      <c r="H424" t="s">
        <v>543</v>
      </c>
      <c r="J424" t="s">
        <v>273</v>
      </c>
      <c r="P424" s="19" t="s">
        <v>268</v>
      </c>
      <c r="T424">
        <v>2.0</v>
      </c>
    </row>
    <row r="425">
      <c r="A425" t="s">
        <v>544</v>
      </c>
      <c r="H425" t="s">
        <v>545</v>
      </c>
      <c r="J425" s="19" t="s">
        <v>77</v>
      </c>
      <c r="P425" s="19" t="s">
        <v>268</v>
      </c>
      <c r="T425">
        <v>2.0</v>
      </c>
    </row>
    <row r="426">
      <c r="A426" t="s">
        <v>546</v>
      </c>
      <c r="H426" t="s">
        <v>541</v>
      </c>
      <c r="J426" s="19" t="s">
        <v>77</v>
      </c>
      <c r="P426" s="19" t="s">
        <v>268</v>
      </c>
      <c r="T426">
        <v>2.0</v>
      </c>
    </row>
    <row r="427">
      <c r="A427" t="s">
        <v>547</v>
      </c>
      <c r="H427" t="s">
        <v>541</v>
      </c>
      <c r="J427" s="19" t="s">
        <v>77</v>
      </c>
      <c r="P427" s="19" t="s">
        <v>268</v>
      </c>
      <c r="T427">
        <v>2.0</v>
      </c>
    </row>
    <row r="428">
      <c r="A428" t="s">
        <v>556</v>
      </c>
      <c r="J428" s="19" t="s">
        <v>77</v>
      </c>
      <c r="P428" s="19" t="s">
        <v>268</v>
      </c>
      <c r="T428">
        <v>2.0</v>
      </c>
    </row>
    <row r="429">
      <c r="A429" t="s">
        <v>566</v>
      </c>
      <c r="J429" s="19" t="s">
        <v>256</v>
      </c>
      <c r="N429" s="19" t="s">
        <v>164</v>
      </c>
      <c r="T429">
        <v>2.0</v>
      </c>
    </row>
    <row r="430">
      <c r="A430" t="s">
        <v>570</v>
      </c>
      <c r="J430" s="19" t="s">
        <v>256</v>
      </c>
      <c r="N430" s="19" t="s">
        <v>164</v>
      </c>
      <c r="T430">
        <v>2.0</v>
      </c>
    </row>
    <row r="431">
      <c r="A431" t="s">
        <v>601</v>
      </c>
      <c r="G431" t="s">
        <v>602</v>
      </c>
      <c r="P431" t="s">
        <v>603</v>
      </c>
      <c r="S431" t="s">
        <v>604</v>
      </c>
      <c r="T431">
        <v>2.0</v>
      </c>
    </row>
    <row r="432">
      <c r="A432" t="s">
        <v>608</v>
      </c>
      <c r="P432" s="19" t="s">
        <v>538</v>
      </c>
      <c r="S432" t="s">
        <v>609</v>
      </c>
      <c r="T432">
        <v>2.0</v>
      </c>
    </row>
    <row r="433">
      <c r="A433" t="s">
        <v>629</v>
      </c>
      <c r="G433" t="s">
        <v>630</v>
      </c>
      <c r="P433" t="s">
        <v>631</v>
      </c>
      <c r="S433" t="s">
        <v>632</v>
      </c>
      <c r="T433">
        <v>2.0</v>
      </c>
    </row>
    <row r="434">
      <c r="A434" t="s">
        <v>671</v>
      </c>
      <c r="G434" t="s">
        <v>672</v>
      </c>
      <c r="P434" t="s">
        <v>673</v>
      </c>
      <c r="S434" t="s">
        <v>674</v>
      </c>
      <c r="T434">
        <v>2.0</v>
      </c>
    </row>
    <row r="435">
      <c r="A435" t="s">
        <v>592</v>
      </c>
      <c r="G435" t="s">
        <v>593</v>
      </c>
      <c r="P435" t="s">
        <v>594</v>
      </c>
      <c r="S435" t="s">
        <v>596</v>
      </c>
      <c r="T435">
        <v>2.0</v>
      </c>
    </row>
    <row r="436">
      <c r="A436" t="s">
        <v>520</v>
      </c>
      <c r="H436" t="s">
        <v>521</v>
      </c>
      <c r="J436" s="19" t="s">
        <v>256</v>
      </c>
      <c r="N436" s="19" t="s">
        <v>164</v>
      </c>
      <c r="T436">
        <v>2.0</v>
      </c>
    </row>
    <row r="437">
      <c r="A437" t="s">
        <v>599</v>
      </c>
      <c r="H437" t="s">
        <v>600</v>
      </c>
      <c r="J437" s="19" t="s">
        <v>256</v>
      </c>
      <c r="N437" s="19" t="s">
        <v>164</v>
      </c>
      <c r="T437">
        <v>2.0</v>
      </c>
    </row>
    <row r="438">
      <c r="A438" t="s">
        <v>522</v>
      </c>
      <c r="J438" s="19" t="s">
        <v>256</v>
      </c>
      <c r="N438" s="19" t="s">
        <v>164</v>
      </c>
      <c r="T438">
        <v>2.0</v>
      </c>
    </row>
    <row r="439">
      <c r="A439" t="s">
        <v>338</v>
      </c>
      <c r="G439" t="s">
        <v>340</v>
      </c>
      <c r="S439" t="s">
        <v>341</v>
      </c>
      <c r="T439">
        <v>1.0</v>
      </c>
    </row>
    <row r="440">
      <c r="A440" t="s">
        <v>352</v>
      </c>
      <c r="R440" t="s">
        <v>102</v>
      </c>
      <c r="T440">
        <v>1.0</v>
      </c>
    </row>
    <row r="441">
      <c r="A441" t="s">
        <v>439</v>
      </c>
      <c r="N441" s="19" t="s">
        <v>164</v>
      </c>
      <c r="T441">
        <v>1.0</v>
      </c>
    </row>
    <row r="442">
      <c r="A442" t="s">
        <v>525</v>
      </c>
      <c r="I442" s="19" t="s">
        <v>209</v>
      </c>
      <c r="T442">
        <v>1.0</v>
      </c>
    </row>
    <row r="443">
      <c r="A443" t="s">
        <v>549</v>
      </c>
      <c r="P443" s="19" t="s">
        <v>268</v>
      </c>
      <c r="T443">
        <v>1.0</v>
      </c>
    </row>
    <row r="444">
      <c r="A444" t="s">
        <v>528</v>
      </c>
      <c r="J444" t="s">
        <v>273</v>
      </c>
      <c r="T444">
        <v>1.0</v>
      </c>
    </row>
    <row r="445">
      <c r="A445" t="s">
        <v>529</v>
      </c>
      <c r="J445" s="19" t="s">
        <v>256</v>
      </c>
      <c r="T445">
        <v>1.0</v>
      </c>
    </row>
    <row r="446">
      <c r="A446" t="s">
        <v>562</v>
      </c>
      <c r="H446" t="s">
        <v>563</v>
      </c>
      <c r="J446" t="s">
        <v>273</v>
      </c>
      <c r="T446">
        <v>1.0</v>
      </c>
    </row>
    <row r="447">
      <c r="A447" t="s">
        <v>564</v>
      </c>
      <c r="J447" s="19" t="s">
        <v>256</v>
      </c>
      <c r="T447">
        <v>1.0</v>
      </c>
    </row>
    <row r="448">
      <c r="A448" t="s">
        <v>565</v>
      </c>
      <c r="J448" s="19" t="s">
        <v>256</v>
      </c>
      <c r="T448">
        <v>1.0</v>
      </c>
    </row>
    <row r="449">
      <c r="A449" t="s">
        <v>530</v>
      </c>
      <c r="J449" s="19" t="s">
        <v>77</v>
      </c>
      <c r="T449">
        <v>1.0</v>
      </c>
    </row>
    <row r="450">
      <c r="A450" t="s">
        <v>574</v>
      </c>
      <c r="J450" s="19" t="s">
        <v>77</v>
      </c>
      <c r="T450">
        <v>1.0</v>
      </c>
    </row>
    <row r="451">
      <c r="A451" t="s">
        <v>90</v>
      </c>
      <c r="H451" t="s">
        <v>575</v>
      </c>
      <c r="J451" s="19" t="s">
        <v>77</v>
      </c>
      <c r="T451">
        <v>1.0</v>
      </c>
    </row>
    <row r="452">
      <c r="A452" t="s">
        <v>622</v>
      </c>
      <c r="H452" t="s">
        <v>623</v>
      </c>
      <c r="K452" s="19" t="s">
        <v>122</v>
      </c>
      <c r="T452">
        <v>1.0</v>
      </c>
    </row>
    <row r="453">
      <c r="A453" t="s">
        <v>618</v>
      </c>
      <c r="K453" s="19" t="s">
        <v>335</v>
      </c>
      <c r="T453">
        <v>1.0</v>
      </c>
    </row>
    <row r="455">
      <c r="A455" s="33" t="s">
        <v>706</v>
      </c>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c r="A456" t="s">
        <v>652</v>
      </c>
      <c r="I456" s="19" t="s">
        <v>209</v>
      </c>
      <c r="K456" s="19" t="s">
        <v>335</v>
      </c>
      <c r="L456" s="19" t="s">
        <v>193</v>
      </c>
      <c r="M456" s="19" t="s">
        <v>214</v>
      </c>
      <c r="N456" s="19" t="s">
        <v>164</v>
      </c>
      <c r="S456" t="s">
        <v>653</v>
      </c>
      <c r="T456">
        <v>6.0</v>
      </c>
    </row>
    <row r="457">
      <c r="A457" t="s">
        <v>22</v>
      </c>
      <c r="B457">
        <v>3.267668E8</v>
      </c>
      <c r="C457" s="19" t="s">
        <v>66</v>
      </c>
      <c r="F457">
        <v>2018.0</v>
      </c>
      <c r="G457" t="s">
        <v>74</v>
      </c>
      <c r="I457" s="19" t="s">
        <v>66</v>
      </c>
      <c r="J457" s="19" t="s">
        <v>77</v>
      </c>
      <c r="K457" s="19" t="s">
        <v>86</v>
      </c>
      <c r="O457" s="19" t="s">
        <v>96</v>
      </c>
      <c r="R457" t="s">
        <v>102</v>
      </c>
      <c r="T457">
        <v>5.0</v>
      </c>
    </row>
    <row r="458">
      <c r="A458" t="s">
        <v>129</v>
      </c>
      <c r="B458">
        <v>16.0</v>
      </c>
      <c r="C458" s="19" t="s">
        <v>66</v>
      </c>
      <c r="F458">
        <v>2018.0</v>
      </c>
      <c r="G458" t="s">
        <v>74</v>
      </c>
      <c r="I458" s="19" t="s">
        <v>66</v>
      </c>
      <c r="J458" s="19" t="s">
        <v>77</v>
      </c>
      <c r="K458" s="19" t="s">
        <v>122</v>
      </c>
      <c r="O458" s="19" t="s">
        <v>96</v>
      </c>
      <c r="R458" t="s">
        <v>102</v>
      </c>
      <c r="T458">
        <v>5.0</v>
      </c>
    </row>
    <row r="459">
      <c r="A459" t="s">
        <v>207</v>
      </c>
      <c r="B459">
        <v>79.7</v>
      </c>
      <c r="C459" s="19" t="s">
        <v>66</v>
      </c>
      <c r="F459">
        <v>2018.0</v>
      </c>
      <c r="G459" t="s">
        <v>208</v>
      </c>
      <c r="I459" s="19" t="s">
        <v>209</v>
      </c>
      <c r="K459" s="19" t="s">
        <v>122</v>
      </c>
      <c r="L459" s="19" t="s">
        <v>193</v>
      </c>
      <c r="O459" s="19" t="s">
        <v>96</v>
      </c>
      <c r="R459" t="s">
        <v>102</v>
      </c>
      <c r="T459">
        <v>5.0</v>
      </c>
    </row>
    <row r="460">
      <c r="A460" t="s">
        <v>649</v>
      </c>
      <c r="I460" s="19" t="s">
        <v>209</v>
      </c>
      <c r="J460" s="19" t="s">
        <v>77</v>
      </c>
      <c r="K460" s="19" t="s">
        <v>122</v>
      </c>
      <c r="L460" s="19" t="s">
        <v>193</v>
      </c>
      <c r="M460" s="19" t="s">
        <v>214</v>
      </c>
      <c r="T460">
        <v>5.0</v>
      </c>
    </row>
    <row r="461">
      <c r="A461" t="s">
        <v>650</v>
      </c>
      <c r="H461" t="s">
        <v>651</v>
      </c>
      <c r="I461" s="19" t="s">
        <v>209</v>
      </c>
      <c r="J461" s="19" t="s">
        <v>77</v>
      </c>
      <c r="K461" s="19" t="s">
        <v>122</v>
      </c>
      <c r="L461" s="19" t="s">
        <v>193</v>
      </c>
      <c r="T461">
        <v>4.0</v>
      </c>
    </row>
    <row r="462">
      <c r="A462" t="s">
        <v>654</v>
      </c>
      <c r="I462" s="19" t="s">
        <v>209</v>
      </c>
      <c r="K462" s="19" t="s">
        <v>335</v>
      </c>
      <c r="L462" s="19" t="s">
        <v>193</v>
      </c>
      <c r="M462" s="19" t="s">
        <v>214</v>
      </c>
      <c r="T462">
        <v>4.0</v>
      </c>
    </row>
    <row r="463">
      <c r="A463" t="s">
        <v>548</v>
      </c>
      <c r="H463" t="s">
        <v>550</v>
      </c>
      <c r="I463" s="19" t="s">
        <v>209</v>
      </c>
      <c r="J463" s="19" t="s">
        <v>256</v>
      </c>
      <c r="O463" s="19" t="s">
        <v>96</v>
      </c>
      <c r="S463" t="s">
        <v>553</v>
      </c>
      <c r="T463">
        <v>4.0</v>
      </c>
    </row>
    <row r="464">
      <c r="A464" t="s">
        <v>554</v>
      </c>
      <c r="H464" t="s">
        <v>555</v>
      </c>
      <c r="I464" s="19" t="s">
        <v>209</v>
      </c>
      <c r="J464" s="19" t="s">
        <v>256</v>
      </c>
      <c r="O464" s="19" t="s">
        <v>96</v>
      </c>
      <c r="S464" t="s">
        <v>553</v>
      </c>
      <c r="T464">
        <v>4.0</v>
      </c>
    </row>
    <row r="465">
      <c r="A465" t="s">
        <v>557</v>
      </c>
      <c r="J465" s="19" t="s">
        <v>77</v>
      </c>
      <c r="K465" s="19" t="s">
        <v>408</v>
      </c>
      <c r="L465" s="19" t="s">
        <v>193</v>
      </c>
      <c r="M465" s="19" t="s">
        <v>214</v>
      </c>
      <c r="T465">
        <v>4.0</v>
      </c>
    </row>
    <row r="466">
      <c r="A466" t="s">
        <v>558</v>
      </c>
      <c r="G466" t="s">
        <v>559</v>
      </c>
      <c r="J466" t="s">
        <v>273</v>
      </c>
      <c r="K466" s="19" t="s">
        <v>408</v>
      </c>
      <c r="P466" t="s">
        <v>560</v>
      </c>
      <c r="S466" t="s">
        <v>561</v>
      </c>
      <c r="T466">
        <v>4.0</v>
      </c>
    </row>
    <row r="467">
      <c r="A467" t="s">
        <v>191</v>
      </c>
      <c r="H467" t="s">
        <v>192</v>
      </c>
      <c r="L467" s="19" t="s">
        <v>193</v>
      </c>
      <c r="N467" s="19" t="s">
        <v>164</v>
      </c>
      <c r="R467" t="s">
        <v>102</v>
      </c>
      <c r="T467">
        <v>3.0</v>
      </c>
    </row>
    <row r="468">
      <c r="A468" t="s">
        <v>567</v>
      </c>
      <c r="J468" s="19" t="s">
        <v>77</v>
      </c>
      <c r="K468" s="19" t="s">
        <v>408</v>
      </c>
      <c r="M468" s="19" t="s">
        <v>214</v>
      </c>
      <c r="T468">
        <v>3.0</v>
      </c>
    </row>
    <row r="469">
      <c r="A469" t="s">
        <v>568</v>
      </c>
      <c r="G469" t="s">
        <v>569</v>
      </c>
      <c r="J469" t="s">
        <v>273</v>
      </c>
      <c r="K469" s="19" t="s">
        <v>408</v>
      </c>
      <c r="S469" t="s">
        <v>553</v>
      </c>
      <c r="T469">
        <v>3.0</v>
      </c>
    </row>
    <row r="470">
      <c r="A470" t="s">
        <v>571</v>
      </c>
      <c r="J470" t="s">
        <v>273</v>
      </c>
      <c r="K470" s="19" t="s">
        <v>408</v>
      </c>
      <c r="S470" t="s">
        <v>553</v>
      </c>
      <c r="T470">
        <v>3.0</v>
      </c>
    </row>
    <row r="471">
      <c r="A471" t="s">
        <v>572</v>
      </c>
      <c r="J471" t="s">
        <v>273</v>
      </c>
      <c r="K471" s="19" t="s">
        <v>408</v>
      </c>
      <c r="S471" t="s">
        <v>553</v>
      </c>
      <c r="T471">
        <v>3.0</v>
      </c>
    </row>
    <row r="472">
      <c r="A472" t="s">
        <v>173</v>
      </c>
      <c r="B472">
        <v>58270.0</v>
      </c>
      <c r="C472" s="19" t="s">
        <v>66</v>
      </c>
      <c r="F472">
        <v>2017.0</v>
      </c>
      <c r="G472" t="s">
        <v>74</v>
      </c>
      <c r="H472" t="s">
        <v>176</v>
      </c>
      <c r="I472" s="19" t="s">
        <v>66</v>
      </c>
      <c r="N472" s="19" t="s">
        <v>164</v>
      </c>
      <c r="T472">
        <v>2.0</v>
      </c>
    </row>
    <row r="473">
      <c r="A473" t="s">
        <v>186</v>
      </c>
      <c r="B473">
        <v>41.5</v>
      </c>
      <c r="C473" s="19" t="s">
        <v>66</v>
      </c>
      <c r="F473">
        <v>2016.0</v>
      </c>
      <c r="G473" t="s">
        <v>74</v>
      </c>
      <c r="I473" s="19" t="s">
        <v>66</v>
      </c>
      <c r="N473" s="19" t="s">
        <v>164</v>
      </c>
      <c r="T473">
        <v>2.0</v>
      </c>
    </row>
    <row r="474">
      <c r="A474" t="s">
        <v>342</v>
      </c>
      <c r="G474" t="s">
        <v>343</v>
      </c>
      <c r="P474" s="19" t="s">
        <v>268</v>
      </c>
      <c r="S474" t="s">
        <v>344</v>
      </c>
      <c r="T474">
        <v>2.0</v>
      </c>
    </row>
    <row r="475">
      <c r="A475" t="s">
        <v>601</v>
      </c>
      <c r="G475" t="s">
        <v>602</v>
      </c>
      <c r="P475" t="s">
        <v>603</v>
      </c>
      <c r="S475" t="s">
        <v>604</v>
      </c>
      <c r="T475">
        <v>2.0</v>
      </c>
    </row>
    <row r="476">
      <c r="A476" t="s">
        <v>578</v>
      </c>
      <c r="J476" s="19" t="s">
        <v>77</v>
      </c>
      <c r="K476" s="19" t="s">
        <v>86</v>
      </c>
      <c r="T476">
        <v>2.0</v>
      </c>
    </row>
    <row r="477">
      <c r="A477" t="s">
        <v>613</v>
      </c>
      <c r="H477" t="s">
        <v>614</v>
      </c>
      <c r="J477" s="19" t="s">
        <v>77</v>
      </c>
      <c r="K477" s="19" t="s">
        <v>86</v>
      </c>
      <c r="T477">
        <v>2.0</v>
      </c>
    </row>
    <row r="478">
      <c r="A478" t="s">
        <v>615</v>
      </c>
      <c r="H478" t="s">
        <v>614</v>
      </c>
      <c r="J478" s="19" t="s">
        <v>77</v>
      </c>
      <c r="K478" s="19" t="s">
        <v>86</v>
      </c>
      <c r="T478">
        <v>2.0</v>
      </c>
    </row>
    <row r="479">
      <c r="A479" t="s">
        <v>629</v>
      </c>
      <c r="G479" t="s">
        <v>630</v>
      </c>
      <c r="P479" t="s">
        <v>631</v>
      </c>
      <c r="S479" t="s">
        <v>632</v>
      </c>
      <c r="T479">
        <v>2.0</v>
      </c>
    </row>
    <row r="480">
      <c r="A480" t="s">
        <v>658</v>
      </c>
      <c r="G480" t="s">
        <v>659</v>
      </c>
      <c r="P480" t="s">
        <v>660</v>
      </c>
      <c r="S480" t="s">
        <v>661</v>
      </c>
      <c r="T480">
        <v>2.0</v>
      </c>
    </row>
    <row r="481">
      <c r="A481" t="s">
        <v>662</v>
      </c>
      <c r="G481" t="s">
        <v>659</v>
      </c>
      <c r="P481" t="s">
        <v>663</v>
      </c>
      <c r="S481" t="s">
        <v>664</v>
      </c>
      <c r="T481">
        <v>2.0</v>
      </c>
    </row>
    <row r="482">
      <c r="A482" t="s">
        <v>665</v>
      </c>
      <c r="G482" t="s">
        <v>659</v>
      </c>
      <c r="P482" t="s">
        <v>666</v>
      </c>
      <c r="S482" t="s">
        <v>661</v>
      </c>
      <c r="T482">
        <v>2.0</v>
      </c>
    </row>
    <row r="483">
      <c r="A483" t="s">
        <v>667</v>
      </c>
      <c r="G483" t="s">
        <v>659</v>
      </c>
      <c r="P483" t="s">
        <v>668</v>
      </c>
      <c r="S483" t="s">
        <v>664</v>
      </c>
      <c r="T483">
        <v>2.0</v>
      </c>
    </row>
    <row r="484">
      <c r="A484" t="s">
        <v>669</v>
      </c>
      <c r="G484" t="s">
        <v>659</v>
      </c>
      <c r="P484" t="s">
        <v>670</v>
      </c>
      <c r="S484" t="s">
        <v>670</v>
      </c>
      <c r="T484">
        <v>2.0</v>
      </c>
    </row>
    <row r="485">
      <c r="A485" t="s">
        <v>671</v>
      </c>
      <c r="G485" t="s">
        <v>672</v>
      </c>
      <c r="P485" t="s">
        <v>673</v>
      </c>
      <c r="S485" t="s">
        <v>674</v>
      </c>
      <c r="T485">
        <v>2.0</v>
      </c>
    </row>
    <row r="486">
      <c r="A486" t="s">
        <v>589</v>
      </c>
      <c r="G486" t="s">
        <v>590</v>
      </c>
      <c r="P486" t="s">
        <v>591</v>
      </c>
      <c r="S486" t="s">
        <v>553</v>
      </c>
      <c r="T486">
        <v>2.0</v>
      </c>
    </row>
    <row r="487">
      <c r="A487" t="s">
        <v>675</v>
      </c>
      <c r="G487" t="s">
        <v>676</v>
      </c>
      <c r="P487" t="s">
        <v>677</v>
      </c>
      <c r="S487" t="s">
        <v>678</v>
      </c>
      <c r="T487">
        <v>2.0</v>
      </c>
    </row>
    <row r="488">
      <c r="A488" t="s">
        <v>592</v>
      </c>
      <c r="G488" t="s">
        <v>593</v>
      </c>
      <c r="P488" t="s">
        <v>594</v>
      </c>
      <c r="S488" t="s">
        <v>596</v>
      </c>
      <c r="T488">
        <v>2.0</v>
      </c>
    </row>
    <row r="489">
      <c r="A489" t="s">
        <v>520</v>
      </c>
      <c r="H489" t="s">
        <v>521</v>
      </c>
      <c r="J489" s="19" t="s">
        <v>256</v>
      </c>
      <c r="N489" s="19" t="s">
        <v>164</v>
      </c>
      <c r="T489">
        <v>2.0</v>
      </c>
    </row>
    <row r="490">
      <c r="A490" t="s">
        <v>684</v>
      </c>
      <c r="H490" t="s">
        <v>685</v>
      </c>
      <c r="J490" s="19" t="s">
        <v>77</v>
      </c>
      <c r="L490" s="19" t="s">
        <v>193</v>
      </c>
      <c r="T490">
        <v>2.0</v>
      </c>
    </row>
    <row r="491">
      <c r="A491" t="s">
        <v>686</v>
      </c>
      <c r="K491" s="19" t="s">
        <v>122</v>
      </c>
      <c r="L491" s="19" t="s">
        <v>193</v>
      </c>
      <c r="T491">
        <v>2.0</v>
      </c>
    </row>
    <row r="492">
      <c r="A492" t="s">
        <v>687</v>
      </c>
      <c r="K492" s="19" t="s">
        <v>122</v>
      </c>
      <c r="L492" s="19" t="s">
        <v>193</v>
      </c>
      <c r="T492">
        <v>2.0</v>
      </c>
    </row>
    <row r="493">
      <c r="A493" t="s">
        <v>688</v>
      </c>
      <c r="K493" s="19" t="s">
        <v>122</v>
      </c>
      <c r="L493" s="19" t="s">
        <v>193</v>
      </c>
      <c r="T493">
        <v>2.0</v>
      </c>
    </row>
    <row r="494">
      <c r="A494" t="s">
        <v>180</v>
      </c>
      <c r="B494">
        <v>2.3</v>
      </c>
      <c r="C494" s="19" t="s">
        <v>66</v>
      </c>
      <c r="F494">
        <v>2017.0</v>
      </c>
      <c r="G494" t="s">
        <v>74</v>
      </c>
      <c r="I494" s="19" t="s">
        <v>66</v>
      </c>
      <c r="T494">
        <v>1.0</v>
      </c>
    </row>
    <row r="495">
      <c r="A495" t="s">
        <v>190</v>
      </c>
      <c r="O495" s="19" t="s">
        <v>96</v>
      </c>
      <c r="T495">
        <v>1.0</v>
      </c>
    </row>
    <row r="496">
      <c r="A496" t="s">
        <v>198</v>
      </c>
      <c r="N496" s="19" t="s">
        <v>164</v>
      </c>
      <c r="T496">
        <v>1.0</v>
      </c>
    </row>
    <row r="497">
      <c r="A497" t="s">
        <v>539</v>
      </c>
      <c r="I497" s="19" t="s">
        <v>209</v>
      </c>
      <c r="T497">
        <v>1.0</v>
      </c>
    </row>
    <row r="498">
      <c r="A498" t="s">
        <v>90</v>
      </c>
      <c r="H498" t="s">
        <v>575</v>
      </c>
      <c r="J498" s="19" t="s">
        <v>77</v>
      </c>
      <c r="T498">
        <v>1.0</v>
      </c>
    </row>
    <row r="499">
      <c r="A499" t="s">
        <v>612</v>
      </c>
      <c r="R499" t="s">
        <v>102</v>
      </c>
      <c r="T499">
        <v>1.0</v>
      </c>
    </row>
    <row r="500">
      <c r="A500" t="s">
        <v>79</v>
      </c>
      <c r="K500" s="19" t="s">
        <v>122</v>
      </c>
      <c r="T500">
        <v>1.0</v>
      </c>
    </row>
    <row r="501">
      <c r="A501" t="s">
        <v>476</v>
      </c>
      <c r="K501" s="19" t="s">
        <v>122</v>
      </c>
      <c r="T501">
        <v>1.0</v>
      </c>
    </row>
    <row r="502">
      <c r="A502" t="s">
        <v>617</v>
      </c>
      <c r="L502" s="19" t="s">
        <v>193</v>
      </c>
      <c r="T502">
        <v>1.0</v>
      </c>
    </row>
    <row r="503">
      <c r="A503" t="s">
        <v>655</v>
      </c>
      <c r="I503" s="19" t="s">
        <v>209</v>
      </c>
      <c r="T503">
        <v>1.0</v>
      </c>
    </row>
    <row r="504">
      <c r="A504" t="s">
        <v>656</v>
      </c>
      <c r="H504" t="s">
        <v>657</v>
      </c>
      <c r="I504" s="19" t="s">
        <v>209</v>
      </c>
      <c r="T504">
        <v>1.0</v>
      </c>
    </row>
    <row r="505">
      <c r="A505" t="s">
        <v>477</v>
      </c>
      <c r="J505" s="19" t="s">
        <v>77</v>
      </c>
      <c r="T505">
        <v>1.0</v>
      </c>
    </row>
    <row r="506">
      <c r="A506" t="s">
        <v>679</v>
      </c>
      <c r="P506" s="19" t="s">
        <v>538</v>
      </c>
      <c r="T506">
        <v>1.0</v>
      </c>
    </row>
    <row r="507">
      <c r="A507" t="s">
        <v>680</v>
      </c>
      <c r="P507" s="19" t="s">
        <v>538</v>
      </c>
      <c r="T507">
        <v>1.0</v>
      </c>
    </row>
    <row r="508">
      <c r="A508" t="s">
        <v>681</v>
      </c>
      <c r="P508" s="19" t="s">
        <v>538</v>
      </c>
      <c r="T508">
        <v>1.0</v>
      </c>
    </row>
    <row r="509">
      <c r="A509" t="s">
        <v>682</v>
      </c>
      <c r="P509" s="19" t="s">
        <v>268</v>
      </c>
      <c r="T509">
        <v>1.0</v>
      </c>
    </row>
    <row r="510">
      <c r="A510" t="s">
        <v>619</v>
      </c>
      <c r="J510" s="19" t="s">
        <v>256</v>
      </c>
      <c r="T510">
        <v>1.0</v>
      </c>
    </row>
    <row r="511">
      <c r="A511" t="s">
        <v>620</v>
      </c>
      <c r="J511" s="19" t="s">
        <v>256</v>
      </c>
      <c r="T511">
        <v>1.0</v>
      </c>
    </row>
    <row r="512">
      <c r="A512" t="s">
        <v>621</v>
      </c>
      <c r="J512" s="19" t="s">
        <v>256</v>
      </c>
      <c r="T512">
        <v>1.0</v>
      </c>
    </row>
    <row r="514">
      <c r="A514" s="33" t="s">
        <v>707</v>
      </c>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t="s">
        <v>453</v>
      </c>
      <c r="G515" t="s">
        <v>254</v>
      </c>
      <c r="H515" t="s">
        <v>454</v>
      </c>
      <c r="I515" s="19" t="s">
        <v>209</v>
      </c>
      <c r="J515" s="19" t="s">
        <v>256</v>
      </c>
      <c r="L515" s="19" t="s">
        <v>193</v>
      </c>
      <c r="N515" s="19" t="s">
        <v>164</v>
      </c>
      <c r="P515" t="s">
        <v>283</v>
      </c>
      <c r="Q515" t="s">
        <v>261</v>
      </c>
      <c r="R515" t="s">
        <v>102</v>
      </c>
      <c r="S515" t="s">
        <v>284</v>
      </c>
      <c r="T515">
        <v>8.0</v>
      </c>
    </row>
    <row r="516">
      <c r="A516" t="s">
        <v>536</v>
      </c>
      <c r="H516" t="s">
        <v>537</v>
      </c>
      <c r="J516" s="19" t="s">
        <v>256</v>
      </c>
      <c r="K516" s="19" t="s">
        <v>122</v>
      </c>
      <c r="L516" s="19" t="s">
        <v>193</v>
      </c>
      <c r="N516" s="19" t="s">
        <v>164</v>
      </c>
      <c r="P516" s="19" t="s">
        <v>538</v>
      </c>
      <c r="Q516" s="19" t="s">
        <v>221</v>
      </c>
      <c r="R516" t="s">
        <v>102</v>
      </c>
      <c r="S516" t="s">
        <v>524</v>
      </c>
      <c r="T516">
        <v>8.0</v>
      </c>
    </row>
    <row r="517">
      <c r="A517" t="s">
        <v>381</v>
      </c>
      <c r="G517" t="s">
        <v>382</v>
      </c>
      <c r="I517" s="19" t="s">
        <v>209</v>
      </c>
      <c r="K517" s="19" t="s">
        <v>335</v>
      </c>
      <c r="L517" s="19" t="s">
        <v>193</v>
      </c>
      <c r="N517" s="19" t="s">
        <v>164</v>
      </c>
      <c r="P517" t="s">
        <v>372</v>
      </c>
      <c r="R517" t="s">
        <v>102</v>
      </c>
      <c r="S517" t="s">
        <v>257</v>
      </c>
      <c r="T517">
        <v>7.0</v>
      </c>
    </row>
    <row r="518">
      <c r="A518" t="s">
        <v>483</v>
      </c>
      <c r="H518" t="s">
        <v>484</v>
      </c>
      <c r="I518" s="19" t="s">
        <v>209</v>
      </c>
      <c r="K518" s="19" t="s">
        <v>122</v>
      </c>
      <c r="L518" s="19" t="s">
        <v>193</v>
      </c>
      <c r="N518" s="19" t="s">
        <v>164</v>
      </c>
      <c r="O518" s="19" t="s">
        <v>96</v>
      </c>
      <c r="Q518" s="19" t="s">
        <v>221</v>
      </c>
      <c r="T518">
        <v>6.0</v>
      </c>
    </row>
    <row r="519">
      <c r="A519" t="s">
        <v>486</v>
      </c>
      <c r="H519" t="s">
        <v>487</v>
      </c>
      <c r="J519" s="19" t="s">
        <v>256</v>
      </c>
      <c r="K519" s="19" t="s">
        <v>122</v>
      </c>
      <c r="N519" s="19" t="s">
        <v>164</v>
      </c>
      <c r="P519" s="19" t="s">
        <v>268</v>
      </c>
      <c r="Q519" s="19" t="s">
        <v>221</v>
      </c>
      <c r="R519" t="s">
        <v>102</v>
      </c>
      <c r="T519">
        <v>6.0</v>
      </c>
    </row>
    <row r="520">
      <c r="A520" t="s">
        <v>625</v>
      </c>
      <c r="H520" t="s">
        <v>626</v>
      </c>
      <c r="I520" s="19" t="s">
        <v>209</v>
      </c>
      <c r="J520" s="19" t="s">
        <v>77</v>
      </c>
      <c r="K520" s="19" t="s">
        <v>122</v>
      </c>
      <c r="M520" s="19" t="s">
        <v>214</v>
      </c>
      <c r="R520" t="s">
        <v>102</v>
      </c>
      <c r="S520" t="s">
        <v>517</v>
      </c>
      <c r="T520">
        <v>6.0</v>
      </c>
    </row>
    <row r="521">
      <c r="A521" t="s">
        <v>494</v>
      </c>
      <c r="H521" t="s">
        <v>495</v>
      </c>
      <c r="J521" s="19" t="s">
        <v>256</v>
      </c>
      <c r="K521" s="19" t="s">
        <v>86</v>
      </c>
      <c r="N521" s="19" t="s">
        <v>164</v>
      </c>
      <c r="P521" s="19" t="s">
        <v>268</v>
      </c>
      <c r="Q521" s="19" t="s">
        <v>221</v>
      </c>
      <c r="T521">
        <v>5.0</v>
      </c>
    </row>
    <row r="522">
      <c r="A522" t="s">
        <v>584</v>
      </c>
      <c r="H522" t="s">
        <v>585</v>
      </c>
      <c r="I522" s="19" t="s">
        <v>209</v>
      </c>
      <c r="J522" s="19" t="s">
        <v>77</v>
      </c>
      <c r="K522" s="19" t="s">
        <v>122</v>
      </c>
      <c r="L522" s="19" t="s">
        <v>193</v>
      </c>
      <c r="O522" s="19" t="s">
        <v>96</v>
      </c>
      <c r="T522">
        <v>5.0</v>
      </c>
    </row>
    <row r="523">
      <c r="A523" t="s">
        <v>323</v>
      </c>
      <c r="I523" s="19" t="s">
        <v>209</v>
      </c>
      <c r="M523" s="19" t="s">
        <v>214</v>
      </c>
      <c r="O523" s="19" t="s">
        <v>96</v>
      </c>
      <c r="Q523" s="19" t="s">
        <v>221</v>
      </c>
      <c r="T523">
        <v>4.0</v>
      </c>
    </row>
    <row r="524">
      <c r="A524" t="s">
        <v>499</v>
      </c>
      <c r="J524" s="19" t="s">
        <v>256</v>
      </c>
      <c r="N524" s="19" t="s">
        <v>164</v>
      </c>
      <c r="Q524" s="19" t="s">
        <v>221</v>
      </c>
      <c r="S524" t="s">
        <v>501</v>
      </c>
      <c r="T524">
        <v>4.0</v>
      </c>
    </row>
    <row r="525">
      <c r="A525" t="s">
        <v>627</v>
      </c>
      <c r="H525" t="s">
        <v>628</v>
      </c>
      <c r="I525" s="19" t="s">
        <v>209</v>
      </c>
      <c r="K525" s="19" t="s">
        <v>122</v>
      </c>
      <c r="R525" t="s">
        <v>102</v>
      </c>
      <c r="S525" t="s">
        <v>517</v>
      </c>
      <c r="T525">
        <v>4.0</v>
      </c>
    </row>
    <row r="526">
      <c r="A526" t="s">
        <v>307</v>
      </c>
      <c r="I526" s="19" t="s">
        <v>209</v>
      </c>
      <c r="K526" s="19" t="s">
        <v>122</v>
      </c>
      <c r="Q526" s="19" t="s">
        <v>221</v>
      </c>
      <c r="T526">
        <v>3.0</v>
      </c>
    </row>
    <row r="527">
      <c r="A527" t="s">
        <v>326</v>
      </c>
      <c r="H527" t="s">
        <v>327</v>
      </c>
      <c r="I527" s="19" t="s">
        <v>209</v>
      </c>
      <c r="O527" s="19" t="s">
        <v>96</v>
      </c>
      <c r="Q527" s="19" t="s">
        <v>221</v>
      </c>
      <c r="T527">
        <v>3.0</v>
      </c>
    </row>
    <row r="528">
      <c r="A528" t="s">
        <v>330</v>
      </c>
      <c r="H528" t="s">
        <v>331</v>
      </c>
      <c r="I528" s="19" t="s">
        <v>209</v>
      </c>
      <c r="M528" s="19" t="s">
        <v>214</v>
      </c>
      <c r="O528" s="19" t="s">
        <v>96</v>
      </c>
      <c r="T528">
        <v>3.0</v>
      </c>
    </row>
    <row r="529">
      <c r="A529" t="s">
        <v>580</v>
      </c>
      <c r="I529" s="19" t="s">
        <v>209</v>
      </c>
      <c r="P529" t="s">
        <v>516</v>
      </c>
      <c r="S529" t="s">
        <v>517</v>
      </c>
      <c r="T529">
        <v>3.0</v>
      </c>
    </row>
    <row r="530">
      <c r="A530" t="s">
        <v>582</v>
      </c>
      <c r="I530" s="19" t="s">
        <v>209</v>
      </c>
      <c r="P530" t="s">
        <v>516</v>
      </c>
      <c r="S530" t="s">
        <v>517</v>
      </c>
      <c r="T530">
        <v>3.0</v>
      </c>
    </row>
    <row r="531">
      <c r="A531" t="s">
        <v>515</v>
      </c>
      <c r="H531" t="s">
        <v>484</v>
      </c>
      <c r="I531" s="19" t="s">
        <v>209</v>
      </c>
      <c r="P531" t="s">
        <v>516</v>
      </c>
      <c r="S531" t="s">
        <v>517</v>
      </c>
      <c r="T531">
        <v>3.0</v>
      </c>
    </row>
    <row r="532">
      <c r="A532" t="s">
        <v>595</v>
      </c>
      <c r="G532" t="s">
        <v>597</v>
      </c>
      <c r="P532" t="s">
        <v>598</v>
      </c>
      <c r="R532" t="s">
        <v>102</v>
      </c>
      <c r="S532" t="s">
        <v>517</v>
      </c>
      <c r="T532">
        <v>3.0</v>
      </c>
    </row>
    <row r="533">
      <c r="A533" t="s">
        <v>518</v>
      </c>
      <c r="J533" s="19" t="s">
        <v>77</v>
      </c>
      <c r="K533" s="19" t="s">
        <v>122</v>
      </c>
      <c r="L533" s="19" t="s">
        <v>193</v>
      </c>
      <c r="T533">
        <v>3.0</v>
      </c>
    </row>
    <row r="534">
      <c r="A534" t="s">
        <v>342</v>
      </c>
      <c r="G534" t="s">
        <v>343</v>
      </c>
      <c r="P534" s="19" t="s">
        <v>268</v>
      </c>
      <c r="S534" t="s">
        <v>344</v>
      </c>
      <c r="T534">
        <v>2.0</v>
      </c>
    </row>
    <row r="535">
      <c r="A535" t="s">
        <v>336</v>
      </c>
      <c r="I535" s="19" t="s">
        <v>209</v>
      </c>
      <c r="O535" s="19" t="s">
        <v>96</v>
      </c>
      <c r="T535">
        <v>2.0</v>
      </c>
    </row>
    <row r="536">
      <c r="A536" t="s">
        <v>485</v>
      </c>
      <c r="I536" s="19" t="s">
        <v>209</v>
      </c>
      <c r="N536" s="19" t="s">
        <v>164</v>
      </c>
      <c r="T536">
        <v>2.0</v>
      </c>
    </row>
    <row r="537">
      <c r="A537" t="s">
        <v>519</v>
      </c>
      <c r="J537" s="19" t="s">
        <v>256</v>
      </c>
      <c r="K537" s="19" t="s">
        <v>122</v>
      </c>
      <c r="T537">
        <v>2.0</v>
      </c>
    </row>
    <row r="538">
      <c r="A538" t="s">
        <v>523</v>
      </c>
      <c r="I538" s="19" t="s">
        <v>209</v>
      </c>
      <c r="S538" t="s">
        <v>524</v>
      </c>
      <c r="T538">
        <v>2.0</v>
      </c>
    </row>
    <row r="539">
      <c r="A539" t="s">
        <v>540</v>
      </c>
      <c r="H539" t="s">
        <v>541</v>
      </c>
      <c r="J539" s="19" t="s">
        <v>77</v>
      </c>
      <c r="P539" s="19" t="s">
        <v>538</v>
      </c>
      <c r="T539">
        <v>2.0</v>
      </c>
    </row>
    <row r="540">
      <c r="A540" t="s">
        <v>578</v>
      </c>
      <c r="J540" s="19" t="s">
        <v>77</v>
      </c>
      <c r="K540" s="19" t="s">
        <v>86</v>
      </c>
      <c r="T540">
        <v>2.0</v>
      </c>
    </row>
    <row r="541">
      <c r="A541" t="s">
        <v>613</v>
      </c>
      <c r="H541" t="s">
        <v>614</v>
      </c>
      <c r="J541" s="19" t="s">
        <v>77</v>
      </c>
      <c r="K541" s="19" t="s">
        <v>86</v>
      </c>
      <c r="T541">
        <v>2.0</v>
      </c>
    </row>
    <row r="542">
      <c r="A542" t="s">
        <v>615</v>
      </c>
      <c r="H542" t="s">
        <v>614</v>
      </c>
      <c r="J542" s="19" t="s">
        <v>77</v>
      </c>
      <c r="K542" s="19" t="s">
        <v>86</v>
      </c>
      <c r="T542">
        <v>2.0</v>
      </c>
    </row>
    <row r="543">
      <c r="A543" t="s">
        <v>579</v>
      </c>
      <c r="J543" s="19" t="s">
        <v>77</v>
      </c>
      <c r="K543" s="19" t="s">
        <v>86</v>
      </c>
      <c r="T543">
        <v>2.0</v>
      </c>
    </row>
    <row r="544">
      <c r="A544" t="s">
        <v>581</v>
      </c>
      <c r="J544" s="19" t="s">
        <v>77</v>
      </c>
      <c r="K544" s="19" t="s">
        <v>86</v>
      </c>
      <c r="T544">
        <v>2.0</v>
      </c>
    </row>
    <row r="545">
      <c r="A545" t="s">
        <v>583</v>
      </c>
      <c r="J545" s="19" t="s">
        <v>77</v>
      </c>
      <c r="K545" s="19" t="s">
        <v>86</v>
      </c>
      <c r="T545">
        <v>2.0</v>
      </c>
    </row>
    <row r="546">
      <c r="A546" t="s">
        <v>586</v>
      </c>
      <c r="J546" s="19" t="s">
        <v>77</v>
      </c>
      <c r="K546" s="19" t="s">
        <v>86</v>
      </c>
      <c r="T546">
        <v>2.0</v>
      </c>
    </row>
    <row r="547">
      <c r="A547" t="s">
        <v>587</v>
      </c>
      <c r="K547" s="19" t="s">
        <v>122</v>
      </c>
      <c r="N547" s="19" t="s">
        <v>164</v>
      </c>
      <c r="T547">
        <v>2.0</v>
      </c>
    </row>
    <row r="548">
      <c r="A548" t="s">
        <v>388</v>
      </c>
      <c r="K548" s="19" t="s">
        <v>122</v>
      </c>
      <c r="N548" s="19" t="s">
        <v>164</v>
      </c>
      <c r="T548">
        <v>2.0</v>
      </c>
    </row>
    <row r="549">
      <c r="A549" t="s">
        <v>588</v>
      </c>
      <c r="K549" s="19" t="s">
        <v>122</v>
      </c>
      <c r="N549" s="19" t="s">
        <v>164</v>
      </c>
      <c r="T549">
        <v>2.0</v>
      </c>
    </row>
    <row r="550">
      <c r="A550" t="s">
        <v>643</v>
      </c>
      <c r="G550" t="s">
        <v>644</v>
      </c>
      <c r="P550" t="s">
        <v>645</v>
      </c>
      <c r="S550" t="s">
        <v>646</v>
      </c>
      <c r="T550">
        <v>2.0</v>
      </c>
    </row>
    <row r="551">
      <c r="A551" t="s">
        <v>147</v>
      </c>
      <c r="B551">
        <v>82.0</v>
      </c>
      <c r="C551" s="19" t="s">
        <v>66</v>
      </c>
      <c r="F551">
        <v>2018.0</v>
      </c>
      <c r="G551" t="s">
        <v>74</v>
      </c>
      <c r="I551" s="19" t="s">
        <v>66</v>
      </c>
      <c r="T551">
        <v>1.0</v>
      </c>
    </row>
    <row r="552">
      <c r="A552" t="s">
        <v>361</v>
      </c>
      <c r="I552" s="19" t="s">
        <v>209</v>
      </c>
      <c r="T552">
        <v>1.0</v>
      </c>
    </row>
    <row r="553">
      <c r="A553" t="s">
        <v>489</v>
      </c>
      <c r="I553" s="19" t="s">
        <v>209</v>
      </c>
      <c r="T553">
        <v>1.0</v>
      </c>
    </row>
    <row r="554">
      <c r="A554" t="s">
        <v>437</v>
      </c>
      <c r="I554" s="19" t="s">
        <v>209</v>
      </c>
      <c r="T554">
        <v>1.0</v>
      </c>
    </row>
    <row r="555">
      <c r="A555" t="s">
        <v>498</v>
      </c>
      <c r="I555" s="19" t="s">
        <v>209</v>
      </c>
      <c r="T555">
        <v>1.0</v>
      </c>
    </row>
    <row r="556">
      <c r="A556" t="s">
        <v>502</v>
      </c>
      <c r="I556" s="19" t="s">
        <v>209</v>
      </c>
      <c r="T556">
        <v>1.0</v>
      </c>
    </row>
    <row r="557">
      <c r="A557" t="s">
        <v>503</v>
      </c>
      <c r="I557" s="19" t="s">
        <v>209</v>
      </c>
      <c r="T557">
        <v>1.0</v>
      </c>
    </row>
    <row r="558">
      <c r="A558" t="s">
        <v>505</v>
      </c>
      <c r="I558" s="19" t="s">
        <v>209</v>
      </c>
      <c r="T558">
        <v>1.0</v>
      </c>
    </row>
    <row r="559">
      <c r="A559" t="s">
        <v>506</v>
      </c>
      <c r="I559" s="19" t="s">
        <v>209</v>
      </c>
      <c r="T559">
        <v>1.0</v>
      </c>
    </row>
    <row r="560">
      <c r="A560" t="s">
        <v>507</v>
      </c>
      <c r="I560" s="19" t="s">
        <v>209</v>
      </c>
      <c r="T560">
        <v>1.0</v>
      </c>
    </row>
    <row r="561">
      <c r="A561" t="s">
        <v>364</v>
      </c>
      <c r="I561" s="19" t="s">
        <v>209</v>
      </c>
      <c r="T561">
        <v>1.0</v>
      </c>
    </row>
    <row r="562">
      <c r="A562" t="s">
        <v>539</v>
      </c>
      <c r="I562" s="19" t="s">
        <v>209</v>
      </c>
      <c r="T562">
        <v>1.0</v>
      </c>
    </row>
    <row r="563">
      <c r="A563" t="s">
        <v>530</v>
      </c>
      <c r="J563" s="19" t="s">
        <v>77</v>
      </c>
      <c r="T563">
        <v>1.0</v>
      </c>
    </row>
    <row r="564">
      <c r="A564" t="s">
        <v>574</v>
      </c>
      <c r="J564" s="19" t="s">
        <v>77</v>
      </c>
      <c r="T564">
        <v>1.0</v>
      </c>
    </row>
    <row r="565">
      <c r="A565" t="s">
        <v>90</v>
      </c>
      <c r="H565" t="s">
        <v>575</v>
      </c>
      <c r="J565" s="19" t="s">
        <v>77</v>
      </c>
      <c r="T565">
        <v>1.0</v>
      </c>
    </row>
    <row r="566">
      <c r="A566" t="s">
        <v>576</v>
      </c>
      <c r="I566" s="19" t="s">
        <v>209</v>
      </c>
      <c r="T566">
        <v>1.0</v>
      </c>
    </row>
    <row r="567">
      <c r="A567" t="s">
        <v>610</v>
      </c>
      <c r="G567" t="s">
        <v>254</v>
      </c>
      <c r="S567" t="s">
        <v>611</v>
      </c>
      <c r="T567">
        <v>1.0</v>
      </c>
    </row>
    <row r="568">
      <c r="A568" t="s">
        <v>79</v>
      </c>
      <c r="K568" s="19" t="s">
        <v>122</v>
      </c>
      <c r="T568">
        <v>1.0</v>
      </c>
    </row>
    <row r="569">
      <c r="A569" t="s">
        <v>476</v>
      </c>
      <c r="K569" s="19" t="s">
        <v>122</v>
      </c>
      <c r="T569">
        <v>1.0</v>
      </c>
    </row>
    <row r="570">
      <c r="A570" t="s">
        <v>622</v>
      </c>
      <c r="H570" t="s">
        <v>623</v>
      </c>
      <c r="K570" s="19" t="s">
        <v>122</v>
      </c>
      <c r="T570">
        <v>1.0</v>
      </c>
    </row>
    <row r="571">
      <c r="A571" t="s">
        <v>616</v>
      </c>
      <c r="K571" s="19" t="s">
        <v>335</v>
      </c>
      <c r="T571">
        <v>1.0</v>
      </c>
    </row>
    <row r="572">
      <c r="A572" t="s">
        <v>617</v>
      </c>
      <c r="L572" s="19" t="s">
        <v>193</v>
      </c>
      <c r="T572">
        <v>1.0</v>
      </c>
    </row>
    <row r="573">
      <c r="A573" t="s">
        <v>106</v>
      </c>
      <c r="H573" t="s">
        <v>637</v>
      </c>
      <c r="K573" s="19" t="s">
        <v>122</v>
      </c>
      <c r="T573">
        <v>1.0</v>
      </c>
    </row>
    <row r="574">
      <c r="A574" t="s">
        <v>648</v>
      </c>
      <c r="J574" s="19" t="s">
        <v>77</v>
      </c>
      <c r="T574">
        <v>1.0</v>
      </c>
    </row>
    <row r="575">
      <c r="A575" t="s">
        <v>700</v>
      </c>
      <c r="P575" s="19" t="s">
        <v>268</v>
      </c>
      <c r="T575">
        <v>1.0</v>
      </c>
    </row>
    <row r="577">
      <c r="A577" s="33" t="s">
        <v>708</v>
      </c>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c r="A578" t="s">
        <v>625</v>
      </c>
      <c r="H578" t="s">
        <v>626</v>
      </c>
      <c r="I578" s="19" t="s">
        <v>209</v>
      </c>
      <c r="J578" s="19" t="s">
        <v>77</v>
      </c>
      <c r="K578" s="19" t="s">
        <v>122</v>
      </c>
      <c r="M578" s="19" t="s">
        <v>214</v>
      </c>
      <c r="R578" t="s">
        <v>102</v>
      </c>
      <c r="S578" t="s">
        <v>517</v>
      </c>
      <c r="T578">
        <v>6.0</v>
      </c>
    </row>
    <row r="579">
      <c r="A579" t="s">
        <v>271</v>
      </c>
      <c r="H579" t="s">
        <v>272</v>
      </c>
      <c r="J579" t="s">
        <v>273</v>
      </c>
      <c r="K579" s="19" t="s">
        <v>122</v>
      </c>
      <c r="P579" s="19" t="s">
        <v>268</v>
      </c>
      <c r="Q579" s="19" t="s">
        <v>242</v>
      </c>
      <c r="R579" t="s">
        <v>102</v>
      </c>
      <c r="T579">
        <v>5.0</v>
      </c>
    </row>
    <row r="580">
      <c r="A580" t="s">
        <v>584</v>
      </c>
      <c r="H580" t="s">
        <v>585</v>
      </c>
      <c r="I580" s="19" t="s">
        <v>209</v>
      </c>
      <c r="J580" s="19" t="s">
        <v>77</v>
      </c>
      <c r="K580" s="19" t="s">
        <v>122</v>
      </c>
      <c r="L580" s="19" t="s">
        <v>193</v>
      </c>
      <c r="O580" s="19" t="s">
        <v>96</v>
      </c>
      <c r="T580">
        <v>5.0</v>
      </c>
    </row>
    <row r="581">
      <c r="A581" t="s">
        <v>627</v>
      </c>
      <c r="H581" t="s">
        <v>628</v>
      </c>
      <c r="I581" s="19" t="s">
        <v>209</v>
      </c>
      <c r="K581" s="19" t="s">
        <v>122</v>
      </c>
      <c r="R581" t="s">
        <v>102</v>
      </c>
      <c r="S581" t="s">
        <v>517</v>
      </c>
      <c r="T581">
        <v>4.0</v>
      </c>
    </row>
    <row r="582">
      <c r="A582" t="s">
        <v>551</v>
      </c>
      <c r="H582" t="s">
        <v>552</v>
      </c>
      <c r="J582" s="19" t="s">
        <v>256</v>
      </c>
      <c r="N582" s="19" t="s">
        <v>164</v>
      </c>
      <c r="P582" s="19" t="s">
        <v>268</v>
      </c>
      <c r="T582">
        <v>3.0</v>
      </c>
    </row>
    <row r="583">
      <c r="A583" t="s">
        <v>573</v>
      </c>
      <c r="J583" s="19" t="s">
        <v>77</v>
      </c>
      <c r="K583" s="19" t="s">
        <v>86</v>
      </c>
      <c r="L583" s="19" t="s">
        <v>193</v>
      </c>
      <c r="T583">
        <v>3.0</v>
      </c>
    </row>
    <row r="584">
      <c r="A584" t="s">
        <v>577</v>
      </c>
      <c r="I584" s="19" t="s">
        <v>209</v>
      </c>
      <c r="K584" s="19" t="s">
        <v>86</v>
      </c>
      <c r="O584" s="19" t="s">
        <v>96</v>
      </c>
      <c r="T584">
        <v>3.0</v>
      </c>
    </row>
    <row r="585">
      <c r="A585" t="s">
        <v>580</v>
      </c>
      <c r="I585" s="19" t="s">
        <v>209</v>
      </c>
      <c r="P585" t="s">
        <v>516</v>
      </c>
      <c r="S585" t="s">
        <v>517</v>
      </c>
      <c r="T585">
        <v>3.0</v>
      </c>
    </row>
    <row r="586">
      <c r="A586" t="s">
        <v>582</v>
      </c>
      <c r="I586" s="19" t="s">
        <v>209</v>
      </c>
      <c r="P586" t="s">
        <v>516</v>
      </c>
      <c r="S586" t="s">
        <v>517</v>
      </c>
      <c r="T586">
        <v>3.0</v>
      </c>
    </row>
    <row r="587">
      <c r="A587" t="s">
        <v>515</v>
      </c>
      <c r="H587" t="s">
        <v>484</v>
      </c>
      <c r="I587" s="19" t="s">
        <v>209</v>
      </c>
      <c r="P587" t="s">
        <v>516</v>
      </c>
      <c r="S587" t="s">
        <v>517</v>
      </c>
      <c r="T587">
        <v>3.0</v>
      </c>
    </row>
    <row r="588">
      <c r="A588" t="s">
        <v>595</v>
      </c>
      <c r="G588" t="s">
        <v>597</v>
      </c>
      <c r="P588" t="s">
        <v>598</v>
      </c>
      <c r="R588" t="s">
        <v>102</v>
      </c>
      <c r="S588" t="s">
        <v>517</v>
      </c>
      <c r="T588">
        <v>3.0</v>
      </c>
    </row>
    <row r="589">
      <c r="A589" t="s">
        <v>518</v>
      </c>
      <c r="J589" s="19" t="s">
        <v>77</v>
      </c>
      <c r="K589" s="19" t="s">
        <v>122</v>
      </c>
      <c r="L589" s="19" t="s">
        <v>193</v>
      </c>
      <c r="T589">
        <v>3.0</v>
      </c>
    </row>
    <row r="590">
      <c r="A590" t="s">
        <v>640</v>
      </c>
      <c r="H590" t="s">
        <v>641</v>
      </c>
      <c r="I590" s="19" t="s">
        <v>209</v>
      </c>
      <c r="O590" s="19" t="s">
        <v>96</v>
      </c>
      <c r="R590" t="s">
        <v>102</v>
      </c>
      <c r="T590">
        <v>3.0</v>
      </c>
    </row>
    <row r="591">
      <c r="A591" t="s">
        <v>642</v>
      </c>
      <c r="H591" t="s">
        <v>641</v>
      </c>
      <c r="I591" s="19" t="s">
        <v>209</v>
      </c>
      <c r="O591" s="19" t="s">
        <v>96</v>
      </c>
      <c r="R591" t="s">
        <v>102</v>
      </c>
      <c r="T591">
        <v>3.0</v>
      </c>
    </row>
    <row r="592">
      <c r="A592" t="s">
        <v>540</v>
      </c>
      <c r="H592" t="s">
        <v>541</v>
      </c>
      <c r="J592" s="19" t="s">
        <v>77</v>
      </c>
      <c r="P592" s="19" t="s">
        <v>538</v>
      </c>
      <c r="T592">
        <v>2.0</v>
      </c>
    </row>
    <row r="593">
      <c r="A593" t="s">
        <v>546</v>
      </c>
      <c r="H593" t="s">
        <v>541</v>
      </c>
      <c r="J593" s="19" t="s">
        <v>77</v>
      </c>
      <c r="P593" s="19" t="s">
        <v>268</v>
      </c>
      <c r="T593">
        <v>2.0</v>
      </c>
    </row>
    <row r="594">
      <c r="A594" t="s">
        <v>547</v>
      </c>
      <c r="H594" t="s">
        <v>541</v>
      </c>
      <c r="J594" s="19" t="s">
        <v>77</v>
      </c>
      <c r="P594" s="19" t="s">
        <v>268</v>
      </c>
      <c r="T594">
        <v>2.0</v>
      </c>
    </row>
    <row r="595">
      <c r="A595" t="s">
        <v>566</v>
      </c>
      <c r="J595" s="19" t="s">
        <v>256</v>
      </c>
      <c r="N595" s="19" t="s">
        <v>164</v>
      </c>
      <c r="T595">
        <v>2.0</v>
      </c>
    </row>
    <row r="596">
      <c r="A596" t="s">
        <v>570</v>
      </c>
      <c r="J596" s="19" t="s">
        <v>256</v>
      </c>
      <c r="N596" s="19" t="s">
        <v>164</v>
      </c>
      <c r="T596">
        <v>2.0</v>
      </c>
    </row>
    <row r="597">
      <c r="A597" t="s">
        <v>578</v>
      </c>
      <c r="J597" s="19" t="s">
        <v>77</v>
      </c>
      <c r="K597" s="19" t="s">
        <v>86</v>
      </c>
      <c r="T597">
        <v>2.0</v>
      </c>
    </row>
    <row r="598">
      <c r="A598" t="s">
        <v>613</v>
      </c>
      <c r="H598" t="s">
        <v>614</v>
      </c>
      <c r="J598" s="19" t="s">
        <v>77</v>
      </c>
      <c r="K598" s="19" t="s">
        <v>86</v>
      </c>
      <c r="T598">
        <v>2.0</v>
      </c>
    </row>
    <row r="599">
      <c r="A599" t="s">
        <v>615</v>
      </c>
      <c r="H599" t="s">
        <v>614</v>
      </c>
      <c r="J599" s="19" t="s">
        <v>77</v>
      </c>
      <c r="K599" s="19" t="s">
        <v>86</v>
      </c>
      <c r="T599">
        <v>2.0</v>
      </c>
    </row>
    <row r="600">
      <c r="A600" t="s">
        <v>675</v>
      </c>
      <c r="G600" t="s">
        <v>676</v>
      </c>
      <c r="P600" t="s">
        <v>677</v>
      </c>
      <c r="S600" t="s">
        <v>678</v>
      </c>
      <c r="T600">
        <v>2.0</v>
      </c>
    </row>
    <row r="601">
      <c r="A601" t="s">
        <v>592</v>
      </c>
      <c r="G601" t="s">
        <v>593</v>
      </c>
      <c r="P601" t="s">
        <v>594</v>
      </c>
      <c r="S601" t="s">
        <v>596</v>
      </c>
      <c r="T601">
        <v>2.0</v>
      </c>
    </row>
    <row r="602">
      <c r="A602" t="s">
        <v>520</v>
      </c>
      <c r="H602" t="s">
        <v>521</v>
      </c>
      <c r="J602" s="19" t="s">
        <v>256</v>
      </c>
      <c r="N602" s="19" t="s">
        <v>164</v>
      </c>
      <c r="T602">
        <v>2.0</v>
      </c>
    </row>
    <row r="603">
      <c r="A603" t="s">
        <v>599</v>
      </c>
      <c r="H603" t="s">
        <v>600</v>
      </c>
      <c r="J603" s="19" t="s">
        <v>256</v>
      </c>
      <c r="N603" s="19" t="s">
        <v>164</v>
      </c>
      <c r="T603">
        <v>2.0</v>
      </c>
    </row>
    <row r="604">
      <c r="A604" t="s">
        <v>522</v>
      </c>
      <c r="J604" s="19" t="s">
        <v>256</v>
      </c>
      <c r="N604" s="19" t="s">
        <v>164</v>
      </c>
      <c r="T604">
        <v>2.0</v>
      </c>
    </row>
    <row r="605">
      <c r="A605" t="s">
        <v>684</v>
      </c>
      <c r="H605" t="s">
        <v>685</v>
      </c>
      <c r="J605" s="19" t="s">
        <v>77</v>
      </c>
      <c r="L605" s="19" t="s">
        <v>193</v>
      </c>
      <c r="T605">
        <v>2.0</v>
      </c>
    </row>
    <row r="606">
      <c r="A606" t="s">
        <v>338</v>
      </c>
      <c r="G606" t="s">
        <v>340</v>
      </c>
      <c r="S606" t="s">
        <v>341</v>
      </c>
      <c r="T606">
        <v>1.0</v>
      </c>
    </row>
    <row r="607">
      <c r="A607" t="s">
        <v>345</v>
      </c>
      <c r="S607" t="s">
        <v>346</v>
      </c>
      <c r="T607">
        <v>1.0</v>
      </c>
    </row>
    <row r="608">
      <c r="A608" t="s">
        <v>525</v>
      </c>
      <c r="I608" s="19" t="s">
        <v>209</v>
      </c>
      <c r="T608">
        <v>1.0</v>
      </c>
    </row>
    <row r="609">
      <c r="A609" t="s">
        <v>364</v>
      </c>
      <c r="I609" s="19" t="s">
        <v>209</v>
      </c>
      <c r="T609">
        <v>1.0</v>
      </c>
    </row>
    <row r="610">
      <c r="A610" t="s">
        <v>366</v>
      </c>
      <c r="I610" s="19" t="s">
        <v>209</v>
      </c>
      <c r="T610">
        <v>1.0</v>
      </c>
    </row>
    <row r="611">
      <c r="A611" t="s">
        <v>368</v>
      </c>
      <c r="I611" s="19" t="s">
        <v>209</v>
      </c>
      <c r="T611">
        <v>1.0</v>
      </c>
    </row>
    <row r="612">
      <c r="A612" t="s">
        <v>528</v>
      </c>
      <c r="J612" t="s">
        <v>273</v>
      </c>
      <c r="T612">
        <v>1.0</v>
      </c>
    </row>
    <row r="613" ht="16.5" customHeight="1">
      <c r="A613" t="s">
        <v>529</v>
      </c>
      <c r="J613" s="19" t="s">
        <v>256</v>
      </c>
      <c r="T613">
        <v>1.0</v>
      </c>
    </row>
    <row r="614">
      <c r="A614" t="s">
        <v>562</v>
      </c>
      <c r="H614" t="s">
        <v>563</v>
      </c>
      <c r="J614" t="s">
        <v>273</v>
      </c>
      <c r="T614">
        <v>1.0</v>
      </c>
    </row>
    <row r="615">
      <c r="A615" t="s">
        <v>564</v>
      </c>
      <c r="J615" s="19" t="s">
        <v>256</v>
      </c>
      <c r="T615">
        <v>1.0</v>
      </c>
    </row>
    <row r="616">
      <c r="A616" t="s">
        <v>574</v>
      </c>
      <c r="J616" s="19" t="s">
        <v>77</v>
      </c>
      <c r="T616">
        <v>1.0</v>
      </c>
    </row>
    <row r="617">
      <c r="A617" t="s">
        <v>532</v>
      </c>
      <c r="J617" s="19" t="s">
        <v>77</v>
      </c>
      <c r="T617">
        <v>1.0</v>
      </c>
    </row>
    <row r="618">
      <c r="A618" t="s">
        <v>90</v>
      </c>
      <c r="H618" t="s">
        <v>575</v>
      </c>
      <c r="J618" s="19" t="s">
        <v>77</v>
      </c>
      <c r="T618">
        <v>1.0</v>
      </c>
    </row>
    <row r="619">
      <c r="A619" t="s">
        <v>475</v>
      </c>
      <c r="L619" s="19" t="s">
        <v>193</v>
      </c>
      <c r="T619">
        <v>1.0</v>
      </c>
    </row>
    <row r="620">
      <c r="A620" t="s">
        <v>576</v>
      </c>
      <c r="I620" s="19" t="s">
        <v>209</v>
      </c>
      <c r="T620">
        <v>1.0</v>
      </c>
    </row>
    <row r="621">
      <c r="A621" t="s">
        <v>79</v>
      </c>
      <c r="K621" s="19" t="s">
        <v>122</v>
      </c>
      <c r="T621">
        <v>1.0</v>
      </c>
    </row>
    <row r="622">
      <c r="A622" t="s">
        <v>616</v>
      </c>
      <c r="K622" s="19" t="s">
        <v>335</v>
      </c>
      <c r="T622">
        <v>1.0</v>
      </c>
    </row>
    <row r="623">
      <c r="A623" t="s">
        <v>617</v>
      </c>
      <c r="L623" s="19" t="s">
        <v>193</v>
      </c>
      <c r="T623">
        <v>1.0</v>
      </c>
    </row>
    <row r="625">
      <c r="A625" s="33" t="s">
        <v>709</v>
      </c>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c r="A626" t="s">
        <v>400</v>
      </c>
      <c r="I626" s="19" t="s">
        <v>209</v>
      </c>
      <c r="J626" t="s">
        <v>273</v>
      </c>
      <c r="K626" s="19" t="s">
        <v>122</v>
      </c>
      <c r="L626" s="19" t="s">
        <v>193</v>
      </c>
      <c r="N626" s="19" t="s">
        <v>164</v>
      </c>
      <c r="O626" s="19" t="s">
        <v>96</v>
      </c>
      <c r="Q626" t="s">
        <v>261</v>
      </c>
      <c r="R626" t="s">
        <v>102</v>
      </c>
      <c r="S626" t="s">
        <v>296</v>
      </c>
      <c r="T626">
        <v>9.0</v>
      </c>
    </row>
    <row r="627">
      <c r="A627" t="s">
        <v>281</v>
      </c>
      <c r="G627" t="s">
        <v>254</v>
      </c>
      <c r="H627" t="s">
        <v>282</v>
      </c>
      <c r="J627" s="19" t="s">
        <v>256</v>
      </c>
      <c r="K627" s="19" t="s">
        <v>122</v>
      </c>
      <c r="L627" s="19" t="s">
        <v>193</v>
      </c>
      <c r="N627" s="19" t="s">
        <v>164</v>
      </c>
      <c r="P627" t="s">
        <v>283</v>
      </c>
      <c r="Q627" t="s">
        <v>261</v>
      </c>
      <c r="R627" t="s">
        <v>102</v>
      </c>
      <c r="S627" t="s">
        <v>284</v>
      </c>
      <c r="T627">
        <v>8.0</v>
      </c>
    </row>
    <row r="628">
      <c r="A628" t="s">
        <v>409</v>
      </c>
      <c r="I628" s="19" t="s">
        <v>209</v>
      </c>
      <c r="K628" s="19" t="s">
        <v>86</v>
      </c>
      <c r="L628" s="19" t="s">
        <v>193</v>
      </c>
      <c r="N628" s="19" t="s">
        <v>164</v>
      </c>
      <c r="O628" s="19" t="s">
        <v>96</v>
      </c>
      <c r="Q628" t="s">
        <v>261</v>
      </c>
      <c r="R628" t="s">
        <v>102</v>
      </c>
      <c r="S628" t="s">
        <v>296</v>
      </c>
      <c r="T628">
        <v>8.0</v>
      </c>
    </row>
    <row r="629">
      <c r="A629" t="s">
        <v>536</v>
      </c>
      <c r="H629" t="s">
        <v>537</v>
      </c>
      <c r="J629" s="19" t="s">
        <v>256</v>
      </c>
      <c r="K629" s="19" t="s">
        <v>122</v>
      </c>
      <c r="L629" s="19" t="s">
        <v>193</v>
      </c>
      <c r="N629" s="19" t="s">
        <v>164</v>
      </c>
      <c r="P629" s="19" t="s">
        <v>538</v>
      </c>
      <c r="Q629" s="19" t="s">
        <v>221</v>
      </c>
      <c r="R629" t="s">
        <v>102</v>
      </c>
      <c r="S629" t="s">
        <v>524</v>
      </c>
      <c r="T629">
        <v>8.0</v>
      </c>
    </row>
    <row r="630">
      <c r="A630" t="s">
        <v>381</v>
      </c>
      <c r="G630" t="s">
        <v>382</v>
      </c>
      <c r="I630" s="19" t="s">
        <v>209</v>
      </c>
      <c r="K630" s="19" t="s">
        <v>335</v>
      </c>
      <c r="L630" s="19" t="s">
        <v>193</v>
      </c>
      <c r="N630" s="19" t="s">
        <v>164</v>
      </c>
      <c r="P630" t="s">
        <v>372</v>
      </c>
      <c r="R630" t="s">
        <v>102</v>
      </c>
      <c r="S630" t="s">
        <v>257</v>
      </c>
      <c r="T630">
        <v>7.0</v>
      </c>
    </row>
    <row r="631">
      <c r="A631" t="s">
        <v>406</v>
      </c>
      <c r="H631" t="s">
        <v>407</v>
      </c>
      <c r="I631" s="19" t="s">
        <v>209</v>
      </c>
      <c r="K631" s="19" t="s">
        <v>408</v>
      </c>
      <c r="N631" s="19" t="s">
        <v>164</v>
      </c>
      <c r="Q631" s="19" t="s">
        <v>221</v>
      </c>
      <c r="R631" t="s">
        <v>102</v>
      </c>
      <c r="S631" t="s">
        <v>248</v>
      </c>
      <c r="T631">
        <v>6.0</v>
      </c>
    </row>
    <row r="632">
      <c r="A632" t="s">
        <v>483</v>
      </c>
      <c r="H632" t="s">
        <v>484</v>
      </c>
      <c r="I632" s="19" t="s">
        <v>209</v>
      </c>
      <c r="K632" s="19" t="s">
        <v>122</v>
      </c>
      <c r="L632" s="19" t="s">
        <v>193</v>
      </c>
      <c r="N632" s="19" t="s">
        <v>164</v>
      </c>
      <c r="O632" s="19" t="s">
        <v>96</v>
      </c>
      <c r="Q632" s="19" t="s">
        <v>221</v>
      </c>
      <c r="T632">
        <v>6.0</v>
      </c>
    </row>
    <row r="633">
      <c r="A633" t="s">
        <v>265</v>
      </c>
      <c r="H633" t="s">
        <v>266</v>
      </c>
      <c r="I633" s="19" t="s">
        <v>209</v>
      </c>
      <c r="K633" s="19" t="s">
        <v>122</v>
      </c>
      <c r="N633" s="19" t="s">
        <v>164</v>
      </c>
      <c r="Q633" s="19" t="s">
        <v>221</v>
      </c>
      <c r="R633" t="s">
        <v>102</v>
      </c>
      <c r="T633">
        <v>5.0</v>
      </c>
    </row>
    <row r="634">
      <c r="A634" t="s">
        <v>386</v>
      </c>
      <c r="H634" t="s">
        <v>387</v>
      </c>
      <c r="K634" s="19" t="s">
        <v>122</v>
      </c>
      <c r="L634" s="19" t="s">
        <v>193</v>
      </c>
      <c r="M634" s="19" t="s">
        <v>214</v>
      </c>
      <c r="N634" s="19" t="s">
        <v>164</v>
      </c>
      <c r="O634" s="19" t="s">
        <v>96</v>
      </c>
      <c r="T634">
        <v>5.0</v>
      </c>
    </row>
    <row r="635">
      <c r="A635" t="s">
        <v>246</v>
      </c>
      <c r="H635" t="s">
        <v>247</v>
      </c>
      <c r="I635" s="19" t="s">
        <v>209</v>
      </c>
      <c r="K635" s="19" t="s">
        <v>122</v>
      </c>
      <c r="Q635" s="19" t="s">
        <v>221</v>
      </c>
      <c r="S635" t="s">
        <v>248</v>
      </c>
      <c r="T635">
        <v>4.0</v>
      </c>
    </row>
    <row r="636">
      <c r="A636" t="s">
        <v>323</v>
      </c>
      <c r="I636" s="19" t="s">
        <v>209</v>
      </c>
      <c r="M636" s="19" t="s">
        <v>214</v>
      </c>
      <c r="O636" s="19" t="s">
        <v>96</v>
      </c>
      <c r="Q636" s="19" t="s">
        <v>221</v>
      </c>
      <c r="T636">
        <v>4.0</v>
      </c>
    </row>
    <row r="637">
      <c r="A637" t="s">
        <v>499</v>
      </c>
      <c r="J637" s="19" t="s">
        <v>256</v>
      </c>
      <c r="N637" s="19" t="s">
        <v>164</v>
      </c>
      <c r="Q637" s="19" t="s">
        <v>221</v>
      </c>
      <c r="S637" t="s">
        <v>501</v>
      </c>
      <c r="T637">
        <v>4.0</v>
      </c>
    </row>
    <row r="638">
      <c r="A638" t="s">
        <v>627</v>
      </c>
      <c r="H638" t="s">
        <v>628</v>
      </c>
      <c r="I638" s="19" t="s">
        <v>209</v>
      </c>
      <c r="K638" s="19" t="s">
        <v>122</v>
      </c>
      <c r="R638" t="s">
        <v>102</v>
      </c>
      <c r="S638" t="s">
        <v>517</v>
      </c>
      <c r="T638">
        <v>4.0</v>
      </c>
    </row>
    <row r="639">
      <c r="A639" t="s">
        <v>548</v>
      </c>
      <c r="H639" t="s">
        <v>550</v>
      </c>
      <c r="I639" s="19" t="s">
        <v>209</v>
      </c>
      <c r="J639" s="19" t="s">
        <v>256</v>
      </c>
      <c r="O639" s="19" t="s">
        <v>96</v>
      </c>
      <c r="S639" t="s">
        <v>553</v>
      </c>
      <c r="T639">
        <v>4.0</v>
      </c>
    </row>
    <row r="640">
      <c r="A640" t="s">
        <v>554</v>
      </c>
      <c r="H640" t="s">
        <v>555</v>
      </c>
      <c r="I640" s="19" t="s">
        <v>209</v>
      </c>
      <c r="J640" s="19" t="s">
        <v>256</v>
      </c>
      <c r="O640" s="19" t="s">
        <v>96</v>
      </c>
      <c r="S640" t="s">
        <v>553</v>
      </c>
      <c r="T640">
        <v>4.0</v>
      </c>
    </row>
    <row r="641">
      <c r="A641" t="s">
        <v>558</v>
      </c>
      <c r="G641" t="s">
        <v>559</v>
      </c>
      <c r="J641" t="s">
        <v>273</v>
      </c>
      <c r="K641" s="19" t="s">
        <v>408</v>
      </c>
      <c r="P641" t="s">
        <v>560</v>
      </c>
      <c r="S641" t="s">
        <v>561</v>
      </c>
      <c r="T641">
        <v>4.0</v>
      </c>
    </row>
    <row r="642">
      <c r="A642" t="s">
        <v>191</v>
      </c>
      <c r="H642" t="s">
        <v>192</v>
      </c>
      <c r="L642" s="19" t="s">
        <v>193</v>
      </c>
      <c r="N642" s="19" t="s">
        <v>164</v>
      </c>
      <c r="R642" t="s">
        <v>102</v>
      </c>
      <c r="T642">
        <v>3.0</v>
      </c>
    </row>
    <row r="643">
      <c r="A643" t="s">
        <v>249</v>
      </c>
      <c r="H643" t="s">
        <v>250</v>
      </c>
      <c r="I643" s="19" t="s">
        <v>209</v>
      </c>
      <c r="K643" s="19" t="s">
        <v>122</v>
      </c>
      <c r="S643" t="s">
        <v>248</v>
      </c>
      <c r="T643">
        <v>3.0</v>
      </c>
    </row>
    <row r="644">
      <c r="A644" t="s">
        <v>398</v>
      </c>
      <c r="H644" t="s">
        <v>399</v>
      </c>
      <c r="I644" s="19" t="s">
        <v>209</v>
      </c>
      <c r="R644" t="s">
        <v>102</v>
      </c>
      <c r="S644" t="s">
        <v>248</v>
      </c>
      <c r="T644">
        <v>3.0</v>
      </c>
    </row>
    <row r="645">
      <c r="A645" t="s">
        <v>434</v>
      </c>
      <c r="G645" t="s">
        <v>126</v>
      </c>
      <c r="N645" s="19" t="s">
        <v>164</v>
      </c>
      <c r="Q645" s="19" t="s">
        <v>221</v>
      </c>
      <c r="S645" t="s">
        <v>418</v>
      </c>
      <c r="T645">
        <v>3.0</v>
      </c>
    </row>
    <row r="646">
      <c r="A646" t="s">
        <v>451</v>
      </c>
      <c r="H646" t="s">
        <v>452</v>
      </c>
      <c r="I646" s="19" t="s">
        <v>209</v>
      </c>
      <c r="Q646" s="19" t="s">
        <v>221</v>
      </c>
      <c r="R646" t="s">
        <v>102</v>
      </c>
      <c r="T646">
        <v>3.0</v>
      </c>
    </row>
    <row r="647">
      <c r="A647" t="s">
        <v>326</v>
      </c>
      <c r="H647" t="s">
        <v>327</v>
      </c>
      <c r="I647" s="19" t="s">
        <v>209</v>
      </c>
      <c r="O647" s="19" t="s">
        <v>96</v>
      </c>
      <c r="Q647" s="19" t="s">
        <v>221</v>
      </c>
      <c r="T647">
        <v>3.0</v>
      </c>
    </row>
    <row r="648">
      <c r="A648" t="s">
        <v>595</v>
      </c>
      <c r="G648" t="s">
        <v>597</v>
      </c>
      <c r="P648" t="s">
        <v>598</v>
      </c>
      <c r="R648" t="s">
        <v>102</v>
      </c>
      <c r="S648" t="s">
        <v>517</v>
      </c>
      <c r="T648">
        <v>3.0</v>
      </c>
    </row>
    <row r="649">
      <c r="A649" t="s">
        <v>571</v>
      </c>
      <c r="J649" t="s">
        <v>273</v>
      </c>
      <c r="K649" s="19" t="s">
        <v>408</v>
      </c>
      <c r="S649" t="s">
        <v>553</v>
      </c>
      <c r="T649">
        <v>3.0</v>
      </c>
    </row>
    <row r="650">
      <c r="A650" t="s">
        <v>572</v>
      </c>
      <c r="J650" t="s">
        <v>273</v>
      </c>
      <c r="K650" s="19" t="s">
        <v>408</v>
      </c>
      <c r="S650" t="s">
        <v>553</v>
      </c>
      <c r="T650">
        <v>3.0</v>
      </c>
    </row>
    <row r="651">
      <c r="A651" t="s">
        <v>196</v>
      </c>
      <c r="H651" t="s">
        <v>197</v>
      </c>
      <c r="K651" s="19" t="s">
        <v>122</v>
      </c>
      <c r="R651" t="s">
        <v>102</v>
      </c>
      <c r="T651">
        <v>2.0</v>
      </c>
    </row>
    <row r="652">
      <c r="A652" t="s">
        <v>263</v>
      </c>
      <c r="H652" t="s">
        <v>264</v>
      </c>
      <c r="I652" s="19" t="s">
        <v>209</v>
      </c>
      <c r="K652" s="19" t="s">
        <v>122</v>
      </c>
      <c r="T652">
        <v>2.0</v>
      </c>
    </row>
    <row r="653">
      <c r="A653" t="s">
        <v>297</v>
      </c>
      <c r="K653" s="19" t="s">
        <v>122</v>
      </c>
      <c r="Q653" s="19" t="s">
        <v>242</v>
      </c>
      <c r="T653">
        <v>2.0</v>
      </c>
    </row>
    <row r="654">
      <c r="A654" t="s">
        <v>342</v>
      </c>
      <c r="G654" t="s">
        <v>343</v>
      </c>
      <c r="P654" s="19" t="s">
        <v>268</v>
      </c>
      <c r="S654" t="s">
        <v>344</v>
      </c>
      <c r="T654">
        <v>2.0</v>
      </c>
    </row>
    <row r="655">
      <c r="A655" t="s">
        <v>373</v>
      </c>
      <c r="H655" t="s">
        <v>375</v>
      </c>
      <c r="I655" s="19" t="s">
        <v>209</v>
      </c>
      <c r="O655" s="19" t="s">
        <v>96</v>
      </c>
      <c r="T655">
        <v>2.0</v>
      </c>
    </row>
    <row r="656">
      <c r="A656" t="s">
        <v>378</v>
      </c>
      <c r="H656" t="s">
        <v>379</v>
      </c>
      <c r="I656" s="19" t="s">
        <v>209</v>
      </c>
      <c r="O656" s="19" t="s">
        <v>96</v>
      </c>
      <c r="T656">
        <v>2.0</v>
      </c>
    </row>
    <row r="657">
      <c r="A657" t="s">
        <v>401</v>
      </c>
      <c r="H657" t="s">
        <v>402</v>
      </c>
      <c r="I657" s="19" t="s">
        <v>209</v>
      </c>
      <c r="R657" t="s">
        <v>102</v>
      </c>
      <c r="T657">
        <v>2.0</v>
      </c>
    </row>
    <row r="658">
      <c r="A658" t="s">
        <v>523</v>
      </c>
      <c r="I658" s="19" t="s">
        <v>209</v>
      </c>
      <c r="S658" t="s">
        <v>524</v>
      </c>
      <c r="T658">
        <v>2.0</v>
      </c>
    </row>
    <row r="659">
      <c r="A659" t="s">
        <v>540</v>
      </c>
      <c r="H659" t="s">
        <v>541</v>
      </c>
      <c r="J659" s="19" t="s">
        <v>77</v>
      </c>
      <c r="P659" s="19" t="s">
        <v>538</v>
      </c>
      <c r="T659">
        <v>2.0</v>
      </c>
    </row>
    <row r="660">
      <c r="A660" t="s">
        <v>601</v>
      </c>
      <c r="G660" t="s">
        <v>602</v>
      </c>
      <c r="P660" t="s">
        <v>603</v>
      </c>
      <c r="S660" t="s">
        <v>604</v>
      </c>
      <c r="T660">
        <v>2.0</v>
      </c>
    </row>
    <row r="661">
      <c r="A661" t="s">
        <v>605</v>
      </c>
      <c r="G661" t="s">
        <v>606</v>
      </c>
      <c r="P661" t="s">
        <v>607</v>
      </c>
      <c r="S661" t="s">
        <v>607</v>
      </c>
      <c r="T661">
        <v>2.0</v>
      </c>
    </row>
    <row r="662">
      <c r="A662" t="s">
        <v>608</v>
      </c>
      <c r="P662" s="19" t="s">
        <v>538</v>
      </c>
      <c r="S662" t="s">
        <v>609</v>
      </c>
      <c r="T662">
        <v>2.0</v>
      </c>
    </row>
    <row r="663">
      <c r="A663" t="s">
        <v>629</v>
      </c>
      <c r="G663" t="s">
        <v>630</v>
      </c>
      <c r="P663" t="s">
        <v>631</v>
      </c>
      <c r="S663" t="s">
        <v>632</v>
      </c>
      <c r="T663">
        <v>2.0</v>
      </c>
    </row>
    <row r="664">
      <c r="A664" t="s">
        <v>348</v>
      </c>
      <c r="H664" t="s">
        <v>349</v>
      </c>
      <c r="I664" s="19" t="s">
        <v>209</v>
      </c>
      <c r="O664" s="19" t="s">
        <v>96</v>
      </c>
      <c r="T664">
        <v>2.0</v>
      </c>
    </row>
    <row r="665">
      <c r="A665" t="s">
        <v>643</v>
      </c>
      <c r="G665" t="s">
        <v>644</v>
      </c>
      <c r="P665" t="s">
        <v>645</v>
      </c>
      <c r="S665" t="s">
        <v>646</v>
      </c>
      <c r="T665">
        <v>2.0</v>
      </c>
    </row>
    <row r="666">
      <c r="A666" t="s">
        <v>658</v>
      </c>
      <c r="G666" t="s">
        <v>659</v>
      </c>
      <c r="P666" t="s">
        <v>660</v>
      </c>
      <c r="S666" t="s">
        <v>661</v>
      </c>
      <c r="T666">
        <v>2.0</v>
      </c>
    </row>
    <row r="667">
      <c r="A667" t="s">
        <v>662</v>
      </c>
      <c r="G667" t="s">
        <v>659</v>
      </c>
      <c r="P667" t="s">
        <v>663</v>
      </c>
      <c r="S667" t="s">
        <v>664</v>
      </c>
      <c r="T667">
        <v>2.0</v>
      </c>
    </row>
    <row r="668">
      <c r="A668" t="s">
        <v>665</v>
      </c>
      <c r="G668" t="s">
        <v>659</v>
      </c>
      <c r="P668" t="s">
        <v>666</v>
      </c>
      <c r="S668" t="s">
        <v>661</v>
      </c>
      <c r="T668">
        <v>2.0</v>
      </c>
    </row>
    <row r="669">
      <c r="A669" t="s">
        <v>667</v>
      </c>
      <c r="G669" t="s">
        <v>659</v>
      </c>
      <c r="P669" t="s">
        <v>668</v>
      </c>
      <c r="S669" t="s">
        <v>664</v>
      </c>
      <c r="T669">
        <v>2.0</v>
      </c>
    </row>
    <row r="670">
      <c r="A670" t="s">
        <v>669</v>
      </c>
      <c r="G670" t="s">
        <v>659</v>
      </c>
      <c r="P670" t="s">
        <v>670</v>
      </c>
      <c r="S670" t="s">
        <v>670</v>
      </c>
      <c r="T670">
        <v>2.0</v>
      </c>
    </row>
    <row r="671">
      <c r="A671" t="s">
        <v>671</v>
      </c>
      <c r="G671" t="s">
        <v>672</v>
      </c>
      <c r="P671" t="s">
        <v>673</v>
      </c>
      <c r="S671" t="s">
        <v>674</v>
      </c>
      <c r="T671">
        <v>2.0</v>
      </c>
    </row>
    <row r="672">
      <c r="A672" t="s">
        <v>589</v>
      </c>
      <c r="G672" t="s">
        <v>590</v>
      </c>
      <c r="P672" t="s">
        <v>591</v>
      </c>
      <c r="S672" t="s">
        <v>553</v>
      </c>
      <c r="T672">
        <v>2.0</v>
      </c>
    </row>
    <row r="673">
      <c r="A673" t="s">
        <v>675</v>
      </c>
      <c r="G673" t="s">
        <v>676</v>
      </c>
      <c r="P673" t="s">
        <v>677</v>
      </c>
      <c r="S673" t="s">
        <v>678</v>
      </c>
      <c r="T673">
        <v>2.0</v>
      </c>
    </row>
    <row r="674">
      <c r="A674" t="s">
        <v>592</v>
      </c>
      <c r="G674" t="s">
        <v>593</v>
      </c>
      <c r="P674" t="s">
        <v>594</v>
      </c>
      <c r="S674" t="s">
        <v>596</v>
      </c>
      <c r="T674">
        <v>2.0</v>
      </c>
    </row>
    <row r="675">
      <c r="A675" t="s">
        <v>147</v>
      </c>
      <c r="B675">
        <v>82.0</v>
      </c>
      <c r="C675" s="19" t="s">
        <v>66</v>
      </c>
      <c r="F675">
        <v>2018.0</v>
      </c>
      <c r="G675" t="s">
        <v>74</v>
      </c>
      <c r="I675" s="19" t="s">
        <v>66</v>
      </c>
      <c r="T675">
        <v>1.0</v>
      </c>
    </row>
    <row r="676">
      <c r="A676" t="s">
        <v>198</v>
      </c>
      <c r="N676" s="19" t="s">
        <v>164</v>
      </c>
      <c r="T676">
        <v>1.0</v>
      </c>
    </row>
    <row r="677">
      <c r="A677" t="s">
        <v>199</v>
      </c>
      <c r="N677" s="19" t="s">
        <v>164</v>
      </c>
      <c r="T677">
        <v>1.0</v>
      </c>
    </row>
    <row r="678">
      <c r="A678" t="s">
        <v>200</v>
      </c>
      <c r="N678" s="19" t="s">
        <v>164</v>
      </c>
      <c r="T678">
        <v>1.0</v>
      </c>
    </row>
    <row r="679">
      <c r="A679" t="s">
        <v>201</v>
      </c>
      <c r="N679" s="19" t="s">
        <v>164</v>
      </c>
      <c r="T679">
        <v>1.0</v>
      </c>
    </row>
    <row r="680">
      <c r="A680" t="s">
        <v>202</v>
      </c>
      <c r="O680" s="19" t="s">
        <v>96</v>
      </c>
      <c r="T680">
        <v>1.0</v>
      </c>
    </row>
    <row r="681">
      <c r="A681" t="s">
        <v>203</v>
      </c>
      <c r="H681" t="s">
        <v>204</v>
      </c>
      <c r="O681" s="19" t="s">
        <v>96</v>
      </c>
      <c r="T681">
        <v>1.0</v>
      </c>
    </row>
    <row r="682">
      <c r="A682" t="s">
        <v>286</v>
      </c>
      <c r="K682" s="19" t="s">
        <v>122</v>
      </c>
      <c r="T682">
        <v>1.0</v>
      </c>
    </row>
    <row r="683">
      <c r="A683" t="s">
        <v>289</v>
      </c>
      <c r="K683" s="19" t="s">
        <v>122</v>
      </c>
      <c r="T683">
        <v>1.0</v>
      </c>
    </row>
    <row r="684">
      <c r="A684" t="s">
        <v>290</v>
      </c>
      <c r="K684" s="19" t="s">
        <v>122</v>
      </c>
      <c r="T684">
        <v>1.0</v>
      </c>
    </row>
    <row r="685">
      <c r="A685" t="s">
        <v>291</v>
      </c>
      <c r="K685" s="19" t="s">
        <v>122</v>
      </c>
      <c r="T685">
        <v>1.0</v>
      </c>
    </row>
    <row r="686">
      <c r="A686" t="s">
        <v>306</v>
      </c>
      <c r="L686" s="19" t="s">
        <v>193</v>
      </c>
      <c r="T686">
        <v>1.0</v>
      </c>
    </row>
    <row r="687">
      <c r="A687" t="s">
        <v>338</v>
      </c>
      <c r="G687" t="s">
        <v>340</v>
      </c>
      <c r="S687" t="s">
        <v>341</v>
      </c>
      <c r="T687">
        <v>1.0</v>
      </c>
    </row>
    <row r="688">
      <c r="A688" t="s">
        <v>345</v>
      </c>
      <c r="S688" t="s">
        <v>346</v>
      </c>
      <c r="T688">
        <v>1.0</v>
      </c>
    </row>
    <row r="689">
      <c r="A689" t="s">
        <v>394</v>
      </c>
      <c r="R689" t="s">
        <v>102</v>
      </c>
      <c r="T689">
        <v>1.0</v>
      </c>
    </row>
    <row r="690">
      <c r="A690" t="s">
        <v>403</v>
      </c>
      <c r="H690" t="s">
        <v>404</v>
      </c>
      <c r="I690" s="19" t="s">
        <v>209</v>
      </c>
      <c r="T690">
        <v>1.0</v>
      </c>
    </row>
    <row r="691">
      <c r="A691" t="s">
        <v>410</v>
      </c>
      <c r="R691" t="s">
        <v>102</v>
      </c>
      <c r="T691">
        <v>1.0</v>
      </c>
    </row>
    <row r="692">
      <c r="A692" t="s">
        <v>358</v>
      </c>
      <c r="H692" t="s">
        <v>359</v>
      </c>
      <c r="I692" s="19" t="s">
        <v>209</v>
      </c>
      <c r="T692">
        <v>1.0</v>
      </c>
    </row>
    <row r="693">
      <c r="A693" t="s">
        <v>447</v>
      </c>
      <c r="H693" t="s">
        <v>448</v>
      </c>
      <c r="I693" s="19" t="s">
        <v>209</v>
      </c>
      <c r="T693">
        <v>1.0</v>
      </c>
    </row>
    <row r="694">
      <c r="A694" t="s">
        <v>449</v>
      </c>
      <c r="H694" t="s">
        <v>450</v>
      </c>
      <c r="I694" s="19" t="s">
        <v>209</v>
      </c>
      <c r="T694">
        <v>1.0</v>
      </c>
    </row>
    <row r="695">
      <c r="A695" t="s">
        <v>455</v>
      </c>
      <c r="G695" t="s">
        <v>456</v>
      </c>
      <c r="S695" t="s">
        <v>457</v>
      </c>
      <c r="T695">
        <v>1.0</v>
      </c>
    </row>
    <row r="696">
      <c r="A696" t="s">
        <v>458</v>
      </c>
      <c r="H696" t="s">
        <v>459</v>
      </c>
      <c r="N696" s="19" t="s">
        <v>164</v>
      </c>
      <c r="T696">
        <v>1.0</v>
      </c>
    </row>
    <row r="697">
      <c r="A697" t="s">
        <v>460</v>
      </c>
      <c r="J697" s="19" t="s">
        <v>256</v>
      </c>
      <c r="T697">
        <v>1.0</v>
      </c>
    </row>
    <row r="698">
      <c r="A698" t="s">
        <v>391</v>
      </c>
      <c r="G698" t="s">
        <v>254</v>
      </c>
      <c r="S698" t="s">
        <v>392</v>
      </c>
      <c r="T698">
        <v>1.0</v>
      </c>
    </row>
    <row r="699">
      <c r="A699" t="s">
        <v>462</v>
      </c>
      <c r="Q699" s="19" t="s">
        <v>221</v>
      </c>
      <c r="T699">
        <v>1.0</v>
      </c>
    </row>
    <row r="700">
      <c r="A700" t="s">
        <v>466</v>
      </c>
      <c r="G700" t="s">
        <v>254</v>
      </c>
      <c r="S700" t="s">
        <v>467</v>
      </c>
      <c r="T700">
        <v>1.0</v>
      </c>
    </row>
    <row r="701">
      <c r="A701" t="s">
        <v>470</v>
      </c>
      <c r="G701" t="s">
        <v>254</v>
      </c>
      <c r="S701" t="s">
        <v>471</v>
      </c>
      <c r="T701">
        <v>1.0</v>
      </c>
    </row>
    <row r="702">
      <c r="A702" t="s">
        <v>511</v>
      </c>
      <c r="H702" t="s">
        <v>512</v>
      </c>
      <c r="I702" s="19" t="s">
        <v>209</v>
      </c>
      <c r="T702">
        <v>1.0</v>
      </c>
    </row>
    <row r="703">
      <c r="A703" t="s">
        <v>364</v>
      </c>
      <c r="I703" s="19" t="s">
        <v>209</v>
      </c>
      <c r="T703">
        <v>1.0</v>
      </c>
    </row>
    <row r="704">
      <c r="A704" t="s">
        <v>90</v>
      </c>
      <c r="H704" t="s">
        <v>575</v>
      </c>
      <c r="J704" s="19" t="s">
        <v>77</v>
      </c>
      <c r="T704">
        <v>1.0</v>
      </c>
    </row>
    <row r="705">
      <c r="A705" t="s">
        <v>475</v>
      </c>
      <c r="L705" s="19" t="s">
        <v>193</v>
      </c>
      <c r="T705">
        <v>1.0</v>
      </c>
    </row>
    <row r="706">
      <c r="A706" t="s">
        <v>610</v>
      </c>
      <c r="G706" t="s">
        <v>254</v>
      </c>
      <c r="S706" t="s">
        <v>611</v>
      </c>
      <c r="T706">
        <v>1.0</v>
      </c>
    </row>
    <row r="707">
      <c r="A707" t="s">
        <v>612</v>
      </c>
      <c r="R707" t="s">
        <v>102</v>
      </c>
      <c r="T707">
        <v>1.0</v>
      </c>
    </row>
    <row r="708">
      <c r="A708" t="s">
        <v>79</v>
      </c>
      <c r="K708" s="19" t="s">
        <v>122</v>
      </c>
      <c r="T708">
        <v>1.0</v>
      </c>
    </row>
    <row r="709">
      <c r="A709" t="s">
        <v>476</v>
      </c>
      <c r="K709" s="19" t="s">
        <v>122</v>
      </c>
      <c r="T709">
        <v>1.0</v>
      </c>
    </row>
    <row r="710">
      <c r="A710" t="s">
        <v>633</v>
      </c>
      <c r="G710" t="s">
        <v>254</v>
      </c>
      <c r="S710" t="s">
        <v>634</v>
      </c>
      <c r="T710">
        <v>1.0</v>
      </c>
    </row>
    <row r="711">
      <c r="A711" t="s">
        <v>635</v>
      </c>
      <c r="H711" t="s">
        <v>636</v>
      </c>
      <c r="P711" s="19" t="s">
        <v>538</v>
      </c>
      <c r="T711">
        <v>1.0</v>
      </c>
    </row>
    <row r="712">
      <c r="A712" t="s">
        <v>106</v>
      </c>
      <c r="H712" t="s">
        <v>637</v>
      </c>
      <c r="K712" s="19" t="s">
        <v>122</v>
      </c>
      <c r="T712">
        <v>1.0</v>
      </c>
    </row>
    <row r="713">
      <c r="A713" t="s">
        <v>648</v>
      </c>
      <c r="J713" s="19" t="s">
        <v>77</v>
      </c>
      <c r="T713">
        <v>1.0</v>
      </c>
    </row>
    <row r="714">
      <c r="A714" t="s">
        <v>679</v>
      </c>
      <c r="P714" s="19" t="s">
        <v>538</v>
      </c>
      <c r="T714">
        <v>1.0</v>
      </c>
    </row>
    <row r="715">
      <c r="A715" t="s">
        <v>680</v>
      </c>
      <c r="P715" s="19" t="s">
        <v>538</v>
      </c>
      <c r="T715">
        <v>1.0</v>
      </c>
    </row>
    <row r="716">
      <c r="A716" t="s">
        <v>681</v>
      </c>
      <c r="P716" s="19" t="s">
        <v>538</v>
      </c>
      <c r="T716">
        <v>1.0</v>
      </c>
    </row>
    <row r="717">
      <c r="A717" t="s">
        <v>619</v>
      </c>
      <c r="J717" s="19" t="s">
        <v>256</v>
      </c>
      <c r="T717">
        <v>1.0</v>
      </c>
    </row>
    <row r="718">
      <c r="A718" t="s">
        <v>689</v>
      </c>
      <c r="H718" t="s">
        <v>690</v>
      </c>
      <c r="I718" s="19" t="s">
        <v>209</v>
      </c>
      <c r="T718">
        <v>1.0</v>
      </c>
    </row>
    <row r="719">
      <c r="A719" t="s">
        <v>691</v>
      </c>
      <c r="G719" t="s">
        <v>692</v>
      </c>
      <c r="S719" t="s">
        <v>693</v>
      </c>
      <c r="T719">
        <v>1.0</v>
      </c>
    </row>
    <row r="720">
      <c r="A720" t="s">
        <v>694</v>
      </c>
      <c r="I720" s="19" t="s">
        <v>209</v>
      </c>
      <c r="T720">
        <v>1.0</v>
      </c>
    </row>
    <row r="721">
      <c r="A721" t="s">
        <v>695</v>
      </c>
      <c r="L721" s="19" t="s">
        <v>193</v>
      </c>
      <c r="T721">
        <v>1.0</v>
      </c>
    </row>
    <row r="722">
      <c r="A722" t="s">
        <v>696</v>
      </c>
      <c r="H722" t="s">
        <v>697</v>
      </c>
      <c r="L722" s="19" t="s">
        <v>193</v>
      </c>
      <c r="T722">
        <v>1.0</v>
      </c>
    </row>
    <row r="723">
      <c r="A723" t="s">
        <v>698</v>
      </c>
      <c r="R723" t="s">
        <v>102</v>
      </c>
      <c r="T723">
        <v>1.0</v>
      </c>
    </row>
    <row r="724" ht="16.5" customHeight="1">
      <c r="A724" t="s">
        <v>699</v>
      </c>
      <c r="P724" s="19" t="s">
        <v>538</v>
      </c>
      <c r="T724">
        <v>1.0</v>
      </c>
    </row>
    <row r="725">
      <c r="A725" t="s">
        <v>700</v>
      </c>
      <c r="P725" s="19" t="s">
        <v>268</v>
      </c>
      <c r="T725">
        <v>1.0</v>
      </c>
    </row>
    <row r="726">
      <c r="A726" t="s">
        <v>701</v>
      </c>
      <c r="N726" s="19" t="s">
        <v>164</v>
      </c>
      <c r="T726">
        <v>1.0</v>
      </c>
    </row>
    <row r="728">
      <c r="A728" s="33" t="s">
        <v>710</v>
      </c>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sheetData>
  <hyperlinks>
    <hyperlink r:id="rId1" ref="C2"/>
    <hyperlink r:id="rId2" ref="I2"/>
    <hyperlink r:id="rId3" ref="J2"/>
    <hyperlink r:id="rId4" ref="K2"/>
    <hyperlink r:id="rId5" ref="L2"/>
    <hyperlink r:id="rId6" ref="M2"/>
    <hyperlink r:id="rId7" ref="N2"/>
    <hyperlink r:id="rId8" location="health" ref="O2"/>
    <hyperlink r:id="rId9" ref="Q2"/>
    <hyperlink r:id="rId10" ref="C3"/>
    <hyperlink r:id="rId11" ref="I3"/>
    <hyperlink r:id="rId12" ref="K3"/>
    <hyperlink r:id="rId13" ref="M3"/>
    <hyperlink r:id="rId14" ref="N3"/>
    <hyperlink r:id="rId15" location="health" ref="O3"/>
    <hyperlink r:id="rId16" ref="C4"/>
    <hyperlink r:id="rId17" ref="I4"/>
    <hyperlink r:id="rId18" ref="K4"/>
    <hyperlink r:id="rId19" ref="L4"/>
    <hyperlink r:id="rId20" ref="M4"/>
    <hyperlink r:id="rId21" ref="N4"/>
    <hyperlink r:id="rId22" location="health" ref="O4"/>
    <hyperlink r:id="rId23" ref="Q4"/>
    <hyperlink r:id="rId24" ref="C5"/>
    <hyperlink r:id="rId25" ref="I5"/>
    <hyperlink r:id="rId26" ref="K5"/>
    <hyperlink r:id="rId27" ref="M5"/>
    <hyperlink r:id="rId28" ref="N5"/>
    <hyperlink r:id="rId29" location="health" ref="O5"/>
    <hyperlink r:id="rId30" ref="Q5"/>
    <hyperlink r:id="rId31" ref="C6"/>
    <hyperlink r:id="rId32" ref="I6"/>
    <hyperlink r:id="rId33" ref="K6"/>
    <hyperlink r:id="rId34" ref="L6"/>
    <hyperlink r:id="rId35" ref="N6"/>
    <hyperlink r:id="rId36" location="health" ref="O6"/>
    <hyperlink r:id="rId37" ref="I7"/>
    <hyperlink r:id="rId38" ref="K7"/>
    <hyperlink r:id="rId39" ref="M7"/>
    <hyperlink r:id="rId40" ref="N7"/>
    <hyperlink r:id="rId41" ref="C8"/>
    <hyperlink r:id="rId42" ref="I8"/>
    <hyperlink r:id="rId43" ref="K8"/>
    <hyperlink r:id="rId44" ref="N8"/>
    <hyperlink r:id="rId45" location="health" ref="O8"/>
    <hyperlink r:id="rId46" ref="I9"/>
    <hyperlink r:id="rId47" ref="L9"/>
    <hyperlink r:id="rId48" location="health" ref="O9"/>
    <hyperlink r:id="rId49" ref="Q9"/>
    <hyperlink r:id="rId50" ref="I10"/>
    <hyperlink r:id="rId51" ref="K10"/>
    <hyperlink r:id="rId52" ref="L10"/>
    <hyperlink r:id="rId53" location="health" ref="O10"/>
    <hyperlink r:id="rId54" ref="M11"/>
    <hyperlink r:id="rId55" ref="N11"/>
    <hyperlink r:id="rId56" ref="Q11"/>
    <hyperlink r:id="rId57" ref="I12"/>
    <hyperlink r:id="rId58" ref="M12"/>
    <hyperlink r:id="rId59" location="health" ref="O12"/>
    <hyperlink r:id="rId60" ref="Q12"/>
    <hyperlink r:id="rId61" ref="I13"/>
    <hyperlink r:id="rId62" location="health" ref="O13"/>
    <hyperlink r:id="rId63" ref="Q13"/>
    <hyperlink r:id="rId64" ref="I14"/>
    <hyperlink r:id="rId65" ref="M14"/>
    <hyperlink r:id="rId66" location="health" ref="O14"/>
    <hyperlink r:id="rId67" ref="I15"/>
    <hyperlink r:id="rId68" ref="K15"/>
    <hyperlink r:id="rId69" ref="I16"/>
    <hyperlink r:id="rId70" location="health" ref="O16"/>
    <hyperlink r:id="rId71" ref="I17"/>
    <hyperlink r:id="rId72" ref="N17"/>
    <hyperlink r:id="rId73" ref="I18"/>
    <hyperlink r:id="rId74" ref="M18"/>
    <hyperlink r:id="rId75" ref="I19"/>
    <hyperlink r:id="rId76" location="health" ref="O19"/>
    <hyperlink r:id="rId77" ref="L20"/>
    <hyperlink r:id="rId78" ref="I22"/>
    <hyperlink r:id="rId79" ref="I23"/>
    <hyperlink r:id="rId80" ref="I24"/>
    <hyperlink r:id="rId81" ref="I25"/>
    <hyperlink r:id="rId82" ref="I26"/>
    <hyperlink r:id="rId83" ref="I27"/>
    <hyperlink r:id="rId84" ref="I28"/>
    <hyperlink r:id="rId85" ref="I29"/>
    <hyperlink r:id="rId86" ref="I30"/>
    <hyperlink r:id="rId87" ref="I33"/>
    <hyperlink r:id="rId88" ref="J33"/>
    <hyperlink r:id="rId89" ref="K33"/>
    <hyperlink r:id="rId90" ref="M33"/>
    <hyperlink r:id="rId91" ref="N33"/>
    <hyperlink r:id="rId92" ref="Q33"/>
    <hyperlink r:id="rId93" ref="J34"/>
    <hyperlink r:id="rId94" ref="K34"/>
    <hyperlink r:id="rId95" ref="L34"/>
    <hyperlink r:id="rId96" ref="N34"/>
    <hyperlink r:id="rId97" ref="Q34"/>
    <hyperlink r:id="rId98" ref="J35"/>
    <hyperlink r:id="rId99" ref="K35"/>
    <hyperlink r:id="rId100" ref="L35"/>
    <hyperlink r:id="rId101" ref="N35"/>
    <hyperlink r:id="rId102" ref="Q35"/>
    <hyperlink r:id="rId103" ref="I36"/>
    <hyperlink r:id="rId104" ref="K36"/>
    <hyperlink r:id="rId105" ref="L36"/>
    <hyperlink r:id="rId106" ref="N36"/>
    <hyperlink r:id="rId107" ref="L37"/>
    <hyperlink r:id="rId108" ref="N37"/>
    <hyperlink r:id="rId109" ref="Q37"/>
    <hyperlink r:id="rId110" ref="J38"/>
    <hyperlink r:id="rId111" ref="K38"/>
    <hyperlink r:id="rId112" ref="N38"/>
    <hyperlink r:id="rId113" ref="K39"/>
    <hyperlink r:id="rId114" ref="N39"/>
    <hyperlink r:id="rId115" ref="N43"/>
    <hyperlink r:id="rId116" ref="I46"/>
    <hyperlink r:id="rId117" ref="K46"/>
    <hyperlink r:id="rId118" ref="L46"/>
    <hyperlink r:id="rId119" ref="N46"/>
    <hyperlink r:id="rId120" location="health" ref="O46"/>
    <hyperlink r:id="rId121" ref="I47"/>
    <hyperlink r:id="rId122" ref="K47"/>
    <hyperlink r:id="rId123" ref="L47"/>
    <hyperlink r:id="rId124" ref="N47"/>
    <hyperlink r:id="rId125" location="health" ref="O47"/>
    <hyperlink r:id="rId126" ref="I48"/>
    <hyperlink r:id="rId127" ref="K48"/>
    <hyperlink r:id="rId128" ref="L48"/>
    <hyperlink r:id="rId129" ref="N48"/>
    <hyperlink r:id="rId130" location="health" ref="O48"/>
    <hyperlink r:id="rId131" ref="I49"/>
    <hyperlink r:id="rId132" ref="K49"/>
    <hyperlink r:id="rId133" ref="L49"/>
    <hyperlink r:id="rId134" ref="N49"/>
    <hyperlink r:id="rId135" location="health" ref="O49"/>
    <hyperlink r:id="rId136" ref="I50"/>
    <hyperlink r:id="rId137" ref="L50"/>
    <hyperlink r:id="rId138" ref="N50"/>
    <hyperlink r:id="rId139" ref="I51"/>
    <hyperlink r:id="rId140" ref="L51"/>
    <hyperlink r:id="rId141" ref="N51"/>
    <hyperlink r:id="rId142" ref="K52"/>
    <hyperlink r:id="rId143" ref="N52"/>
    <hyperlink r:id="rId144" ref="P52"/>
    <hyperlink r:id="rId145" ref="Q52"/>
    <hyperlink r:id="rId146" ref="K53"/>
    <hyperlink r:id="rId147" location="health" ref="O53"/>
    <hyperlink r:id="rId148" ref="Q53"/>
    <hyperlink r:id="rId149" ref="K54"/>
    <hyperlink r:id="rId150" ref="L54"/>
    <hyperlink r:id="rId151" ref="M54"/>
    <hyperlink r:id="rId152" ref="N54"/>
    <hyperlink r:id="rId153" location="health" ref="O54"/>
    <hyperlink r:id="rId154" ref="I55"/>
    <hyperlink r:id="rId155" ref="N55"/>
    <hyperlink r:id="rId156" ref="K56"/>
    <hyperlink r:id="rId157" ref="N56"/>
    <hyperlink r:id="rId158" ref="P56"/>
    <hyperlink r:id="rId159" ref="Q56"/>
    <hyperlink r:id="rId160" ref="I57"/>
    <hyperlink r:id="rId161" ref="Q57"/>
    <hyperlink r:id="rId162" ref="J58"/>
    <hyperlink r:id="rId163" ref="K58"/>
    <hyperlink r:id="rId164" ref="P58"/>
    <hyperlink r:id="rId165" ref="Q58"/>
    <hyperlink r:id="rId166" ref="J59"/>
    <hyperlink r:id="rId167" ref="K59"/>
    <hyperlink r:id="rId168" ref="P59"/>
    <hyperlink r:id="rId169" ref="I60"/>
    <hyperlink r:id="rId170" ref="Q60"/>
    <hyperlink r:id="rId171" ref="K61"/>
    <hyperlink r:id="rId172" ref="M61"/>
    <hyperlink r:id="rId173" ref="Q61"/>
    <hyperlink r:id="rId174" ref="I62"/>
    <hyperlink r:id="rId175" location="health" ref="O62"/>
    <hyperlink r:id="rId176" ref="I63"/>
    <hyperlink r:id="rId177" location="health" ref="O63"/>
    <hyperlink r:id="rId178" ref="I64"/>
    <hyperlink r:id="rId179" location="health" ref="O64"/>
    <hyperlink r:id="rId180" ref="P65"/>
    <hyperlink r:id="rId181" ref="Q65"/>
    <hyperlink r:id="rId182" ref="I68"/>
    <hyperlink r:id="rId183" ref="I69"/>
    <hyperlink r:id="rId184" ref="I70"/>
    <hyperlink r:id="rId185" ref="N72"/>
    <hyperlink r:id="rId186" ref="I73"/>
    <hyperlink r:id="rId187" ref="J74"/>
    <hyperlink r:id="rId188" ref="J77"/>
    <hyperlink r:id="rId189" ref="K77"/>
    <hyperlink r:id="rId190" ref="L77"/>
    <hyperlink r:id="rId191" ref="N77"/>
    <hyperlink r:id="rId192" ref="I78"/>
    <hyperlink r:id="rId193" ref="J78"/>
    <hyperlink r:id="rId194" ref="K78"/>
    <hyperlink r:id="rId195" ref="L78"/>
    <hyperlink r:id="rId196" ref="N78"/>
    <hyperlink r:id="rId197" ref="I79"/>
    <hyperlink r:id="rId198" ref="K79"/>
    <hyperlink r:id="rId199" ref="L79"/>
    <hyperlink r:id="rId200" ref="N79"/>
    <hyperlink r:id="rId201" ref="Q79"/>
    <hyperlink r:id="rId202" ref="I80"/>
    <hyperlink r:id="rId203" ref="J80"/>
    <hyperlink r:id="rId204" ref="L80"/>
    <hyperlink r:id="rId205" ref="N80"/>
    <hyperlink r:id="rId206" ref="L81"/>
    <hyperlink r:id="rId207" ref="N81"/>
    <hyperlink r:id="rId208" ref="L82"/>
    <hyperlink r:id="rId209" ref="N82"/>
    <hyperlink r:id="rId210" ref="N83"/>
    <hyperlink r:id="rId211" ref="Q83"/>
    <hyperlink r:id="rId212" ref="J84"/>
    <hyperlink r:id="rId213" ref="K84"/>
    <hyperlink r:id="rId214" ref="N84"/>
    <hyperlink r:id="rId215" ref="K85"/>
    <hyperlink r:id="rId216" ref="N86"/>
    <hyperlink r:id="rId217" ref="Q86"/>
    <hyperlink r:id="rId218" ref="L88"/>
    <hyperlink r:id="rId219" ref="K89"/>
    <hyperlink r:id="rId220" ref="J90"/>
    <hyperlink r:id="rId221" ref="J93"/>
    <hyperlink r:id="rId222" ref="K93"/>
    <hyperlink r:id="rId223" ref="L93"/>
    <hyperlink r:id="rId224" ref="N93"/>
    <hyperlink r:id="rId225" ref="O93"/>
    <hyperlink r:id="rId226" ref="P93"/>
    <hyperlink r:id="rId227" ref="Q93"/>
    <hyperlink r:id="rId228" ref="I94"/>
    <hyperlink r:id="rId229" ref="K94"/>
    <hyperlink r:id="rId230" ref="L94"/>
    <hyperlink r:id="rId231" ref="M94"/>
    <hyperlink r:id="rId232" location="health" ref="O94"/>
    <hyperlink r:id="rId233" ref="Q94"/>
    <hyperlink r:id="rId234" ref="I95"/>
    <hyperlink r:id="rId235" ref="K95"/>
    <hyperlink r:id="rId236" ref="L95"/>
    <hyperlink r:id="rId237" ref="M95"/>
    <hyperlink r:id="rId238" location="health" ref="O95"/>
    <hyperlink r:id="rId239" ref="Q95"/>
    <hyperlink r:id="rId240" ref="I96"/>
    <hyperlink r:id="rId241" ref="K96"/>
    <hyperlink r:id="rId242" ref="L96"/>
    <hyperlink r:id="rId243" ref="N96"/>
    <hyperlink r:id="rId244" location="health" ref="O96"/>
    <hyperlink r:id="rId245" ref="Q96"/>
    <hyperlink r:id="rId246" ref="J97"/>
    <hyperlink r:id="rId247" ref="K97"/>
    <hyperlink r:id="rId248" ref="N97"/>
    <hyperlink r:id="rId249" ref="P97"/>
    <hyperlink r:id="rId250" ref="Q97"/>
    <hyperlink r:id="rId251" ref="I98"/>
    <hyperlink r:id="rId252" ref="K98"/>
    <hyperlink r:id="rId253" ref="M98"/>
    <hyperlink r:id="rId254" ref="Q98"/>
    <hyperlink r:id="rId255" ref="K99"/>
    <hyperlink r:id="rId256" ref="M99"/>
    <hyperlink r:id="rId257" ref="N99"/>
    <hyperlink r:id="rId258" ref="P99"/>
    <hyperlink r:id="rId259" ref="J100"/>
    <hyperlink r:id="rId260" ref="K100"/>
    <hyperlink r:id="rId261" ref="L100"/>
    <hyperlink r:id="rId262" ref="N100"/>
    <hyperlink r:id="rId263" ref="O100"/>
    <hyperlink r:id="rId264" ref="J101"/>
    <hyperlink r:id="rId265" ref="K101"/>
    <hyperlink r:id="rId266" ref="L101"/>
    <hyperlink r:id="rId267" ref="N101"/>
    <hyperlink r:id="rId268" ref="O101"/>
    <hyperlink r:id="rId269" ref="I102"/>
    <hyperlink r:id="rId270" ref="J102"/>
    <hyperlink r:id="rId271" ref="K102"/>
    <hyperlink r:id="rId272" ref="P102"/>
    <hyperlink r:id="rId273" ref="J103"/>
    <hyperlink r:id="rId274" ref="K103"/>
    <hyperlink r:id="rId275" ref="N103"/>
    <hyperlink r:id="rId276" ref="P103"/>
    <hyperlink r:id="rId277" ref="Q103"/>
    <hyperlink r:id="rId278" ref="I104"/>
    <hyperlink r:id="rId279" ref="M104"/>
    <hyperlink r:id="rId280" location="health" ref="O104"/>
    <hyperlink r:id="rId281" ref="J105"/>
    <hyperlink r:id="rId282" ref="K105"/>
    <hyperlink r:id="rId283" ref="P105"/>
    <hyperlink r:id="rId284" ref="Q105"/>
    <hyperlink r:id="rId285" ref="J106"/>
    <hyperlink r:id="rId286" ref="K106"/>
    <hyperlink r:id="rId287" ref="P106"/>
    <hyperlink r:id="rId288" ref="J107"/>
    <hyperlink r:id="rId289" ref="K107"/>
    <hyperlink r:id="rId290" ref="P107"/>
    <hyperlink r:id="rId291" ref="J108"/>
    <hyperlink r:id="rId292" ref="N108"/>
    <hyperlink r:id="rId293" ref="Q108"/>
    <hyperlink r:id="rId294" ref="C109"/>
    <hyperlink r:id="rId295" ref="I109"/>
    <hyperlink r:id="rId296" ref="K109"/>
    <hyperlink r:id="rId297" location="health" ref="O109"/>
    <hyperlink r:id="rId298" ref="C110"/>
    <hyperlink r:id="rId299" ref="I110"/>
    <hyperlink r:id="rId300" ref="K110"/>
    <hyperlink r:id="rId301" ref="M110"/>
    <hyperlink r:id="rId302" ref="I111"/>
    <hyperlink r:id="rId303" ref="K111"/>
    <hyperlink r:id="rId304" location="health" ref="O111"/>
    <hyperlink r:id="rId305" ref="K112"/>
    <hyperlink r:id="rId306" ref="P112"/>
    <hyperlink r:id="rId307" ref="K113"/>
    <hyperlink r:id="rId308" location="health" ref="O113"/>
    <hyperlink r:id="rId309" ref="J114"/>
    <hyperlink r:id="rId310" ref="K114"/>
    <hyperlink r:id="rId311" ref="N114"/>
    <hyperlink r:id="rId312" ref="J115"/>
    <hyperlink r:id="rId313" ref="K115"/>
    <hyperlink r:id="rId314" ref="N115"/>
    <hyperlink r:id="rId315" ref="I116"/>
    <hyperlink r:id="rId316" ref="K116"/>
    <hyperlink r:id="rId317" ref="Q116"/>
    <hyperlink r:id="rId318" ref="I117"/>
    <hyperlink r:id="rId319" ref="K117"/>
    <hyperlink r:id="rId320" ref="M117"/>
    <hyperlink r:id="rId321" ref="I118"/>
    <hyperlink r:id="rId322" ref="K118"/>
    <hyperlink r:id="rId323" ref="M118"/>
    <hyperlink r:id="rId324" ref="I119"/>
    <hyperlink r:id="rId325" ref="J120"/>
    <hyperlink r:id="rId326" ref="K120"/>
    <hyperlink r:id="rId327" ref="L120"/>
    <hyperlink r:id="rId328" ref="I121"/>
    <hyperlink r:id="rId329" ref="K121"/>
    <hyperlink r:id="rId330" ref="I122"/>
    <hyperlink r:id="rId331" ref="K122"/>
    <hyperlink r:id="rId332" ref="I123"/>
    <hyperlink r:id="rId333" ref="K123"/>
    <hyperlink r:id="rId334" ref="I124"/>
    <hyperlink r:id="rId335" ref="K124"/>
    <hyperlink r:id="rId336" ref="I125"/>
    <hyperlink r:id="rId337" ref="K125"/>
    <hyperlink r:id="rId338" ref="I126"/>
    <hyperlink r:id="rId339" ref="K126"/>
    <hyperlink r:id="rId340" ref="I127"/>
    <hyperlink r:id="rId341" ref="K127"/>
    <hyperlink r:id="rId342" ref="I128"/>
    <hyperlink r:id="rId343" ref="K128"/>
    <hyperlink r:id="rId344" ref="K129"/>
    <hyperlink r:id="rId345" ref="N129"/>
    <hyperlink r:id="rId346" ref="I130"/>
    <hyperlink r:id="rId347" ref="Q130"/>
    <hyperlink r:id="rId348" ref="I131"/>
    <hyperlink r:id="rId349" ref="M131"/>
    <hyperlink r:id="rId350" ref="I132"/>
    <hyperlink r:id="rId351" ref="Q132"/>
    <hyperlink r:id="rId352" ref="P133"/>
    <hyperlink r:id="rId353" ref="Q133"/>
    <hyperlink r:id="rId354" ref="J134"/>
    <hyperlink r:id="rId355" ref="K134"/>
    <hyperlink r:id="rId356" ref="J135"/>
    <hyperlink r:id="rId357" ref="N135"/>
    <hyperlink r:id="rId358" ref="J136"/>
    <hyperlink r:id="rId359" ref="N136"/>
    <hyperlink r:id="rId360" ref="N137"/>
    <hyperlink r:id="rId361" ref="Q138"/>
    <hyperlink r:id="rId362" ref="I139"/>
    <hyperlink r:id="rId363" ref="I140"/>
    <hyperlink r:id="rId364" ref="I141"/>
    <hyperlink r:id="rId365" ref="I142"/>
    <hyperlink r:id="rId366" ref="I143"/>
    <hyperlink r:id="rId367" ref="I144"/>
    <hyperlink r:id="rId368" ref="I145"/>
    <hyperlink r:id="rId369" ref="I146"/>
    <hyperlink r:id="rId370" ref="I147"/>
    <hyperlink r:id="rId371" ref="I148"/>
    <hyperlink r:id="rId372" ref="I149"/>
    <hyperlink r:id="rId373" ref="I150"/>
    <hyperlink r:id="rId374" ref="I151"/>
    <hyperlink r:id="rId375" ref="I152"/>
    <hyperlink r:id="rId376" ref="I153"/>
    <hyperlink r:id="rId377" ref="I154"/>
    <hyperlink r:id="rId378" ref="J156"/>
    <hyperlink r:id="rId379" ref="J157"/>
    <hyperlink r:id="rId380" ref="J158"/>
    <hyperlink r:id="rId381" ref="J159"/>
    <hyperlink r:id="rId382" ref="J160"/>
    <hyperlink r:id="rId383" ref="J161"/>
    <hyperlink r:id="rId384" ref="J164"/>
    <hyperlink r:id="rId385" ref="K164"/>
    <hyperlink r:id="rId386" ref="L164"/>
    <hyperlink r:id="rId387" ref="N164"/>
    <hyperlink r:id="rId388" ref="P164"/>
    <hyperlink r:id="rId389" ref="Q164"/>
    <hyperlink r:id="rId390" ref="I165"/>
    <hyperlink r:id="rId391" ref="K165"/>
    <hyperlink r:id="rId392" ref="L165"/>
    <hyperlink r:id="rId393" ref="N165"/>
    <hyperlink r:id="rId394" ref="I166"/>
    <hyperlink r:id="rId395" ref="K166"/>
    <hyperlink r:id="rId396" ref="L166"/>
    <hyperlink r:id="rId397" ref="N166"/>
    <hyperlink r:id="rId398" location="health" ref="O166"/>
    <hyperlink r:id="rId399" ref="Q166"/>
    <hyperlink r:id="rId400" ref="J167"/>
    <hyperlink r:id="rId401" ref="K167"/>
    <hyperlink r:id="rId402" ref="N167"/>
    <hyperlink r:id="rId403" ref="P167"/>
    <hyperlink r:id="rId404" ref="Q167"/>
    <hyperlink r:id="rId405" ref="J168"/>
    <hyperlink r:id="rId406" ref="N168"/>
    <hyperlink r:id="rId407" ref="Q168"/>
    <hyperlink r:id="rId408" ref="I169"/>
    <hyperlink r:id="rId409" ref="J169"/>
    <hyperlink r:id="rId410" location="health" ref="O169"/>
    <hyperlink r:id="rId411" ref="I170"/>
    <hyperlink r:id="rId412" ref="J170"/>
    <hyperlink r:id="rId413" location="health" ref="O170"/>
    <hyperlink r:id="rId414" ref="J171"/>
    <hyperlink r:id="rId415" ref="K171"/>
    <hyperlink r:id="rId416" ref="L171"/>
    <hyperlink r:id="rId417" ref="M171"/>
    <hyperlink r:id="rId418" ref="K172"/>
    <hyperlink r:id="rId419" ref="I173"/>
    <hyperlink r:id="rId420" location="health" ref="O173"/>
    <hyperlink r:id="rId421" ref="Q173"/>
    <hyperlink r:id="rId422" ref="I174"/>
    <hyperlink r:id="rId423" ref="J175"/>
    <hyperlink r:id="rId424" ref="K175"/>
    <hyperlink r:id="rId425" ref="L175"/>
    <hyperlink r:id="rId426" ref="J176"/>
    <hyperlink r:id="rId427" ref="K176"/>
    <hyperlink r:id="rId428" ref="M176"/>
    <hyperlink r:id="rId429" ref="K177"/>
    <hyperlink r:id="rId430" ref="K178"/>
    <hyperlink r:id="rId431" ref="K179"/>
    <hyperlink r:id="rId432" ref="C180"/>
    <hyperlink r:id="rId433" ref="I180"/>
    <hyperlink r:id="rId434" ref="N180"/>
    <hyperlink r:id="rId435" ref="P181"/>
    <hyperlink r:id="rId436" ref="J182"/>
    <hyperlink r:id="rId437" ref="N182"/>
    <hyperlink r:id="rId438" ref="I183"/>
    <hyperlink r:id="rId439" location="health" ref="O183"/>
    <hyperlink r:id="rId440" ref="I184"/>
    <hyperlink r:id="rId441" ref="N184"/>
    <hyperlink r:id="rId442" ref="P185"/>
    <hyperlink r:id="rId443" ref="Q185"/>
    <hyperlink r:id="rId444" ref="J186"/>
    <hyperlink r:id="rId445" ref="K186"/>
    <hyperlink r:id="rId446" ref="I187"/>
    <hyperlink r:id="rId447" ref="J188"/>
    <hyperlink r:id="rId448" ref="K188"/>
    <hyperlink r:id="rId449" ref="J189"/>
    <hyperlink r:id="rId450" ref="K189"/>
    <hyperlink r:id="rId451" ref="J190"/>
    <hyperlink r:id="rId452" ref="K190"/>
    <hyperlink r:id="rId453" ref="J191"/>
    <hyperlink r:id="rId454" ref="K191"/>
    <hyperlink r:id="rId455" ref="J192"/>
    <hyperlink r:id="rId456" ref="K192"/>
    <hyperlink r:id="rId457" ref="K193"/>
    <hyperlink r:id="rId458" ref="N193"/>
    <hyperlink r:id="rId459" ref="K194"/>
    <hyperlink r:id="rId460" ref="N194"/>
    <hyperlink r:id="rId461" ref="K195"/>
    <hyperlink r:id="rId462" ref="N195"/>
    <hyperlink r:id="rId463" ref="J198"/>
    <hyperlink r:id="rId464" ref="N198"/>
    <hyperlink r:id="rId465" ref="J199"/>
    <hyperlink r:id="rId466" ref="I200"/>
    <hyperlink r:id="rId467" ref="I201"/>
    <hyperlink r:id="rId468" ref="I202"/>
    <hyperlink r:id="rId469" ref="I203"/>
    <hyperlink r:id="rId470" ref="I204"/>
    <hyperlink r:id="rId471" ref="I205"/>
    <hyperlink r:id="rId472" ref="I206"/>
    <hyperlink r:id="rId473" ref="I207"/>
    <hyperlink r:id="rId474" ref="I208"/>
    <hyperlink r:id="rId475" ref="I209"/>
    <hyperlink r:id="rId476" ref="I210"/>
    <hyperlink r:id="rId477" ref="P211"/>
    <hyperlink r:id="rId478" ref="J212"/>
    <hyperlink r:id="rId479" ref="J213"/>
    <hyperlink r:id="rId480" ref="J214"/>
    <hyperlink r:id="rId481" ref="I215"/>
    <hyperlink r:id="rId482" ref="K217"/>
    <hyperlink r:id="rId483" ref="L218"/>
    <hyperlink r:id="rId484" ref="K219"/>
    <hyperlink r:id="rId485" ref="J220"/>
    <hyperlink r:id="rId486" ref="J221"/>
    <hyperlink r:id="rId487" ref="J222"/>
    <hyperlink r:id="rId488" ref="J223"/>
    <hyperlink r:id="rId489" ref="C226"/>
    <hyperlink r:id="rId490" ref="I226"/>
    <hyperlink r:id="rId491" ref="J226"/>
    <hyperlink r:id="rId492" ref="K226"/>
    <hyperlink r:id="rId493" ref="L226"/>
    <hyperlink r:id="rId494" ref="M226"/>
    <hyperlink r:id="rId495" ref="N226"/>
    <hyperlink r:id="rId496" location="health" ref="O226"/>
    <hyperlink r:id="rId497" ref="Q226"/>
    <hyperlink r:id="rId498" ref="I227"/>
    <hyperlink r:id="rId499" ref="J227"/>
    <hyperlink r:id="rId500" ref="K227"/>
    <hyperlink r:id="rId501" ref="M227"/>
    <hyperlink r:id="rId502" ref="N227"/>
    <hyperlink r:id="rId503" ref="Q227"/>
    <hyperlink r:id="rId504" ref="C228"/>
    <hyperlink r:id="rId505" ref="I228"/>
    <hyperlink r:id="rId506" ref="K228"/>
    <hyperlink r:id="rId507" ref="M228"/>
    <hyperlink r:id="rId508" ref="N228"/>
    <hyperlink r:id="rId509" location="health" ref="O228"/>
    <hyperlink r:id="rId510" ref="J229"/>
    <hyperlink r:id="rId511" ref="K229"/>
    <hyperlink r:id="rId512" ref="L229"/>
    <hyperlink r:id="rId513" ref="N229"/>
    <hyperlink r:id="rId514" ref="C230"/>
    <hyperlink r:id="rId515" ref="I230"/>
    <hyperlink r:id="rId516" ref="K230"/>
    <hyperlink r:id="rId517" ref="L230"/>
    <hyperlink r:id="rId518" ref="N230"/>
    <hyperlink r:id="rId519" location="health" ref="O230"/>
    <hyperlink r:id="rId520" ref="I231"/>
    <hyperlink r:id="rId521" ref="K231"/>
    <hyperlink r:id="rId522" location="health" ref="O231"/>
    <hyperlink r:id="rId523" ref="C232"/>
    <hyperlink r:id="rId524" ref="I232"/>
    <hyperlink r:id="rId525" ref="K232"/>
    <hyperlink r:id="rId526" ref="L232"/>
    <hyperlink r:id="rId527" location="health" ref="O232"/>
    <hyperlink r:id="rId528" ref="C233"/>
    <hyperlink r:id="rId529" ref="I233"/>
    <hyperlink r:id="rId530" ref="K233"/>
    <hyperlink r:id="rId531" ref="L233"/>
    <hyperlink r:id="rId532" ref="N233"/>
    <hyperlink r:id="rId533" location="health" ref="O233"/>
    <hyperlink r:id="rId534" ref="I234"/>
    <hyperlink r:id="rId535" ref="K234"/>
    <hyperlink r:id="rId536" ref="M234"/>
    <hyperlink r:id="rId537" ref="Q234"/>
    <hyperlink r:id="rId538" ref="I235"/>
    <hyperlink r:id="rId539" ref="K235"/>
    <hyperlink r:id="rId540" ref="N235"/>
    <hyperlink r:id="rId541" ref="Q235"/>
    <hyperlink r:id="rId542" ref="K236"/>
    <hyperlink r:id="rId543" ref="N236"/>
    <hyperlink r:id="rId544" ref="P236"/>
    <hyperlink r:id="rId545" ref="Q236"/>
    <hyperlink r:id="rId546" ref="K237"/>
    <hyperlink r:id="rId547" ref="M237"/>
    <hyperlink r:id="rId548" ref="N237"/>
    <hyperlink r:id="rId549" ref="P237"/>
    <hyperlink r:id="rId550" ref="K238"/>
    <hyperlink r:id="rId551" ref="P238"/>
    <hyperlink r:id="rId552" ref="Q238"/>
    <hyperlink r:id="rId553" ref="K239"/>
    <hyperlink r:id="rId554" location="health" ref="O239"/>
    <hyperlink r:id="rId555" ref="Q239"/>
    <hyperlink r:id="rId556" ref="K240"/>
    <hyperlink r:id="rId557" ref="N240"/>
    <hyperlink r:id="rId558" location="health" ref="O240"/>
    <hyperlink r:id="rId559" ref="Q240"/>
    <hyperlink r:id="rId560" ref="I241"/>
    <hyperlink r:id="rId561" ref="K241"/>
    <hyperlink r:id="rId562" ref="Q241"/>
    <hyperlink r:id="rId563" ref="K242"/>
    <hyperlink r:id="rId564" ref="N242"/>
    <hyperlink r:id="rId565" ref="P242"/>
    <hyperlink r:id="rId566" ref="Q242"/>
    <hyperlink r:id="rId567" ref="K243"/>
    <hyperlink r:id="rId568" ref="N243"/>
    <hyperlink r:id="rId569" ref="P243"/>
    <hyperlink r:id="rId570" ref="Q243"/>
    <hyperlink r:id="rId571" ref="C244"/>
    <hyperlink r:id="rId572" ref="I244"/>
    <hyperlink r:id="rId573" ref="K244"/>
    <hyperlink r:id="rId574" ref="M244"/>
    <hyperlink r:id="rId575" ref="I245"/>
    <hyperlink r:id="rId576" ref="K245"/>
    <hyperlink r:id="rId577" location="health" ref="O245"/>
    <hyperlink r:id="rId578" ref="I246"/>
    <hyperlink r:id="rId579" ref="K246"/>
    <hyperlink r:id="rId580" ref="K247"/>
    <hyperlink r:id="rId581" ref="P247"/>
    <hyperlink r:id="rId582" ref="K248"/>
    <hyperlink r:id="rId583" ref="P248"/>
    <hyperlink r:id="rId584" ref="J249"/>
    <hyperlink r:id="rId585" ref="K249"/>
    <hyperlink r:id="rId586" ref="N249"/>
    <hyperlink r:id="rId587" ref="K250"/>
    <hyperlink r:id="rId588" ref="K251"/>
    <hyperlink r:id="rId589" location="health" ref="O251"/>
    <hyperlink r:id="rId590" ref="J252"/>
    <hyperlink r:id="rId591" ref="K252"/>
    <hyperlink r:id="rId592" ref="N252"/>
    <hyperlink r:id="rId593" ref="J253"/>
    <hyperlink r:id="rId594" ref="K253"/>
    <hyperlink r:id="rId595" ref="N253"/>
    <hyperlink r:id="rId596" ref="I254"/>
    <hyperlink r:id="rId597" ref="K254"/>
    <hyperlink r:id="rId598" ref="I255"/>
    <hyperlink r:id="rId599" ref="K255"/>
    <hyperlink r:id="rId600" ref="K256"/>
    <hyperlink r:id="rId601" ref="P256"/>
    <hyperlink r:id="rId602" ref="K257"/>
    <hyperlink r:id="rId603" ref="P257"/>
    <hyperlink r:id="rId604" ref="K258"/>
    <hyperlink r:id="rId605" ref="Q258"/>
    <hyperlink r:id="rId606" ref="L259"/>
    <hyperlink r:id="rId607" ref="K260"/>
    <hyperlink r:id="rId608" ref="K261"/>
    <hyperlink r:id="rId609" ref="K262"/>
    <hyperlink r:id="rId610" ref="K263"/>
    <hyperlink r:id="rId611" ref="K264"/>
    <hyperlink r:id="rId612" ref="I265"/>
    <hyperlink r:id="rId613" ref="I266"/>
    <hyperlink r:id="rId614" ref="I269"/>
    <hyperlink r:id="rId615" ref="K269"/>
    <hyperlink r:id="rId616" ref="N269"/>
    <hyperlink r:id="rId617" ref="Q269"/>
    <hyperlink r:id="rId618" ref="K270"/>
    <hyperlink r:id="rId619" ref="L270"/>
    <hyperlink r:id="rId620" ref="M270"/>
    <hyperlink r:id="rId621" ref="N270"/>
    <hyperlink r:id="rId622" location="health" ref="O270"/>
    <hyperlink r:id="rId623" ref="L271"/>
    <hyperlink r:id="rId624" ref="N271"/>
    <hyperlink r:id="rId625" ref="Q271"/>
    <hyperlink r:id="rId626" ref="I272"/>
    <hyperlink r:id="rId627" ref="K272"/>
    <hyperlink r:id="rId628" ref="Q272"/>
    <hyperlink r:id="rId629" ref="J273"/>
    <hyperlink r:id="rId630" ref="K273"/>
    <hyperlink r:id="rId631" ref="N273"/>
    <hyperlink r:id="rId632" ref="L274"/>
    <hyperlink r:id="rId633" ref="N274"/>
    <hyperlink r:id="rId634" ref="I275"/>
    <hyperlink r:id="rId635" ref="K275"/>
    <hyperlink r:id="rId636" ref="I276"/>
    <hyperlink r:id="rId637" ref="N277"/>
    <hyperlink r:id="rId638" ref="Q277"/>
    <hyperlink r:id="rId639" ref="I278"/>
    <hyperlink r:id="rId640" ref="Q278"/>
    <hyperlink r:id="rId641" ref="C279"/>
    <hyperlink r:id="rId642" ref="I279"/>
    <hyperlink r:id="rId643" location="health" ref="O279"/>
    <hyperlink r:id="rId644" ref="N280"/>
    <hyperlink r:id="rId645" ref="C281"/>
    <hyperlink r:id="rId646" ref="I281"/>
    <hyperlink r:id="rId647" ref="N281"/>
    <hyperlink r:id="rId648" ref="C282"/>
    <hyperlink r:id="rId649" ref="I282"/>
    <hyperlink r:id="rId650" ref="N282"/>
    <hyperlink r:id="rId651" ref="N283"/>
    <hyperlink r:id="rId652" ref="K284"/>
    <hyperlink r:id="rId653" ref="I285"/>
    <hyperlink r:id="rId654" ref="K285"/>
    <hyperlink r:id="rId655" ref="P286"/>
    <hyperlink r:id="rId656" ref="I287"/>
    <hyperlink r:id="rId657" ref="J288"/>
    <hyperlink r:id="rId658" ref="L288"/>
    <hyperlink r:id="rId659" ref="I289"/>
    <hyperlink r:id="rId660" ref="N289"/>
    <hyperlink r:id="rId661" ref="I290"/>
    <hyperlink r:id="rId662" ref="N290"/>
    <hyperlink r:id="rId663" ref="J291"/>
    <hyperlink r:id="rId664" ref="N291"/>
    <hyperlink r:id="rId665" ref="J292"/>
    <hyperlink r:id="rId666" ref="K292"/>
    <hyperlink r:id="rId667" ref="C293"/>
    <hyperlink r:id="rId668" ref="I293"/>
    <hyperlink r:id="rId669" ref="C294"/>
    <hyperlink r:id="rId670" ref="I294"/>
    <hyperlink r:id="rId671" ref="N295"/>
    <hyperlink r:id="rId672" ref="C296"/>
    <hyperlink r:id="rId673" ref="I296"/>
    <hyperlink r:id="rId674" location="health" ref="O297"/>
    <hyperlink r:id="rId675" ref="N298"/>
    <hyperlink r:id="rId676" ref="N299"/>
    <hyperlink r:id="rId677" ref="N300"/>
    <hyperlink r:id="rId678" ref="N301"/>
    <hyperlink r:id="rId679" location="health" ref="O302"/>
    <hyperlink r:id="rId680" location="health" ref="O303"/>
    <hyperlink r:id="rId681" ref="N307"/>
    <hyperlink r:id="rId682" ref="I309"/>
    <hyperlink r:id="rId683" ref="I311"/>
    <hyperlink r:id="rId684" ref="I312"/>
    <hyperlink r:id="rId685" ref="N314"/>
    <hyperlink r:id="rId686" ref="J315"/>
    <hyperlink r:id="rId687" ref="Q316"/>
    <hyperlink r:id="rId688" ref="Q318"/>
    <hyperlink r:id="rId689" ref="N319"/>
    <hyperlink r:id="rId690" ref="N320"/>
    <hyperlink r:id="rId691" ref="P321"/>
    <hyperlink r:id="rId692" ref="J322"/>
    <hyperlink r:id="rId693" ref="J323"/>
    <hyperlink r:id="rId694" ref="K324"/>
    <hyperlink r:id="rId695" ref="I325"/>
    <hyperlink r:id="rId696" ref="L326"/>
    <hyperlink r:id="rId697" ref="P328"/>
    <hyperlink r:id="rId698" ref="P329"/>
    <hyperlink r:id="rId699" ref="N330"/>
    <hyperlink r:id="rId700" ref="C333"/>
    <hyperlink r:id="rId701" ref="I333"/>
    <hyperlink r:id="rId702" ref="J333"/>
    <hyperlink r:id="rId703" ref="K333"/>
    <hyperlink r:id="rId704" location="health" ref="O333"/>
    <hyperlink r:id="rId705" ref="L334"/>
    <hyperlink r:id="rId706" ref="N334"/>
    <hyperlink r:id="rId707" ref="Q334"/>
    <hyperlink r:id="rId708" ref="J335"/>
    <hyperlink r:id="rId709" ref="K335"/>
    <hyperlink r:id="rId710" ref="L335"/>
    <hyperlink r:id="rId711" ref="N335"/>
    <hyperlink r:id="rId712" ref="O335"/>
    <hyperlink r:id="rId713" ref="J336"/>
    <hyperlink r:id="rId714" ref="K336"/>
    <hyperlink r:id="rId715" ref="P336"/>
    <hyperlink r:id="rId716" ref="I337"/>
    <hyperlink r:id="rId717" ref="J337"/>
    <hyperlink r:id="rId718" location="health" ref="O337"/>
    <hyperlink r:id="rId719" ref="I338"/>
    <hyperlink r:id="rId720" ref="J338"/>
    <hyperlink r:id="rId721" location="health" ref="O338"/>
    <hyperlink r:id="rId722" ref="K339"/>
    <hyperlink r:id="rId723" ref="K340"/>
    <hyperlink r:id="rId724" ref="K341"/>
    <hyperlink r:id="rId725" ref="K342"/>
    <hyperlink r:id="rId726" ref="P342"/>
    <hyperlink r:id="rId727" ref="J343"/>
    <hyperlink r:id="rId728" ref="P343"/>
    <hyperlink r:id="rId729" ref="J344"/>
    <hyperlink r:id="rId730" ref="N344"/>
    <hyperlink r:id="rId731" ref="J345"/>
    <hyperlink r:id="rId732" ref="N345"/>
    <hyperlink r:id="rId733" ref="J350"/>
    <hyperlink r:id="rId734" ref="N350"/>
    <hyperlink r:id="rId735" ref="J351"/>
    <hyperlink r:id="rId736" ref="N351"/>
    <hyperlink r:id="rId737" ref="K352"/>
    <hyperlink r:id="rId738" ref="L352"/>
    <hyperlink r:id="rId739" location="health" ref="O353"/>
    <hyperlink r:id="rId740" ref="L354"/>
    <hyperlink r:id="rId741" ref="K355"/>
    <hyperlink r:id="rId742" ref="J359"/>
    <hyperlink r:id="rId743" ref="J360"/>
    <hyperlink r:id="rId744" ref="N361"/>
    <hyperlink r:id="rId745" ref="N362"/>
    <hyperlink r:id="rId746" ref="I364"/>
    <hyperlink r:id="rId747" ref="P365"/>
    <hyperlink r:id="rId748" ref="J366"/>
    <hyperlink r:id="rId749" ref="J367"/>
    <hyperlink r:id="rId750" ref="L368"/>
    <hyperlink r:id="rId751" ref="K370"/>
    <hyperlink r:id="rId752" ref="K371"/>
    <hyperlink r:id="rId753" ref="K372"/>
    <hyperlink r:id="rId754" ref="L373"/>
    <hyperlink r:id="rId755" ref="K374"/>
    <hyperlink r:id="rId756" ref="J375"/>
    <hyperlink r:id="rId757" ref="P376"/>
    <hyperlink r:id="rId758" ref="I379"/>
    <hyperlink r:id="rId759" ref="J379"/>
    <hyperlink r:id="rId760" ref="K379"/>
    <hyperlink r:id="rId761" ref="M379"/>
    <hyperlink r:id="rId762" ref="N379"/>
    <hyperlink r:id="rId763" ref="Q379"/>
    <hyperlink r:id="rId764" ref="J380"/>
    <hyperlink r:id="rId765" ref="K380"/>
    <hyperlink r:id="rId766" ref="L380"/>
    <hyperlink r:id="rId767" ref="N380"/>
    <hyperlink r:id="rId768" ref="I381"/>
    <hyperlink r:id="rId769" ref="J381"/>
    <hyperlink r:id="rId770" ref="K381"/>
    <hyperlink r:id="rId771" ref="L381"/>
    <hyperlink r:id="rId772" ref="N381"/>
    <hyperlink r:id="rId773" ref="J382"/>
    <hyperlink r:id="rId774" ref="K382"/>
    <hyperlink r:id="rId775" ref="L382"/>
    <hyperlink r:id="rId776" ref="N382"/>
    <hyperlink r:id="rId777" ref="Q382"/>
    <hyperlink r:id="rId778" ref="I383"/>
    <hyperlink r:id="rId779" ref="J383"/>
    <hyperlink r:id="rId780" ref="L383"/>
    <hyperlink r:id="rId781" ref="N383"/>
    <hyperlink r:id="rId782" ref="L384"/>
    <hyperlink r:id="rId783" ref="N384"/>
    <hyperlink r:id="rId784" ref="L385"/>
    <hyperlink r:id="rId785" ref="N385"/>
    <hyperlink r:id="rId786" ref="N386"/>
    <hyperlink r:id="rId787" ref="Q386"/>
    <hyperlink r:id="rId788" ref="J387"/>
    <hyperlink r:id="rId789" ref="K387"/>
    <hyperlink r:id="rId790" ref="J388"/>
    <hyperlink r:id="rId791" ref="K388"/>
    <hyperlink r:id="rId792" ref="J389"/>
    <hyperlink r:id="rId793" ref="K389"/>
    <hyperlink r:id="rId794" ref="J390"/>
    <hyperlink r:id="rId795" ref="K390"/>
    <hyperlink r:id="rId796" ref="K392"/>
    <hyperlink r:id="rId797" ref="I400"/>
    <hyperlink r:id="rId798" location="health" ref="O400"/>
    <hyperlink r:id="rId799" ref="I401"/>
    <hyperlink r:id="rId800" location="health" ref="O401"/>
    <hyperlink r:id="rId801" ref="J402"/>
    <hyperlink r:id="rId802" ref="P402"/>
    <hyperlink r:id="rId803" ref="P403"/>
    <hyperlink r:id="rId804" ref="I408"/>
    <hyperlink r:id="rId805" ref="P409"/>
    <hyperlink r:id="rId806" ref="J410"/>
    <hyperlink r:id="rId807" ref="I411"/>
    <hyperlink r:id="rId808" ref="P412"/>
    <hyperlink r:id="rId809" ref="P413"/>
    <hyperlink r:id="rId810" ref="P414"/>
    <hyperlink r:id="rId811" ref="P416"/>
    <hyperlink r:id="rId812" ref="J419"/>
    <hyperlink r:id="rId813" ref="K419"/>
    <hyperlink r:id="rId814" ref="N419"/>
    <hyperlink r:id="rId815" ref="J420"/>
    <hyperlink r:id="rId816" ref="K420"/>
    <hyperlink r:id="rId817" ref="P420"/>
    <hyperlink r:id="rId818" ref="J421"/>
    <hyperlink r:id="rId819" ref="N421"/>
    <hyperlink r:id="rId820" ref="Q421"/>
    <hyperlink r:id="rId821" ref="J422"/>
    <hyperlink r:id="rId822" ref="N422"/>
    <hyperlink r:id="rId823" ref="P422"/>
    <hyperlink r:id="rId824" ref="P423"/>
    <hyperlink r:id="rId825" ref="P424"/>
    <hyperlink r:id="rId826" ref="J425"/>
    <hyperlink r:id="rId827" ref="P425"/>
    <hyperlink r:id="rId828" ref="J426"/>
    <hyperlink r:id="rId829" ref="P426"/>
    <hyperlink r:id="rId830" ref="J427"/>
    <hyperlink r:id="rId831" ref="P427"/>
    <hyperlink r:id="rId832" ref="J428"/>
    <hyperlink r:id="rId833" ref="P428"/>
    <hyperlink r:id="rId834" ref="J429"/>
    <hyperlink r:id="rId835" ref="N429"/>
    <hyperlink r:id="rId836" ref="J430"/>
    <hyperlink r:id="rId837" ref="N430"/>
    <hyperlink r:id="rId838" ref="P432"/>
    <hyperlink r:id="rId839" ref="J436"/>
    <hyperlink r:id="rId840" ref="N436"/>
    <hyperlink r:id="rId841" ref="J437"/>
    <hyperlink r:id="rId842" ref="N437"/>
    <hyperlink r:id="rId843" ref="J438"/>
    <hyperlink r:id="rId844" ref="N438"/>
    <hyperlink r:id="rId845" ref="N441"/>
    <hyperlink r:id="rId846" ref="I442"/>
    <hyperlink r:id="rId847" ref="P443"/>
    <hyperlink r:id="rId848" ref="J445"/>
    <hyperlink r:id="rId849" ref="J447"/>
    <hyperlink r:id="rId850" ref="J448"/>
    <hyperlink r:id="rId851" ref="J449"/>
    <hyperlink r:id="rId852" ref="J450"/>
    <hyperlink r:id="rId853" ref="J451"/>
    <hyperlink r:id="rId854" ref="K452"/>
    <hyperlink r:id="rId855" ref="K453"/>
    <hyperlink r:id="rId856" ref="I456"/>
    <hyperlink r:id="rId857" ref="K456"/>
    <hyperlink r:id="rId858" ref="L456"/>
    <hyperlink r:id="rId859" ref="M456"/>
    <hyperlink r:id="rId860" ref="N456"/>
    <hyperlink r:id="rId861" ref="C457"/>
    <hyperlink r:id="rId862" ref="I457"/>
    <hyperlink r:id="rId863" ref="J457"/>
    <hyperlink r:id="rId864" ref="K457"/>
    <hyperlink r:id="rId865" location="health" ref="O457"/>
    <hyperlink r:id="rId866" ref="C458"/>
    <hyperlink r:id="rId867" ref="I458"/>
    <hyperlink r:id="rId868" ref="J458"/>
    <hyperlink r:id="rId869" ref="K458"/>
    <hyperlink r:id="rId870" location="health" ref="O458"/>
    <hyperlink r:id="rId871" ref="C459"/>
    <hyperlink r:id="rId872" ref="I459"/>
    <hyperlink r:id="rId873" ref="K459"/>
    <hyperlink r:id="rId874" ref="L459"/>
    <hyperlink r:id="rId875" location="health" ref="O459"/>
    <hyperlink r:id="rId876" ref="I460"/>
    <hyperlink r:id="rId877" ref="J460"/>
    <hyperlink r:id="rId878" ref="K460"/>
    <hyperlink r:id="rId879" ref="L460"/>
    <hyperlink r:id="rId880" ref="M460"/>
    <hyperlink r:id="rId881" ref="I461"/>
    <hyperlink r:id="rId882" ref="J461"/>
    <hyperlink r:id="rId883" ref="K461"/>
    <hyperlink r:id="rId884" ref="L461"/>
    <hyperlink r:id="rId885" ref="I462"/>
    <hyperlink r:id="rId886" ref="K462"/>
    <hyperlink r:id="rId887" ref="L462"/>
    <hyperlink r:id="rId888" ref="M462"/>
    <hyperlink r:id="rId889" ref="I463"/>
    <hyperlink r:id="rId890" ref="J463"/>
    <hyperlink r:id="rId891" location="health" ref="O463"/>
    <hyperlink r:id="rId892" ref="I464"/>
    <hyperlink r:id="rId893" ref="J464"/>
    <hyperlink r:id="rId894" location="health" ref="O464"/>
    <hyperlink r:id="rId895" ref="J465"/>
    <hyperlink r:id="rId896" ref="K465"/>
    <hyperlink r:id="rId897" ref="L465"/>
    <hyperlink r:id="rId898" ref="M465"/>
    <hyperlink r:id="rId899" ref="K466"/>
    <hyperlink r:id="rId900" ref="L467"/>
    <hyperlink r:id="rId901" ref="N467"/>
    <hyperlink r:id="rId902" ref="J468"/>
    <hyperlink r:id="rId903" ref="K468"/>
    <hyperlink r:id="rId904" ref="M468"/>
    <hyperlink r:id="rId905" ref="K469"/>
    <hyperlink r:id="rId906" ref="K470"/>
    <hyperlink r:id="rId907" ref="K471"/>
    <hyperlink r:id="rId908" ref="C472"/>
    <hyperlink r:id="rId909" ref="I472"/>
    <hyperlink r:id="rId910" ref="N472"/>
    <hyperlink r:id="rId911" ref="C473"/>
    <hyperlink r:id="rId912" ref="I473"/>
    <hyperlink r:id="rId913" ref="N473"/>
    <hyperlink r:id="rId914" ref="P474"/>
    <hyperlink r:id="rId915" ref="J476"/>
    <hyperlink r:id="rId916" ref="K476"/>
    <hyperlink r:id="rId917" ref="J477"/>
    <hyperlink r:id="rId918" ref="K477"/>
    <hyperlink r:id="rId919" ref="J478"/>
    <hyperlink r:id="rId920" ref="K478"/>
    <hyperlink r:id="rId921" ref="J489"/>
    <hyperlink r:id="rId922" ref="N489"/>
    <hyperlink r:id="rId923" ref="J490"/>
    <hyperlink r:id="rId924" ref="L490"/>
    <hyperlink r:id="rId925" ref="K491"/>
    <hyperlink r:id="rId926" ref="L491"/>
    <hyperlink r:id="rId927" ref="K492"/>
    <hyperlink r:id="rId928" ref="L492"/>
    <hyperlink r:id="rId929" ref="K493"/>
    <hyperlink r:id="rId930" ref="L493"/>
    <hyperlink r:id="rId931" ref="C494"/>
    <hyperlink r:id="rId932" ref="I494"/>
    <hyperlink r:id="rId933" location="health" ref="O495"/>
    <hyperlink r:id="rId934" ref="N496"/>
    <hyperlink r:id="rId935" ref="I497"/>
    <hyperlink r:id="rId936" ref="J498"/>
    <hyperlink r:id="rId937" ref="K500"/>
    <hyperlink r:id="rId938" ref="K501"/>
    <hyperlink r:id="rId939" ref="L502"/>
    <hyperlink r:id="rId940" ref="I503"/>
    <hyperlink r:id="rId941" ref="I504"/>
    <hyperlink r:id="rId942" ref="J505"/>
    <hyperlink r:id="rId943" ref="P506"/>
    <hyperlink r:id="rId944" ref="P507"/>
    <hyperlink r:id="rId945" ref="P508"/>
    <hyperlink r:id="rId946" ref="P509"/>
    <hyperlink r:id="rId947" ref="J510"/>
    <hyperlink r:id="rId948" ref="J511"/>
    <hyperlink r:id="rId949" ref="J512"/>
    <hyperlink r:id="rId950" ref="I515"/>
    <hyperlink r:id="rId951" ref="J515"/>
    <hyperlink r:id="rId952" ref="L515"/>
    <hyperlink r:id="rId953" ref="N515"/>
    <hyperlink r:id="rId954" ref="J516"/>
    <hyperlink r:id="rId955" ref="K516"/>
    <hyperlink r:id="rId956" ref="L516"/>
    <hyperlink r:id="rId957" ref="N516"/>
    <hyperlink r:id="rId958" ref="P516"/>
    <hyperlink r:id="rId959" ref="Q516"/>
    <hyperlink r:id="rId960" ref="I517"/>
    <hyperlink r:id="rId961" ref="K517"/>
    <hyperlink r:id="rId962" ref="L517"/>
    <hyperlink r:id="rId963" ref="N517"/>
    <hyperlink r:id="rId964" ref="I518"/>
    <hyperlink r:id="rId965" ref="K518"/>
    <hyperlink r:id="rId966" ref="L518"/>
    <hyperlink r:id="rId967" ref="N518"/>
    <hyperlink r:id="rId968" location="health" ref="O518"/>
    <hyperlink r:id="rId969" ref="Q518"/>
    <hyperlink r:id="rId970" ref="J519"/>
    <hyperlink r:id="rId971" ref="K519"/>
    <hyperlink r:id="rId972" ref="N519"/>
    <hyperlink r:id="rId973" ref="P519"/>
    <hyperlink r:id="rId974" ref="Q519"/>
    <hyperlink r:id="rId975" ref="I520"/>
    <hyperlink r:id="rId976" ref="J520"/>
    <hyperlink r:id="rId977" ref="K520"/>
    <hyperlink r:id="rId978" ref="M520"/>
    <hyperlink r:id="rId979" ref="J521"/>
    <hyperlink r:id="rId980" ref="K521"/>
    <hyperlink r:id="rId981" ref="N521"/>
    <hyperlink r:id="rId982" ref="P521"/>
    <hyperlink r:id="rId983" ref="Q521"/>
    <hyperlink r:id="rId984" ref="I522"/>
    <hyperlink r:id="rId985" ref="J522"/>
    <hyperlink r:id="rId986" ref="K522"/>
    <hyperlink r:id="rId987" ref="L522"/>
    <hyperlink r:id="rId988" location="health" ref="O522"/>
    <hyperlink r:id="rId989" ref="I523"/>
    <hyperlink r:id="rId990" ref="M523"/>
    <hyperlink r:id="rId991" location="health" ref="O523"/>
    <hyperlink r:id="rId992" ref="Q523"/>
    <hyperlink r:id="rId993" ref="J524"/>
    <hyperlink r:id="rId994" ref="N524"/>
    <hyperlink r:id="rId995" ref="Q524"/>
    <hyperlink r:id="rId996" ref="I525"/>
    <hyperlink r:id="rId997" ref="K525"/>
    <hyperlink r:id="rId998" ref="I526"/>
    <hyperlink r:id="rId999" ref="K526"/>
    <hyperlink r:id="rId1000" ref="Q526"/>
    <hyperlink r:id="rId1001" ref="I527"/>
    <hyperlink r:id="rId1002" location="health" ref="O527"/>
    <hyperlink r:id="rId1003" ref="Q527"/>
    <hyperlink r:id="rId1004" ref="I528"/>
    <hyperlink r:id="rId1005" ref="M528"/>
    <hyperlink r:id="rId1006" location="health" ref="O528"/>
    <hyperlink r:id="rId1007" ref="I529"/>
    <hyperlink r:id="rId1008" ref="I530"/>
    <hyperlink r:id="rId1009" ref="I531"/>
    <hyperlink r:id="rId1010" ref="J533"/>
    <hyperlink r:id="rId1011" ref="K533"/>
    <hyperlink r:id="rId1012" ref="L533"/>
    <hyperlink r:id="rId1013" ref="P534"/>
    <hyperlink r:id="rId1014" ref="I535"/>
    <hyperlink r:id="rId1015" location="health" ref="O535"/>
    <hyperlink r:id="rId1016" ref="I536"/>
    <hyperlink r:id="rId1017" ref="N536"/>
    <hyperlink r:id="rId1018" ref="J537"/>
    <hyperlink r:id="rId1019" ref="K537"/>
    <hyperlink r:id="rId1020" ref="I538"/>
    <hyperlink r:id="rId1021" ref="J539"/>
    <hyperlink r:id="rId1022" ref="P539"/>
    <hyperlink r:id="rId1023" ref="J540"/>
    <hyperlink r:id="rId1024" ref="K540"/>
    <hyperlink r:id="rId1025" ref="J541"/>
    <hyperlink r:id="rId1026" ref="K541"/>
    <hyperlink r:id="rId1027" ref="J542"/>
    <hyperlink r:id="rId1028" ref="K542"/>
    <hyperlink r:id="rId1029" ref="J543"/>
    <hyperlink r:id="rId1030" ref="K543"/>
    <hyperlink r:id="rId1031" ref="J544"/>
    <hyperlink r:id="rId1032" ref="K544"/>
    <hyperlink r:id="rId1033" ref="J545"/>
    <hyperlink r:id="rId1034" ref="K545"/>
    <hyperlink r:id="rId1035" ref="J546"/>
    <hyperlink r:id="rId1036" ref="K546"/>
    <hyperlink r:id="rId1037" ref="K547"/>
    <hyperlink r:id="rId1038" ref="N547"/>
    <hyperlink r:id="rId1039" ref="K548"/>
    <hyperlink r:id="rId1040" ref="N548"/>
    <hyperlink r:id="rId1041" ref="K549"/>
    <hyperlink r:id="rId1042" ref="N549"/>
    <hyperlink r:id="rId1043" ref="C551"/>
    <hyperlink r:id="rId1044" ref="I551"/>
    <hyperlink r:id="rId1045" ref="I552"/>
    <hyperlink r:id="rId1046" ref="I553"/>
    <hyperlink r:id="rId1047" ref="I554"/>
    <hyperlink r:id="rId1048" ref="I555"/>
    <hyperlink r:id="rId1049" ref="I556"/>
    <hyperlink r:id="rId1050" ref="I557"/>
    <hyperlink r:id="rId1051" ref="I558"/>
    <hyperlink r:id="rId1052" ref="I559"/>
    <hyperlink r:id="rId1053" ref="I560"/>
    <hyperlink r:id="rId1054" ref="I561"/>
    <hyperlink r:id="rId1055" ref="I562"/>
    <hyperlink r:id="rId1056" ref="J563"/>
    <hyperlink r:id="rId1057" ref="J564"/>
    <hyperlink r:id="rId1058" ref="J565"/>
    <hyperlink r:id="rId1059" ref="I566"/>
    <hyperlink r:id="rId1060" ref="K568"/>
    <hyperlink r:id="rId1061" ref="K569"/>
    <hyperlink r:id="rId1062" ref="K570"/>
    <hyperlink r:id="rId1063" ref="K571"/>
    <hyperlink r:id="rId1064" ref="L572"/>
    <hyperlink r:id="rId1065" ref="K573"/>
    <hyperlink r:id="rId1066" ref="J574"/>
    <hyperlink r:id="rId1067" ref="P575"/>
    <hyperlink r:id="rId1068" ref="I578"/>
    <hyperlink r:id="rId1069" ref="J578"/>
    <hyperlink r:id="rId1070" ref="K578"/>
    <hyperlink r:id="rId1071" ref="M578"/>
    <hyperlink r:id="rId1072" ref="K579"/>
    <hyperlink r:id="rId1073" ref="P579"/>
    <hyperlink r:id="rId1074" ref="Q579"/>
    <hyperlink r:id="rId1075" ref="I580"/>
    <hyperlink r:id="rId1076" ref="J580"/>
    <hyperlink r:id="rId1077" ref="K580"/>
    <hyperlink r:id="rId1078" ref="L580"/>
    <hyperlink r:id="rId1079" location="health" ref="O580"/>
    <hyperlink r:id="rId1080" ref="I581"/>
    <hyperlink r:id="rId1081" ref="K581"/>
    <hyperlink r:id="rId1082" ref="J582"/>
    <hyperlink r:id="rId1083" ref="N582"/>
    <hyperlink r:id="rId1084" ref="P582"/>
    <hyperlink r:id="rId1085" ref="J583"/>
    <hyperlink r:id="rId1086" ref="K583"/>
    <hyperlink r:id="rId1087" ref="L583"/>
    <hyperlink r:id="rId1088" ref="I584"/>
    <hyperlink r:id="rId1089" ref="K584"/>
    <hyperlink r:id="rId1090" location="health" ref="O584"/>
    <hyperlink r:id="rId1091" ref="I585"/>
    <hyperlink r:id="rId1092" ref="I586"/>
    <hyperlink r:id="rId1093" ref="I587"/>
    <hyperlink r:id="rId1094" ref="J589"/>
    <hyperlink r:id="rId1095" ref="K589"/>
    <hyperlink r:id="rId1096" ref="L589"/>
    <hyperlink r:id="rId1097" ref="I590"/>
    <hyperlink r:id="rId1098" location="health" ref="O590"/>
    <hyperlink r:id="rId1099" ref="I591"/>
    <hyperlink r:id="rId1100" location="health" ref="O591"/>
    <hyperlink r:id="rId1101" ref="J592"/>
    <hyperlink r:id="rId1102" ref="P592"/>
    <hyperlink r:id="rId1103" ref="J593"/>
    <hyperlink r:id="rId1104" ref="P593"/>
    <hyperlink r:id="rId1105" ref="J594"/>
    <hyperlink r:id="rId1106" ref="P594"/>
    <hyperlink r:id="rId1107" ref="J595"/>
    <hyperlink r:id="rId1108" ref="N595"/>
    <hyperlink r:id="rId1109" ref="J596"/>
    <hyperlink r:id="rId1110" ref="N596"/>
    <hyperlink r:id="rId1111" ref="J597"/>
    <hyperlink r:id="rId1112" ref="K597"/>
    <hyperlink r:id="rId1113" ref="J598"/>
    <hyperlink r:id="rId1114" ref="K598"/>
    <hyperlink r:id="rId1115" ref="J599"/>
    <hyperlink r:id="rId1116" ref="K599"/>
    <hyperlink r:id="rId1117" ref="J602"/>
    <hyperlink r:id="rId1118" ref="N602"/>
    <hyperlink r:id="rId1119" ref="J603"/>
    <hyperlink r:id="rId1120" ref="N603"/>
    <hyperlink r:id="rId1121" ref="J604"/>
    <hyperlink r:id="rId1122" ref="N604"/>
    <hyperlink r:id="rId1123" ref="J605"/>
    <hyperlink r:id="rId1124" ref="L605"/>
    <hyperlink r:id="rId1125" ref="I608"/>
    <hyperlink r:id="rId1126" ref="I609"/>
    <hyperlink r:id="rId1127" ref="I610"/>
    <hyperlink r:id="rId1128" ref="I611"/>
    <hyperlink r:id="rId1129" ref="J613"/>
    <hyperlink r:id="rId1130" ref="J615"/>
    <hyperlink r:id="rId1131" ref="J616"/>
    <hyperlink r:id="rId1132" ref="J617"/>
    <hyperlink r:id="rId1133" ref="J618"/>
    <hyperlink r:id="rId1134" ref="L619"/>
    <hyperlink r:id="rId1135" ref="I620"/>
    <hyperlink r:id="rId1136" ref="K621"/>
    <hyperlink r:id="rId1137" ref="K622"/>
    <hyperlink r:id="rId1138" ref="L623"/>
    <hyperlink r:id="rId1139" ref="I626"/>
    <hyperlink r:id="rId1140" ref="K626"/>
    <hyperlink r:id="rId1141" ref="L626"/>
    <hyperlink r:id="rId1142" ref="N626"/>
    <hyperlink r:id="rId1143" location="health" ref="O626"/>
    <hyperlink r:id="rId1144" ref="J627"/>
    <hyperlink r:id="rId1145" ref="K627"/>
    <hyperlink r:id="rId1146" ref="L627"/>
    <hyperlink r:id="rId1147" ref="N627"/>
    <hyperlink r:id="rId1148" ref="I628"/>
    <hyperlink r:id="rId1149" ref="K628"/>
    <hyperlink r:id="rId1150" ref="L628"/>
    <hyperlink r:id="rId1151" ref="N628"/>
    <hyperlink r:id="rId1152" location="health" ref="O628"/>
    <hyperlink r:id="rId1153" ref="J629"/>
    <hyperlink r:id="rId1154" ref="K629"/>
    <hyperlink r:id="rId1155" ref="L629"/>
    <hyperlink r:id="rId1156" ref="N629"/>
    <hyperlink r:id="rId1157" ref="P629"/>
    <hyperlink r:id="rId1158" ref="Q629"/>
    <hyperlink r:id="rId1159" ref="I630"/>
    <hyperlink r:id="rId1160" ref="K630"/>
    <hyperlink r:id="rId1161" ref="L630"/>
    <hyperlink r:id="rId1162" ref="N630"/>
    <hyperlink r:id="rId1163" ref="I631"/>
    <hyperlink r:id="rId1164" ref="K631"/>
    <hyperlink r:id="rId1165" ref="N631"/>
    <hyperlink r:id="rId1166" ref="Q631"/>
    <hyperlink r:id="rId1167" ref="I632"/>
    <hyperlink r:id="rId1168" ref="K632"/>
    <hyperlink r:id="rId1169" ref="L632"/>
    <hyperlink r:id="rId1170" ref="N632"/>
    <hyperlink r:id="rId1171" location="health" ref="O632"/>
    <hyperlink r:id="rId1172" ref="Q632"/>
    <hyperlink r:id="rId1173" ref="I633"/>
    <hyperlink r:id="rId1174" ref="K633"/>
    <hyperlink r:id="rId1175" ref="N633"/>
    <hyperlink r:id="rId1176" ref="Q633"/>
    <hyperlink r:id="rId1177" ref="K634"/>
    <hyperlink r:id="rId1178" ref="L634"/>
    <hyperlink r:id="rId1179" ref="M634"/>
    <hyperlink r:id="rId1180" ref="N634"/>
    <hyperlink r:id="rId1181" location="health" ref="O634"/>
    <hyperlink r:id="rId1182" ref="I635"/>
    <hyperlink r:id="rId1183" ref="K635"/>
    <hyperlink r:id="rId1184" ref="Q635"/>
    <hyperlink r:id="rId1185" ref="I636"/>
    <hyperlink r:id="rId1186" ref="M636"/>
    <hyperlink r:id="rId1187" location="health" ref="O636"/>
    <hyperlink r:id="rId1188" ref="Q636"/>
    <hyperlink r:id="rId1189" ref="J637"/>
    <hyperlink r:id="rId1190" ref="N637"/>
    <hyperlink r:id="rId1191" ref="Q637"/>
    <hyperlink r:id="rId1192" ref="I638"/>
    <hyperlink r:id="rId1193" ref="K638"/>
    <hyperlink r:id="rId1194" ref="I639"/>
    <hyperlink r:id="rId1195" ref="J639"/>
    <hyperlink r:id="rId1196" location="health" ref="O639"/>
    <hyperlink r:id="rId1197" ref="I640"/>
    <hyperlink r:id="rId1198" ref="J640"/>
    <hyperlink r:id="rId1199" location="health" ref="O640"/>
    <hyperlink r:id="rId1200" ref="K641"/>
    <hyperlink r:id="rId1201" ref="L642"/>
    <hyperlink r:id="rId1202" ref="N642"/>
    <hyperlink r:id="rId1203" ref="I643"/>
    <hyperlink r:id="rId1204" ref="K643"/>
    <hyperlink r:id="rId1205" ref="I644"/>
    <hyperlink r:id="rId1206" ref="N645"/>
    <hyperlink r:id="rId1207" ref="Q645"/>
    <hyperlink r:id="rId1208" ref="I646"/>
    <hyperlink r:id="rId1209" ref="Q646"/>
    <hyperlink r:id="rId1210" ref="I647"/>
    <hyperlink r:id="rId1211" location="health" ref="O647"/>
    <hyperlink r:id="rId1212" ref="Q647"/>
    <hyperlink r:id="rId1213" ref="K649"/>
    <hyperlink r:id="rId1214" ref="K650"/>
    <hyperlink r:id="rId1215" ref="K651"/>
    <hyperlink r:id="rId1216" ref="I652"/>
    <hyperlink r:id="rId1217" ref="K652"/>
    <hyperlink r:id="rId1218" ref="K653"/>
    <hyperlink r:id="rId1219" ref="Q653"/>
    <hyperlink r:id="rId1220" ref="P654"/>
    <hyperlink r:id="rId1221" ref="I655"/>
    <hyperlink r:id="rId1222" location="health" ref="O655"/>
    <hyperlink r:id="rId1223" ref="I656"/>
    <hyperlink r:id="rId1224" location="health" ref="O656"/>
    <hyperlink r:id="rId1225" ref="I657"/>
    <hyperlink r:id="rId1226" ref="I658"/>
    <hyperlink r:id="rId1227" ref="J659"/>
    <hyperlink r:id="rId1228" ref="P659"/>
    <hyperlink r:id="rId1229" ref="P662"/>
    <hyperlink r:id="rId1230" ref="I664"/>
    <hyperlink r:id="rId1231" location="health" ref="O664"/>
    <hyperlink r:id="rId1232" ref="C675"/>
    <hyperlink r:id="rId1233" ref="I675"/>
    <hyperlink r:id="rId1234" ref="N676"/>
    <hyperlink r:id="rId1235" ref="N677"/>
    <hyperlink r:id="rId1236" ref="N678"/>
    <hyperlink r:id="rId1237" ref="N679"/>
    <hyperlink r:id="rId1238" location="health" ref="O680"/>
    <hyperlink r:id="rId1239" location="health" ref="O681"/>
    <hyperlink r:id="rId1240" ref="K682"/>
    <hyperlink r:id="rId1241" ref="K683"/>
    <hyperlink r:id="rId1242" ref="K684"/>
    <hyperlink r:id="rId1243" ref="K685"/>
    <hyperlink r:id="rId1244" ref="L686"/>
    <hyperlink r:id="rId1245" ref="I690"/>
    <hyperlink r:id="rId1246" ref="I692"/>
    <hyperlink r:id="rId1247" ref="I693"/>
    <hyperlink r:id="rId1248" ref="I694"/>
    <hyperlink r:id="rId1249" ref="N696"/>
    <hyperlink r:id="rId1250" ref="J697"/>
    <hyperlink r:id="rId1251" ref="Q699"/>
    <hyperlink r:id="rId1252" ref="I702"/>
    <hyperlink r:id="rId1253" ref="I703"/>
    <hyperlink r:id="rId1254" ref="J704"/>
    <hyperlink r:id="rId1255" ref="L705"/>
    <hyperlink r:id="rId1256" ref="K708"/>
    <hyperlink r:id="rId1257" ref="K709"/>
    <hyperlink r:id="rId1258" ref="P711"/>
    <hyperlink r:id="rId1259" ref="K712"/>
    <hyperlink r:id="rId1260" ref="J713"/>
    <hyperlink r:id="rId1261" ref="P714"/>
    <hyperlink r:id="rId1262" ref="P715"/>
    <hyperlink r:id="rId1263" ref="P716"/>
    <hyperlink r:id="rId1264" ref="J717"/>
    <hyperlink r:id="rId1265" ref="I718"/>
    <hyperlink r:id="rId1266" ref="I720"/>
    <hyperlink r:id="rId1267" ref="L721"/>
    <hyperlink r:id="rId1268" ref="L722"/>
    <hyperlink r:id="rId1269" ref="P724"/>
    <hyperlink r:id="rId1270" ref="P725"/>
    <hyperlink r:id="rId1271" ref="N726"/>
  </hyperlinks>
  <drawing r:id="rId1272"/>
</worksheet>
</file>