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MyLibrary\IIMK Study\Y2Q2-Electives\DSUS\DSUS Assignment\"/>
    </mc:Choice>
  </mc:AlternateContent>
  <bookViews>
    <workbookView xWindow="1704" yWindow="0" windowWidth="26076" windowHeight="15996" tabRatio="958" firstSheet="2" activeTab="3"/>
  </bookViews>
  <sheets>
    <sheet name="TitlePage" sheetId="12" r:id="rId1"/>
    <sheet name="Assign1-AHP" sheetId="1" r:id="rId2"/>
    <sheet name="Assign2-WaitingLine" sheetId="3" r:id="rId3"/>
    <sheet name="Assign3-NetworkFlow" sheetId="10" r:id="rId4"/>
    <sheet name="Assign4-Transition Prob" sheetId="9" r:id="rId5"/>
    <sheet name="Assign5-Formulation" sheetId="18" r:id="rId6"/>
    <sheet name="Assign5-Goal1" sheetId="14" r:id="rId7"/>
    <sheet name="Assign5-Goal2" sheetId="15" r:id="rId8"/>
    <sheet name="Assign5-Goal3" sheetId="16" r:id="rId9"/>
    <sheet name="Assign5-Priortized" sheetId="17" r:id="rId10"/>
    <sheet name="Assign6a-Forecasting" sheetId="5" r:id="rId11"/>
    <sheet name="Assign6b-Regression" sheetId="6" r:id="rId12"/>
    <sheet name="Assign7-ProductMix" sheetId="11" r:id="rId13"/>
  </sheets>
  <externalReferences>
    <externalReference r:id="rId14"/>
    <externalReference r:id="rId15"/>
    <externalReference r:id="rId16"/>
  </externalReferences>
  <definedNames>
    <definedName name="anscount" hidden="1">10</definedName>
    <definedName name="Arrival_rate">[1]THISWORKSHEET!$B$7</definedName>
    <definedName name="changecolor">[2]!changecolor</definedName>
    <definedName name="color_CANCEL">[2]!color_CANCEL</definedName>
    <definedName name="color_DEFAULT">[2]!color_DEFAULT</definedName>
    <definedName name="color_OK">[2]!color_OK</definedName>
    <definedName name="colorlist_change">[2]!colorlist_change</definedName>
    <definedName name="lambda">[1]THISWORKSHEET!$B$7</definedName>
    <definedName name="Question_5_goal_3">[2]!color_OK</definedName>
    <definedName name="Question5goal3">[2]!changecolor</definedName>
    <definedName name="qwa">[2]!colorlist_change</definedName>
    <definedName name="sds">[2]!color_OK</definedName>
    <definedName name="sencount" hidden="1">9</definedName>
    <definedName name="setcolors">[3]!setcolors</definedName>
    <definedName name="solver_adj" localSheetId="3" hidden="1">'Assign3-NetworkFlow'!$B$23:$K$32</definedName>
    <definedName name="solver_adj" localSheetId="12" hidden="1">'Assign7-ProductMix'!$B$13:$D$13</definedName>
    <definedName name="solver_cvg" localSheetId="3" hidden="1">0.0001</definedName>
    <definedName name="solver_cvg" localSheetId="12" hidden="1">0.0001</definedName>
    <definedName name="solver_drv" localSheetId="3" hidden="1">1</definedName>
    <definedName name="solver_drv" localSheetId="12" hidden="1">1</definedName>
    <definedName name="solver_eng" localSheetId="3" hidden="1">1</definedName>
    <definedName name="solver_est" localSheetId="3" hidden="1">1</definedName>
    <definedName name="solver_est" localSheetId="12" hidden="1">1</definedName>
    <definedName name="solver_ibd" localSheetId="3" hidden="1">2</definedName>
    <definedName name="solver_itr" localSheetId="3" hidden="1">100</definedName>
    <definedName name="solver_itr" localSheetId="12" hidden="1">100</definedName>
    <definedName name="solver_lhs1" localSheetId="3" hidden="1">'Assign3-NetworkFlow'!$B$23:$K$32</definedName>
    <definedName name="solver_lhs1" localSheetId="12" hidden="1">'Assign7-ProductMix'!$E$20:$E$23</definedName>
    <definedName name="solver_lhs2" localSheetId="3" hidden="1">'Assign3-NetworkFlow'!$M$36:$M$45</definedName>
    <definedName name="solver_lhs2" localSheetId="12" hidden="1">'Assign7-ProductMix'!$B$13</definedName>
    <definedName name="solver_lhs3" localSheetId="12" hidden="1">'Assign7-ProductMix'!$C$13</definedName>
    <definedName name="solver_lhs4" localSheetId="12" hidden="1">'Assign7-ProductMix'!$D$13</definedName>
    <definedName name="solver_lin" localSheetId="3" hidden="1">2</definedName>
    <definedName name="solver_lin" localSheetId="12" hidden="1">1</definedName>
    <definedName name="solver_loc" localSheetId="3" hidden="1">1</definedName>
    <definedName name="solver_lva" localSheetId="3" hidden="1">2</definedName>
    <definedName name="solver_mip" localSheetId="3" hidden="1">5000</definedName>
    <definedName name="solver_mni" localSheetId="3" hidden="1">30</definedName>
    <definedName name="solver_mrt" localSheetId="3" hidden="1">0.075</definedName>
    <definedName name="solver_neg" localSheetId="3" hidden="1">2</definedName>
    <definedName name="solver_neg" localSheetId="12" hidden="1">1</definedName>
    <definedName name="solver_nod" localSheetId="3" hidden="1">5000</definedName>
    <definedName name="solver_num" localSheetId="3" hidden="1">2</definedName>
    <definedName name="solver_num" localSheetId="12" hidden="1">4</definedName>
    <definedName name="solver_nwt" localSheetId="3" hidden="1">1</definedName>
    <definedName name="solver_nwt" localSheetId="12" hidden="1">1</definedName>
    <definedName name="solver_ofx" localSheetId="3" hidden="1">2</definedName>
    <definedName name="solver_opt" localSheetId="3" hidden="1">'Assign3-NetworkFlow'!$B$32</definedName>
    <definedName name="solver_opt" localSheetId="12" hidden="1">'Assign7-ProductMix'!$E$13</definedName>
    <definedName name="solver_piv" localSheetId="3" hidden="1">0.000001</definedName>
    <definedName name="solver_pre" localSheetId="3" hidden="1">0.000001</definedName>
    <definedName name="solver_pre" localSheetId="12" hidden="1">0.000001</definedName>
    <definedName name="solver_pro" localSheetId="3" hidden="1">2</definedName>
    <definedName name="solver_rbv" localSheetId="3" hidden="1">1</definedName>
    <definedName name="solver_red" localSheetId="3" hidden="1">0.000001</definedName>
    <definedName name="solver_rel1" localSheetId="3" hidden="1">1</definedName>
    <definedName name="solver_rel1" localSheetId="12" hidden="1">1</definedName>
    <definedName name="solver_rel2" localSheetId="3" hidden="1">2</definedName>
    <definedName name="solver_rel2" localSheetId="12" hidden="1">3</definedName>
    <definedName name="solver_rel3" localSheetId="12" hidden="1">3</definedName>
    <definedName name="solver_rel4" localSheetId="12" hidden="1">3</definedName>
    <definedName name="solver_reo" localSheetId="3" hidden="1">2</definedName>
    <definedName name="solver_rep" localSheetId="3" hidden="1">2</definedName>
    <definedName name="solver_rhs1" localSheetId="3" hidden="1">'Assign3-NetworkFlow'!$B$36:$K$45</definedName>
    <definedName name="solver_rhs1" localSheetId="12" hidden="1">'Assign7-ProductMix'!$G$20:$G$23</definedName>
    <definedName name="solver_rhs2" localSheetId="3" hidden="1">'Assign3-NetworkFlow'!$N$36:$N$45</definedName>
    <definedName name="solver_rhs2" localSheetId="12" hidden="1">1000</definedName>
    <definedName name="solver_rhs3" localSheetId="12" hidden="1">500</definedName>
    <definedName name="solver_rhs4" localSheetId="12" hidden="1">400</definedName>
    <definedName name="solver_rlx" localSheetId="3" hidden="1">2</definedName>
    <definedName name="solver_scl" localSheetId="3" hidden="1">2</definedName>
    <definedName name="solver_scl" localSheetId="12" hidden="1">2</definedName>
    <definedName name="solver_sho" localSheetId="3" hidden="1">2</definedName>
    <definedName name="solver_sho" localSheetId="12" hidden="1">2</definedName>
    <definedName name="solver_ssz" localSheetId="3" hidden="1">100</definedName>
    <definedName name="solver_std" localSheetId="3" hidden="1">1</definedName>
    <definedName name="solver_tim" localSheetId="3" hidden="1">100</definedName>
    <definedName name="solver_tim" localSheetId="12" hidden="1">100</definedName>
    <definedName name="solver_tol" localSheetId="3" hidden="1">0.0005</definedName>
    <definedName name="solver_tol" localSheetId="12" hidden="1">0.05</definedName>
    <definedName name="solver_typ" localSheetId="3" hidden="1">1</definedName>
    <definedName name="solver_typ" localSheetId="12" hidden="1">1</definedName>
    <definedName name="solver_val" localSheetId="3" hidden="1">0</definedName>
    <definedName name="solver_val" localSheetId="12" hidden="1">0</definedName>
    <definedName name="solver_ver" localSheetId="3" hidden="1">2</definedName>
    <definedName name="x">[2]!changecolor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17" l="1"/>
  <c r="K13" i="17"/>
  <c r="K12" i="17"/>
  <c r="K8" i="17"/>
  <c r="K14" i="16"/>
  <c r="K13" i="16"/>
  <c r="K12" i="16"/>
  <c r="K8" i="16"/>
  <c r="K14" i="15"/>
  <c r="K13" i="15"/>
  <c r="K12" i="15"/>
  <c r="K8" i="15"/>
  <c r="J14" i="14"/>
  <c r="J13" i="14"/>
  <c r="J12" i="14"/>
  <c r="J8" i="14"/>
  <c r="D11" i="3"/>
  <c r="D9" i="3"/>
  <c r="D10" i="3" s="1"/>
  <c r="D8" i="3"/>
  <c r="D7" i="3"/>
  <c r="D14" i="3"/>
  <c r="G23" i="11"/>
  <c r="E23" i="11"/>
  <c r="G22" i="11"/>
  <c r="E22" i="11"/>
  <c r="G21" i="11"/>
  <c r="E21" i="11"/>
  <c r="G20" i="11"/>
  <c r="E20" i="11"/>
  <c r="E13" i="11"/>
  <c r="D12" i="3"/>
  <c r="D18" i="3"/>
  <c r="D17" i="3"/>
  <c r="D16" i="3"/>
  <c r="D15" i="3"/>
  <c r="E18" i="3"/>
  <c r="D13" i="3"/>
  <c r="E16" i="3"/>
  <c r="B46" i="10"/>
  <c r="M45" i="10"/>
  <c r="M44" i="10"/>
  <c r="M43" i="10"/>
  <c r="M42" i="10"/>
  <c r="M41" i="10"/>
  <c r="M40" i="10"/>
  <c r="M39" i="10"/>
  <c r="M38" i="10"/>
  <c r="M37" i="10"/>
  <c r="M36" i="10"/>
  <c r="K33" i="10"/>
  <c r="J33" i="10"/>
  <c r="I33" i="10"/>
  <c r="H33" i="10"/>
  <c r="G33" i="10"/>
  <c r="F33" i="10"/>
  <c r="E33" i="10"/>
  <c r="D33" i="10"/>
  <c r="C33" i="10"/>
  <c r="B33" i="10"/>
  <c r="L32" i="10"/>
  <c r="L31" i="10"/>
  <c r="L30" i="10"/>
  <c r="L29" i="10"/>
  <c r="L28" i="10"/>
  <c r="L27" i="10"/>
  <c r="L26" i="10"/>
  <c r="L25" i="10"/>
  <c r="L24" i="10"/>
  <c r="L23" i="10"/>
  <c r="K15" i="9"/>
  <c r="D6" i="9" s="1"/>
  <c r="M9" i="9"/>
  <c r="L7" i="9" s="1"/>
  <c r="L6" i="9"/>
  <c r="E6" i="9" s="1"/>
  <c r="F6" i="9"/>
  <c r="M12" i="9"/>
  <c r="L10" i="9" s="1"/>
  <c r="E7" i="9" s="1"/>
  <c r="L9" i="9"/>
  <c r="F7" i="9"/>
  <c r="L11" i="9"/>
  <c r="G7" i="9"/>
  <c r="M15" i="9"/>
  <c r="L12" i="9"/>
  <c r="G8" i="9"/>
  <c r="L13" i="9"/>
  <c r="E8" i="9" s="1"/>
  <c r="L14" i="9"/>
  <c r="F8" i="9"/>
  <c r="B6" i="9"/>
  <c r="C6" i="9"/>
  <c r="Q5" i="5"/>
  <c r="R5" i="5"/>
  <c r="Q6" i="5"/>
  <c r="R6" i="5"/>
  <c r="Q7" i="5"/>
  <c r="R7" i="5"/>
  <c r="Q8" i="5"/>
  <c r="R8" i="5"/>
  <c r="Q9" i="5"/>
  <c r="R9" i="5"/>
  <c r="Q10" i="5"/>
  <c r="R10" i="5"/>
  <c r="Q11" i="5"/>
  <c r="R11" i="5"/>
  <c r="Q12" i="5"/>
  <c r="R12" i="5"/>
  <c r="Q13" i="5"/>
  <c r="R13" i="5"/>
  <c r="Q14" i="5"/>
  <c r="R14" i="5"/>
  <c r="Q15" i="5"/>
  <c r="R15" i="5"/>
  <c r="Q16" i="5"/>
  <c r="Q19" i="5" s="1"/>
  <c r="R16" i="5"/>
  <c r="Q17" i="5"/>
  <c r="R17" i="5"/>
  <c r="Q18" i="5"/>
  <c r="R18" i="5"/>
  <c r="O19" i="5"/>
  <c r="P19" i="5"/>
  <c r="E21" i="6"/>
  <c r="G21" i="6"/>
  <c r="E22" i="6"/>
  <c r="D5" i="5"/>
  <c r="E5" i="5"/>
  <c r="F5" i="5"/>
  <c r="G5" i="5"/>
  <c r="H5" i="5"/>
  <c r="I5" i="5"/>
  <c r="J5" i="5"/>
  <c r="K5" i="5"/>
  <c r="D26" i="5"/>
  <c r="F6" i="5"/>
  <c r="F7" i="5" s="1"/>
  <c r="H6" i="5"/>
  <c r="I6" i="5" s="1"/>
  <c r="J6" i="5"/>
  <c r="K6" i="5" s="1"/>
  <c r="D6" i="5"/>
  <c r="E6" i="5" s="1"/>
  <c r="H7" i="5"/>
  <c r="D5" i="3"/>
  <c r="F31" i="1" a="1"/>
  <c r="F31" i="1" s="1"/>
  <c r="C27" i="1"/>
  <c r="H25" i="1"/>
  <c r="D25" i="1"/>
  <c r="D27" i="1" s="1"/>
  <c r="I24" i="1" s="1"/>
  <c r="I25" i="1"/>
  <c r="B26" i="1"/>
  <c r="B25" i="1"/>
  <c r="D20" i="1"/>
  <c r="I17" i="1"/>
  <c r="C19" i="1"/>
  <c r="C20" i="1" s="1"/>
  <c r="H18" i="1" s="1"/>
  <c r="C17" i="1"/>
  <c r="B19" i="1"/>
  <c r="D13" i="1"/>
  <c r="I10" i="1"/>
  <c r="I13" i="1" s="1"/>
  <c r="C12" i="1"/>
  <c r="B12" i="1"/>
  <c r="B11" i="1"/>
  <c r="B13" i="1"/>
  <c r="G10" i="1" s="1"/>
  <c r="D4" i="1"/>
  <c r="B20" i="1"/>
  <c r="G17" i="1" s="1"/>
  <c r="G20" i="1" s="1"/>
  <c r="G19" i="1"/>
  <c r="F33" i="1"/>
  <c r="F32" i="1"/>
  <c r="I12" i="1"/>
  <c r="I11" i="1"/>
  <c r="C6" i="1"/>
  <c r="H5" i="1"/>
  <c r="B4" i="1"/>
  <c r="G18" i="1"/>
  <c r="H4" i="1"/>
  <c r="H3" i="1"/>
  <c r="H6" i="1" s="1"/>
  <c r="D3" i="1"/>
  <c r="D6" i="1" s="1"/>
  <c r="B6" i="1"/>
  <c r="G4" i="1" s="1"/>
  <c r="I5" i="1" l="1"/>
  <c r="I3" i="1"/>
  <c r="J4" i="1"/>
  <c r="F8" i="5"/>
  <c r="G7" i="5"/>
  <c r="D7" i="5"/>
  <c r="G11" i="1"/>
  <c r="G13" i="1" s="1"/>
  <c r="H19" i="1"/>
  <c r="J19" i="1" s="1"/>
  <c r="G3" i="1"/>
  <c r="G12" i="1"/>
  <c r="I18" i="1"/>
  <c r="I20" i="1" s="1"/>
  <c r="I19" i="1"/>
  <c r="H8" i="5"/>
  <c r="I7" i="5"/>
  <c r="R19" i="5"/>
  <c r="H24" i="1"/>
  <c r="H26" i="1"/>
  <c r="G5" i="1"/>
  <c r="J5" i="1" s="1"/>
  <c r="I26" i="1"/>
  <c r="I27" i="1" s="1"/>
  <c r="I4" i="1"/>
  <c r="C13" i="1"/>
  <c r="H12" i="1"/>
  <c r="H17" i="1"/>
  <c r="H20" i="1" s="1"/>
  <c r="B27" i="1"/>
  <c r="J7" i="5"/>
  <c r="G6" i="5"/>
  <c r="L8" i="9"/>
  <c r="G6" i="9" s="1"/>
  <c r="B7" i="9" s="1" a="1"/>
  <c r="C7" i="9" l="1"/>
  <c r="B7" i="9"/>
  <c r="D7" i="9"/>
  <c r="J17" i="1"/>
  <c r="D8" i="5"/>
  <c r="E7" i="5"/>
  <c r="J18" i="1"/>
  <c r="K7" i="5"/>
  <c r="J8" i="5"/>
  <c r="H10" i="1"/>
  <c r="H11" i="1"/>
  <c r="H9" i="5"/>
  <c r="I8" i="5"/>
  <c r="J12" i="1"/>
  <c r="I6" i="1"/>
  <c r="G24" i="1"/>
  <c r="G25" i="1"/>
  <c r="J25" i="1" s="1"/>
  <c r="G26" i="1"/>
  <c r="J26" i="1" s="1"/>
  <c r="H27" i="1"/>
  <c r="G6" i="1"/>
  <c r="J3" i="1"/>
  <c r="J11" i="1"/>
  <c r="F9" i="5"/>
  <c r="G8" i="5"/>
  <c r="H13" i="1" l="1"/>
  <c r="J10" i="1"/>
  <c r="K8" i="5"/>
  <c r="J9" i="5"/>
  <c r="D9" i="5"/>
  <c r="E8" i="5"/>
  <c r="K17" i="1" a="1"/>
  <c r="J20" i="1"/>
  <c r="K3" i="1" a="1"/>
  <c r="J6" i="1"/>
  <c r="J24" i="1"/>
  <c r="G27" i="1"/>
  <c r="I9" i="5"/>
  <c r="H10" i="5"/>
  <c r="B8" i="9" a="1"/>
  <c r="F10" i="5"/>
  <c r="G9" i="5"/>
  <c r="I10" i="5" l="1"/>
  <c r="H11" i="5"/>
  <c r="K3" i="1"/>
  <c r="L3" i="1" s="1"/>
  <c r="K5" i="1"/>
  <c r="L5" i="1" s="1"/>
  <c r="K4" i="1"/>
  <c r="L4" i="1" s="1"/>
  <c r="E9" i="5"/>
  <c r="D10" i="5"/>
  <c r="G10" i="5"/>
  <c r="F11" i="5"/>
  <c r="K10" i="1" a="1"/>
  <c r="J13" i="1"/>
  <c r="J10" i="5"/>
  <c r="K9" i="5"/>
  <c r="C8" i="9"/>
  <c r="J19" i="9" s="1"/>
  <c r="B8" i="9"/>
  <c r="D8" i="9"/>
  <c r="J20" i="9" s="1"/>
  <c r="J27" i="1"/>
  <c r="K24" i="1" a="1"/>
  <c r="K18" i="1"/>
  <c r="L18" i="1" s="1"/>
  <c r="K17" i="1"/>
  <c r="L17" i="1" s="1"/>
  <c r="K19" i="1"/>
  <c r="L19" i="1" s="1"/>
  <c r="K24" i="1" l="1"/>
  <c r="L24" i="1" s="1"/>
  <c r="K25" i="1"/>
  <c r="L25" i="1" s="1"/>
  <c r="K26" i="1"/>
  <c r="L26" i="1" s="1"/>
  <c r="G11" i="5"/>
  <c r="F12" i="5"/>
  <c r="J11" i="5"/>
  <c r="K10" i="5"/>
  <c r="L20" i="1"/>
  <c r="M20" i="1" s="1"/>
  <c r="M21" i="1" s="1"/>
  <c r="B9" i="9" a="1"/>
  <c r="J18" i="9"/>
  <c r="D11" i="5"/>
  <c r="E10" i="5"/>
  <c r="L6" i="1"/>
  <c r="M6" i="1" s="1"/>
  <c r="M7" i="1" s="1"/>
  <c r="K10" i="1"/>
  <c r="L10" i="1" s="1"/>
  <c r="K11" i="1"/>
  <c r="L11" i="1" s="1"/>
  <c r="K12" i="1"/>
  <c r="L12" i="1" s="1"/>
  <c r="I11" i="5"/>
  <c r="H12" i="5"/>
  <c r="E11" i="5" l="1"/>
  <c r="D12" i="5"/>
  <c r="H13" i="5"/>
  <c r="I12" i="5"/>
  <c r="L13" i="1"/>
  <c r="M13" i="1" s="1"/>
  <c r="M14" i="1" s="1"/>
  <c r="K11" i="5"/>
  <c r="J12" i="5"/>
  <c r="D9" i="9"/>
  <c r="B9" i="9"/>
  <c r="B10" i="9" s="1" a="1"/>
  <c r="C9" i="9"/>
  <c r="F13" i="5"/>
  <c r="G12" i="5"/>
  <c r="L27" i="1"/>
  <c r="M27" i="1" s="1"/>
  <c r="M28" i="1" s="1"/>
  <c r="F14" i="5" l="1"/>
  <c r="G13" i="5"/>
  <c r="I13" i="5"/>
  <c r="H14" i="5"/>
  <c r="B10" i="9"/>
  <c r="D10" i="9"/>
  <c r="C10" i="9"/>
  <c r="K12" i="5"/>
  <c r="J13" i="5"/>
  <c r="E12" i="5"/>
  <c r="D13" i="5"/>
  <c r="I14" i="5" l="1"/>
  <c r="H15" i="5"/>
  <c r="E13" i="5"/>
  <c r="D14" i="5"/>
  <c r="J14" i="5"/>
  <c r="K13" i="5"/>
  <c r="B11" i="9" a="1"/>
  <c r="F15" i="5"/>
  <c r="G14" i="5"/>
  <c r="B11" i="9" l="1"/>
  <c r="C11" i="9"/>
  <c r="D11" i="9"/>
  <c r="H16" i="5"/>
  <c r="I15" i="5"/>
  <c r="F16" i="5"/>
  <c r="G15" i="5"/>
  <c r="E14" i="5"/>
  <c r="D15" i="5"/>
  <c r="K14" i="5"/>
  <c r="J15" i="5"/>
  <c r="H17" i="5" l="1"/>
  <c r="I17" i="5" s="1"/>
  <c r="I19" i="5" s="1"/>
  <c r="I16" i="5"/>
  <c r="G16" i="5"/>
  <c r="F17" i="5"/>
  <c r="G17" i="5" s="1"/>
  <c r="G19" i="5" s="1"/>
  <c r="J16" i="5"/>
  <c r="K15" i="5"/>
  <c r="D16" i="5"/>
  <c r="E15" i="5"/>
  <c r="B12" i="9" a="1"/>
  <c r="E16" i="5" l="1"/>
  <c r="D17" i="5"/>
  <c r="E17" i="5" s="1"/>
  <c r="E19" i="5" s="1"/>
  <c r="D12" i="9"/>
  <c r="B12" i="9"/>
  <c r="B13" i="9" s="1" a="1"/>
  <c r="C12" i="9"/>
  <c r="K16" i="5"/>
  <c r="J17" i="5"/>
  <c r="C13" i="9" l="1"/>
  <c r="D13" i="9"/>
  <c r="B13" i="9"/>
  <c r="B14" i="9" s="1" a="1"/>
  <c r="D27" i="5"/>
  <c r="K17" i="5"/>
  <c r="K19" i="5" s="1"/>
  <c r="D24" i="5"/>
  <c r="B14" i="9" l="1"/>
  <c r="B15" i="9" s="1" a="1"/>
  <c r="C14" i="9"/>
  <c r="D14" i="9"/>
  <c r="C15" i="9" l="1"/>
  <c r="D15" i="9"/>
  <c r="B15" i="9"/>
  <c r="B16" i="9" s="1" a="1"/>
  <c r="B16" i="9" l="1"/>
  <c r="B17" i="9" s="1" a="1"/>
  <c r="C16" i="9"/>
  <c r="D16" i="9"/>
  <c r="D17" i="9" l="1"/>
  <c r="C17" i="9"/>
  <c r="B17" i="9"/>
  <c r="B18" i="9" s="1" a="1"/>
  <c r="D18" i="9" l="1"/>
  <c r="C18" i="9"/>
  <c r="B18" i="9"/>
  <c r="B19" i="9" s="1" a="1"/>
  <c r="B19" i="9" l="1"/>
  <c r="B20" i="9" s="1" a="1"/>
  <c r="C19" i="9"/>
  <c r="D19" i="9"/>
  <c r="D20" i="9" l="1"/>
  <c r="B20" i="9"/>
  <c r="C20" i="9"/>
  <c r="B21" i="9" l="1" a="1"/>
  <c r="D21" i="9" l="1"/>
  <c r="C21" i="9"/>
  <c r="B21" i="9"/>
  <c r="B22" i="9" s="1" a="1"/>
  <c r="C22" i="9" l="1"/>
  <c r="D22" i="9"/>
  <c r="B22" i="9"/>
  <c r="B23" i="9" s="1" a="1"/>
  <c r="C23" i="9" l="1"/>
  <c r="B23" i="9"/>
  <c r="B24" i="9" s="1" a="1"/>
  <c r="D23" i="9"/>
  <c r="B24" i="9" l="1"/>
  <c r="B25" i="9" s="1" a="1"/>
  <c r="D24" i="9"/>
  <c r="C24" i="9"/>
  <c r="C25" i="9" l="1"/>
  <c r="D25" i="9"/>
  <c r="B25" i="9"/>
  <c r="B26" i="9" s="1" a="1"/>
  <c r="D26" i="9" l="1"/>
  <c r="J24" i="9" s="1"/>
  <c r="C26" i="9"/>
  <c r="J23" i="9" s="1"/>
  <c r="B26" i="9"/>
  <c r="J22" i="9" s="1"/>
</calcChain>
</file>

<file path=xl/sharedStrings.xml><?xml version="1.0" encoding="utf-8"?>
<sst xmlns="http://schemas.openxmlformats.org/spreadsheetml/2006/main" count="664" uniqueCount="365">
  <si>
    <t>Price</t>
  </si>
  <si>
    <t>Cleanliness</t>
  </si>
  <si>
    <t>Preference Scale for the Pairwise Comparisions</t>
  </si>
  <si>
    <t>Verbal Stmt of Preference</t>
  </si>
  <si>
    <t>Numerical Value</t>
  </si>
  <si>
    <t>Equally preferred</t>
  </si>
  <si>
    <t>Equally to Modereately preferred</t>
  </si>
  <si>
    <t>Moderately preferred</t>
  </si>
  <si>
    <t>Moderately to Strongly preferred</t>
  </si>
  <si>
    <t>Strongly preferred</t>
  </si>
  <si>
    <t>Strongly to very strongly preferred</t>
  </si>
  <si>
    <t>Very strongly preferred</t>
  </si>
  <si>
    <t>Very strongly to extremely preferred</t>
  </si>
  <si>
    <t>Extremely preferred</t>
  </si>
  <si>
    <t>Criterion</t>
  </si>
  <si>
    <t>Brightness</t>
  </si>
  <si>
    <t>Totals</t>
  </si>
  <si>
    <t>Avg . Wt</t>
  </si>
  <si>
    <t>Sum</t>
  </si>
  <si>
    <t>Wt sum</t>
  </si>
  <si>
    <t>Lambda</t>
  </si>
  <si>
    <t>CI</t>
  </si>
  <si>
    <t>RI values for AHP</t>
  </si>
  <si>
    <t>n</t>
  </si>
  <si>
    <t>RI</t>
  </si>
  <si>
    <t>Cleanliness Criterion</t>
  </si>
  <si>
    <t>Brand</t>
  </si>
  <si>
    <t>A</t>
  </si>
  <si>
    <t>B</t>
  </si>
  <si>
    <t>C</t>
  </si>
  <si>
    <t>Normalized Values</t>
  </si>
  <si>
    <t>CR</t>
  </si>
  <si>
    <t>Brightness Criterion</t>
  </si>
  <si>
    <t>Price Criterion</t>
  </si>
  <si>
    <t>Pairwise Comparision Table for Detergent Market Survey problem</t>
  </si>
  <si>
    <t>Normalized Pairwise Comparision Table for Detergent Market Survey problem</t>
  </si>
  <si>
    <t>1st Choice</t>
  </si>
  <si>
    <t>2nd Choice</t>
  </si>
  <si>
    <t>3rd Choice</t>
  </si>
  <si>
    <t>Profit</t>
  </si>
  <si>
    <t>RHS</t>
  </si>
  <si>
    <t xml:space="preserve">Decision Variables </t>
  </si>
  <si>
    <t>Total</t>
  </si>
  <si>
    <t>=</t>
  </si>
  <si>
    <t>Multiple Channel Waiting Line Model</t>
  </si>
  <si>
    <t>M =</t>
  </si>
  <si>
    <t>System Utilization</t>
  </si>
  <si>
    <r>
      <t>r</t>
    </r>
    <r>
      <rPr>
        <b/>
        <sz val="10"/>
        <rFont val="Arial"/>
        <family val="2"/>
      </rPr>
      <t xml:space="preserve"> =</t>
    </r>
  </si>
  <si>
    <r>
      <t>L</t>
    </r>
    <r>
      <rPr>
        <b/>
        <vertAlign val="subscript"/>
        <sz val="10"/>
        <rFont val="Arial"/>
        <family val="2"/>
      </rPr>
      <t>q</t>
    </r>
    <r>
      <rPr>
        <b/>
        <sz val="10"/>
        <rFont val="Arial"/>
        <family val="2"/>
      </rPr>
      <t xml:space="preserve"> =</t>
    </r>
  </si>
  <si>
    <r>
      <t>L</t>
    </r>
    <r>
      <rPr>
        <b/>
        <sz val="10"/>
        <rFont val="Arial"/>
        <family val="2"/>
      </rPr>
      <t xml:space="preserve"> =</t>
    </r>
  </si>
  <si>
    <t>Average time in line</t>
  </si>
  <si>
    <r>
      <t>W</t>
    </r>
    <r>
      <rPr>
        <b/>
        <vertAlign val="subscript"/>
        <sz val="10"/>
        <rFont val="Arial"/>
        <family val="2"/>
      </rPr>
      <t>q</t>
    </r>
    <r>
      <rPr>
        <b/>
        <sz val="10"/>
        <rFont val="Arial"/>
        <family val="2"/>
      </rPr>
      <t xml:space="preserve"> =</t>
    </r>
  </si>
  <si>
    <t>Average time in system</t>
  </si>
  <si>
    <r>
      <t>W</t>
    </r>
    <r>
      <rPr>
        <b/>
        <sz val="10"/>
        <rFont val="Arial"/>
        <family val="2"/>
      </rPr>
      <t xml:space="preserve"> =</t>
    </r>
  </si>
  <si>
    <t xml:space="preserve">Number of servers </t>
  </si>
  <si>
    <t>Calculations:</t>
  </si>
  <si>
    <r>
      <t xml:space="preserve"> </t>
    </r>
    <r>
      <rPr>
        <b/>
        <sz val="10"/>
        <rFont val="Symbol"/>
        <family val="1"/>
        <charset val="2"/>
      </rPr>
      <t>l</t>
    </r>
    <r>
      <rPr>
        <b/>
        <sz val="10"/>
        <rFont val="Arial"/>
        <family val="2"/>
      </rPr>
      <t xml:space="preserve"> =</t>
    </r>
  </si>
  <si>
    <r>
      <t xml:space="preserve"> m</t>
    </r>
    <r>
      <rPr>
        <b/>
        <sz val="10"/>
        <rFont val="Arial"/>
        <family val="2"/>
      </rPr>
      <t xml:space="preserve"> =</t>
    </r>
  </si>
  <si>
    <t xml:space="preserve">M </t>
  </si>
  <si>
    <t xml:space="preserve">P0 </t>
  </si>
  <si>
    <t>Average no. of cust in system</t>
  </si>
  <si>
    <r>
      <rPr>
        <b/>
        <sz val="11"/>
        <rFont val="Calibri"/>
        <family val="2"/>
        <scheme val="minor"/>
      </rPr>
      <t xml:space="preserve">Arrival rate  </t>
    </r>
    <r>
      <rPr>
        <b/>
        <sz val="10"/>
        <rFont val="Arial"/>
        <family val="2"/>
      </rPr>
      <t xml:space="preserve">               </t>
    </r>
    <r>
      <rPr>
        <b/>
        <sz val="10"/>
        <rFont val="Symbol"/>
        <family val="1"/>
        <charset val="2"/>
      </rPr>
      <t>l</t>
    </r>
    <r>
      <rPr>
        <b/>
        <sz val="10"/>
        <rFont val="Arial"/>
        <family val="2"/>
      </rPr>
      <t xml:space="preserve"> =</t>
    </r>
  </si>
  <si>
    <t xml:space="preserve">S.no </t>
  </si>
  <si>
    <t>Po</t>
  </si>
  <si>
    <r>
      <t xml:space="preserve">Service Time             </t>
    </r>
    <r>
      <rPr>
        <b/>
        <sz val="10"/>
        <rFont val="Symbol"/>
        <family val="1"/>
        <charset val="2"/>
      </rPr>
      <t xml:space="preserve">  m</t>
    </r>
    <r>
      <rPr>
        <b/>
        <sz val="10"/>
        <rFont val="Arial"/>
        <family val="2"/>
      </rPr>
      <t xml:space="preserve"> =</t>
    </r>
  </si>
  <si>
    <t>Po=</t>
  </si>
  <si>
    <t>alpha=0.1</t>
  </si>
  <si>
    <t>alpha=.2</t>
  </si>
  <si>
    <t>alpha=.5</t>
  </si>
  <si>
    <t>alpha=.8</t>
  </si>
  <si>
    <t>Week</t>
  </si>
  <si>
    <t>Forecast</t>
  </si>
  <si>
    <t>Absolute Deviations for alpha=-.10</t>
  </si>
  <si>
    <t>Absolute Deviations for alpha=-.20</t>
  </si>
  <si>
    <t>Absolute Deviations for alpha=-.80</t>
  </si>
  <si>
    <t>MAD</t>
  </si>
  <si>
    <t>* Best smooting constant is alpha=.8 since that has the lowest MAD</t>
  </si>
  <si>
    <t>Forecast for week 15 = F(t+1) = Ft + alpha * (Yt - Ft)</t>
  </si>
  <si>
    <t>F(t+1)</t>
  </si>
  <si>
    <t>F15</t>
  </si>
  <si>
    <t>Ft (week 14 demand)</t>
  </si>
  <si>
    <t>alpha</t>
  </si>
  <si>
    <t>Yt</t>
  </si>
  <si>
    <t>Actual 
Demand</t>
  </si>
  <si>
    <t>X</t>
  </si>
  <si>
    <t>+</t>
  </si>
  <si>
    <t xml:space="preserve">Ybar = </t>
  </si>
  <si>
    <t>Regression Equation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</si>
  <si>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</si>
  <si>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</si>
  <si>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</si>
  <si>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</si>
  <si>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</si>
  <si>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</si>
  <si>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</si>
  <si>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</si>
  <si>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</si>
  <si>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</si>
  <si>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</si>
  <si>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</si>
  <si>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</si>
  <si>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</si>
  <si>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</si>
  <si>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</si>
  <si>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</si>
  <si>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</si>
  <si>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</si>
  <si>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</si>
  <si>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</si>
  <si>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</si>
  <si>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</si>
  <si>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</si>
  <si>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Demand in week 15=</t>
  </si>
  <si>
    <t>total</t>
  </si>
  <si>
    <t>t square</t>
  </si>
  <si>
    <t>ty</t>
  </si>
  <si>
    <t>Week (t)</t>
  </si>
  <si>
    <t>Actual
 Demand (y)</t>
  </si>
  <si>
    <t>Extendex</t>
  </si>
  <si>
    <t>Resitex</t>
  </si>
  <si>
    <t>Polymer A</t>
  </si>
  <si>
    <t>Polymer B</t>
  </si>
  <si>
    <t>Polymer C</t>
  </si>
  <si>
    <t>Base</t>
  </si>
  <si>
    <t>AirTex</t>
  </si>
  <si>
    <t>&lt;=</t>
  </si>
  <si>
    <t>pounds</t>
  </si>
  <si>
    <t>Max Flow</t>
  </si>
  <si>
    <t>Adana (10)</t>
  </si>
  <si>
    <t>H (9)</t>
  </si>
  <si>
    <t>G (8)</t>
  </si>
  <si>
    <t>F (7)</t>
  </si>
  <si>
    <t>E (6)</t>
  </si>
  <si>
    <t>D (5)</t>
  </si>
  <si>
    <t>C (4)</t>
  </si>
  <si>
    <t>B (3)</t>
  </si>
  <si>
    <t>A (2)</t>
  </si>
  <si>
    <t>Baku (1)</t>
  </si>
  <si>
    <t xml:space="preserve">Net Flow </t>
  </si>
  <si>
    <t xml:space="preserve">From : To: </t>
  </si>
  <si>
    <t>Node flow equations</t>
  </si>
  <si>
    <t>Matrix of Flow Capacities</t>
  </si>
  <si>
    <t>Total flow to</t>
  </si>
  <si>
    <t>Total flow from</t>
  </si>
  <si>
    <t>Matrix of Actual Flow</t>
  </si>
  <si>
    <t>Maximal Flow Spreadsheet</t>
  </si>
  <si>
    <t xml:space="preserve">Turkmen Oil Ltd.  </t>
  </si>
  <si>
    <t>Question c)</t>
  </si>
  <si>
    <t>Question b)</t>
  </si>
  <si>
    <t>Matrix of Transition Probabilities</t>
  </si>
  <si>
    <t>#3</t>
  </si>
  <si>
    <t>#2</t>
  </si>
  <si>
    <t>#1</t>
  </si>
  <si>
    <t>Time</t>
  </si>
  <si>
    <t>Brand C</t>
  </si>
  <si>
    <t>Brand B</t>
  </si>
  <si>
    <t>Brand A</t>
  </si>
  <si>
    <t>Question a)</t>
  </si>
  <si>
    <t>State Probabilities</t>
  </si>
  <si>
    <t xml:space="preserve">Hair Color Brand Preference </t>
  </si>
  <si>
    <t>Number the nodes as following:</t>
  </si>
  <si>
    <t>Objective Function</t>
  </si>
  <si>
    <t>Maximize Z = X10,1</t>
  </si>
  <si>
    <t>Node</t>
  </si>
  <si>
    <t>Number</t>
  </si>
  <si>
    <t>Baku</t>
  </si>
  <si>
    <t>Constraints</t>
  </si>
  <si>
    <t>X12+X13+X14-X10,1=0</t>
  </si>
  <si>
    <t>X12&lt;=20</t>
  </si>
  <si>
    <t>X56&lt;=10</t>
  </si>
  <si>
    <t>X23+X25-X12-X32=0</t>
  </si>
  <si>
    <t>X13&lt;=15</t>
  </si>
  <si>
    <t>X58&lt;=14</t>
  </si>
  <si>
    <t>X32+X35+X36-X13-X23-X43=0</t>
  </si>
  <si>
    <t>X14&lt;=22</t>
  </si>
  <si>
    <t>X67&lt;=5</t>
  </si>
  <si>
    <t>D</t>
  </si>
  <si>
    <t>X43+X47-X14=0</t>
  </si>
  <si>
    <t>X23&lt;=20</t>
  </si>
  <si>
    <t>X68&lt;=25</t>
  </si>
  <si>
    <t>E</t>
  </si>
  <si>
    <t>X456+X58-X25-X35=0</t>
  </si>
  <si>
    <t>X25&lt;=18</t>
  </si>
  <si>
    <t>X69&lt;=5</t>
  </si>
  <si>
    <t>X67+X68_X69-X36-X56=0</t>
  </si>
  <si>
    <t>X32&lt;=10</t>
  </si>
  <si>
    <t>X79&lt;=20</t>
  </si>
  <si>
    <t>G</t>
  </si>
  <si>
    <t>X79-X47-X67=0</t>
  </si>
  <si>
    <t>X35&lt;=20</t>
  </si>
  <si>
    <t>X89&lt;=10</t>
  </si>
  <si>
    <t>H</t>
  </si>
  <si>
    <t>X89+X8,10-X58-X68=0</t>
  </si>
  <si>
    <t>X36&lt;=13</t>
  </si>
  <si>
    <t>X8,10&lt;=30</t>
  </si>
  <si>
    <t>Adana</t>
  </si>
  <si>
    <t>X9,10-X69-X79-X89=0</t>
  </si>
  <si>
    <t>X43&lt;=5</t>
  </si>
  <si>
    <t>X9,10&lt;=25</t>
  </si>
  <si>
    <t>X10,1-X8,10-X9,10=0</t>
  </si>
  <si>
    <t>X47&lt;=18</t>
  </si>
  <si>
    <t>X10,1&lt;=9999</t>
  </si>
  <si>
    <t>* The maximum flow of oil in thousands of barrels per day from oil field from Baku and Adana is 55 thousand barrels of oil</t>
  </si>
  <si>
    <t>Amount of flow in thousands of barrels in each branch</t>
  </si>
  <si>
    <t>Branch</t>
  </si>
  <si>
    <t>Decision Variable</t>
  </si>
  <si>
    <t>Cell</t>
  </si>
  <si>
    <t>Flow in 1000s of Barrels</t>
  </si>
  <si>
    <t>Baku to A</t>
  </si>
  <si>
    <t>x12</t>
  </si>
  <si>
    <t>C4</t>
  </si>
  <si>
    <t>Baku to B</t>
  </si>
  <si>
    <t>x13</t>
  </si>
  <si>
    <t>D4</t>
  </si>
  <si>
    <t>Baku to C</t>
  </si>
  <si>
    <t>x14</t>
  </si>
  <si>
    <t>E4</t>
  </si>
  <si>
    <t>A to B</t>
  </si>
  <si>
    <t>x23</t>
  </si>
  <si>
    <t>D5</t>
  </si>
  <si>
    <t>A to D</t>
  </si>
  <si>
    <t>x25</t>
  </si>
  <si>
    <t>F5</t>
  </si>
  <si>
    <t>B to D</t>
  </si>
  <si>
    <t>x35</t>
  </si>
  <si>
    <t>F6</t>
  </si>
  <si>
    <t>B to E</t>
  </si>
  <si>
    <t>x36</t>
  </si>
  <si>
    <t>G6</t>
  </si>
  <si>
    <t>C to B</t>
  </si>
  <si>
    <t>x43</t>
  </si>
  <si>
    <t>D7</t>
  </si>
  <si>
    <t>C to F</t>
  </si>
  <si>
    <t>x47</t>
  </si>
  <si>
    <t>H7</t>
  </si>
  <si>
    <t>D to E</t>
  </si>
  <si>
    <t>x56</t>
  </si>
  <si>
    <t>G8</t>
  </si>
  <si>
    <t>D to G</t>
  </si>
  <si>
    <t>x58</t>
  </si>
  <si>
    <t>I8</t>
  </si>
  <si>
    <t>E to F</t>
  </si>
  <si>
    <t>x67</t>
  </si>
  <si>
    <t>H9</t>
  </si>
  <si>
    <t>E to G</t>
  </si>
  <si>
    <t>x68</t>
  </si>
  <si>
    <t>I9</t>
  </si>
  <si>
    <t>E to H</t>
  </si>
  <si>
    <t>x69</t>
  </si>
  <si>
    <t>J9</t>
  </si>
  <si>
    <t>F to H</t>
  </si>
  <si>
    <t>x79</t>
  </si>
  <si>
    <t>J10</t>
  </si>
  <si>
    <t>G to Adana</t>
  </si>
  <si>
    <t>x8, 10</t>
  </si>
  <si>
    <t>K11</t>
  </si>
  <si>
    <t>H to Adana</t>
  </si>
  <si>
    <t>x9, 10</t>
  </si>
  <si>
    <t>K12</t>
  </si>
  <si>
    <t>P(X&lt;=5)</t>
  </si>
  <si>
    <t>P(X&gt;=2)</t>
  </si>
  <si>
    <t>P(X&lt;=3)</t>
  </si>
  <si>
    <t>P(t&lt;=2)</t>
  </si>
  <si>
    <t>P(t&gt;=2.5)</t>
  </si>
  <si>
    <t>P(2.5&lt;=t&lt;=3)</t>
  </si>
  <si>
    <t>probability that there will be less than six customers arriving in three minutes</t>
  </si>
  <si>
    <t>What is the probability that the service time is less than three minutes?</t>
  </si>
  <si>
    <t>What is the probability that the service time is more than 2.5 minutes?</t>
  </si>
  <si>
    <t>What is the probability that the service time is between 2.5 and 3 minutes?</t>
  </si>
  <si>
    <t>What is the probability that there will be two or more customers arriving in three minutes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</si>
  <si>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</si>
  <si>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</si>
  <si>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</si>
  <si>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</si>
  <si>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</si>
  <si>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</si>
  <si>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</si>
  <si>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</si>
  <si>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</si>
  <si>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</si>
  <si>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</si>
  <si>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What is the probability of no more than three minutes elapsing between successive arrivals of
customers</t>
  </si>
  <si>
    <t>Decision variables</t>
  </si>
  <si>
    <t>Obj func</t>
  </si>
  <si>
    <t>Dollars</t>
  </si>
  <si>
    <t>LHS</t>
  </si>
  <si>
    <t>Type</t>
  </si>
  <si>
    <t>Units</t>
  </si>
  <si>
    <t>&gt;=</t>
  </si>
  <si>
    <t xml:space="preserve">Subject: </t>
  </si>
  <si>
    <t>Decision Science Using Spreadsheets</t>
  </si>
  <si>
    <t>Name:</t>
  </si>
  <si>
    <t>Roll No.</t>
  </si>
  <si>
    <t>M.Manivassakam</t>
  </si>
  <si>
    <t>EPGP-04B-048</t>
  </si>
  <si>
    <t>Preference</t>
  </si>
  <si>
    <t>a)Formulate the problem as a linear programming problem</t>
  </si>
  <si>
    <t>b)Maximal flow of oil in thousands of barrels per day from oil field to oil refinery</t>
  </si>
  <si>
    <t>Product Mix Problem</t>
  </si>
  <si>
    <t>X1</t>
  </si>
  <si>
    <t xml:space="preserve">No. Pounds of AirTex  product </t>
  </si>
  <si>
    <t>X2</t>
  </si>
  <si>
    <t xml:space="preserve">No. Pounds of Extendex product </t>
  </si>
  <si>
    <t>X3</t>
  </si>
  <si>
    <t xml:space="preserve">No. Pounds of Resitex  product </t>
  </si>
  <si>
    <t>Production Constraints</t>
  </si>
  <si>
    <t>Airtex (X1)</t>
  </si>
  <si>
    <t>Extender(X2)</t>
  </si>
  <si>
    <t>Resitex(X3)</t>
  </si>
  <si>
    <t>Market Share after two rounds of purchase</t>
  </si>
  <si>
    <t>Market Share long term</t>
  </si>
  <si>
    <t>No.of Customers in the queue</t>
  </si>
  <si>
    <t>Average number of customers in the system</t>
  </si>
  <si>
    <t xml:space="preserve">Goal 1: Avoid to use overtime </t>
  </si>
  <si>
    <t xml:space="preserve">Definition of decision variables </t>
  </si>
  <si>
    <t>Latex</t>
  </si>
  <si>
    <t>Enamel</t>
  </si>
  <si>
    <t>Labor Under</t>
  </si>
  <si>
    <t>Labor Over</t>
  </si>
  <si>
    <t>Profit Under</t>
  </si>
  <si>
    <t>Profit Over</t>
  </si>
  <si>
    <t>Enamel Under</t>
  </si>
  <si>
    <t>Enamel Over</t>
  </si>
  <si>
    <t>Decision Variables</t>
  </si>
  <si>
    <t>u1</t>
  </si>
  <si>
    <t>v1</t>
  </si>
  <si>
    <t>u2</t>
  </si>
  <si>
    <t>v2</t>
  </si>
  <si>
    <t>u4</t>
  </si>
  <si>
    <t>v4</t>
  </si>
  <si>
    <t>Obj Value</t>
  </si>
  <si>
    <t>Objective Function co eff</t>
  </si>
  <si>
    <t>Constraints:</t>
  </si>
  <si>
    <t>Constraints Labor</t>
  </si>
  <si>
    <t>hours/week</t>
  </si>
  <si>
    <t>$/week</t>
  </si>
  <si>
    <t>Enamel Paint</t>
  </si>
  <si>
    <t>100gallon/week</t>
  </si>
  <si>
    <t>Goal 2: Try to Achieve Weekly profit of $1000</t>
  </si>
  <si>
    <t>Goal 3: Produce at least 700 gallons of enamel paint each week</t>
  </si>
  <si>
    <t>Prioritized all goals</t>
  </si>
  <si>
    <t>Final solution:</t>
  </si>
  <si>
    <t>Goal 1 - avoid use of overtime</t>
  </si>
  <si>
    <t>Failed - used 60 hours overtime</t>
  </si>
  <si>
    <t>Goal 2 - get weekly profit of $1000</t>
  </si>
  <si>
    <t>Achieved</t>
  </si>
  <si>
    <t>Goal 3 - Produce at least 700 gallons of enamel paint</t>
  </si>
  <si>
    <t>100 gallons</t>
  </si>
  <si>
    <t>Availble</t>
  </si>
  <si>
    <t>Labor</t>
  </si>
  <si>
    <t>P1</t>
  </si>
  <si>
    <t>10X1</t>
  </si>
  <si>
    <t>15X2</t>
  </si>
  <si>
    <t>-v1</t>
  </si>
  <si>
    <t>P2</t>
  </si>
  <si>
    <t>100X1</t>
  </si>
  <si>
    <t>100X2</t>
  </si>
  <si>
    <t>-v2</t>
  </si>
  <si>
    <t>P3</t>
  </si>
  <si>
    <t>-u3</t>
  </si>
  <si>
    <t>-v4</t>
  </si>
  <si>
    <t xml:space="preserve">Maximize </t>
  </si>
  <si>
    <t>P1u1</t>
  </si>
  <si>
    <t>P2v2</t>
  </si>
  <si>
    <t>p3v4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</si>
</sst>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#,##0.000"/>
    <numFmt numFmtId="166" formatCode="General_)"/>
    <numFmt numFmtId="167" formatCode="0.0000_)"/>
    <numFmt numFmtId="168" formatCode="0.000_)"/>
  </numFmts>
  <fonts count="4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Symbol"/>
      <family val="1"/>
      <charset val="2"/>
    </font>
    <font>
      <b/>
      <u/>
      <sz val="10"/>
      <name val="Arial"/>
      <family val="2"/>
    </font>
    <font>
      <sz val="10"/>
      <name val="Courier"/>
      <family val="3"/>
    </font>
    <font>
      <b/>
      <vertAlign val="subscript"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name val="Segoe UI"/>
      <family val="2"/>
    </font>
    <font>
      <b/>
      <sz val="13"/>
      <name val="Segoe UI"/>
      <family val="2"/>
    </font>
    <font>
      <sz val="10"/>
      <color theme="1"/>
      <name val="Segoe UI"/>
      <family val="2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/>
      <name val="Arial"/>
      <family val="2"/>
    </font>
    <font>
      <b/>
      <u/>
      <sz val="12"/>
      <color theme="0"/>
      <name val="Arial"/>
      <family val="2"/>
    </font>
    <font>
      <sz val="12"/>
      <name val="Arial"/>
      <family val="2"/>
    </font>
    <font>
      <u/>
      <sz val="12"/>
      <color theme="0"/>
      <name val="Segoe UI"/>
      <family val="2"/>
    </font>
    <font>
      <sz val="12"/>
      <color theme="0"/>
      <name val="Arial"/>
      <family val="2"/>
    </font>
    <font>
      <sz val="10"/>
      <color theme="0"/>
      <name val="Segoe UI"/>
      <family val="2"/>
    </font>
    <font>
      <sz val="12"/>
      <color theme="0"/>
      <name val="Segoe UI"/>
      <family val="2"/>
    </font>
    <font>
      <b/>
      <sz val="10"/>
      <color theme="0"/>
      <name val="Segoe UI"/>
      <family val="2"/>
    </font>
    <font>
      <sz val="11"/>
      <color theme="1"/>
      <name val="Sathu"/>
    </font>
    <font>
      <sz val="11"/>
      <name val="Segoe UI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3366FF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2">
    <xf numFmtId="0" fontId="0" fillId="0" borderId="0"/>
    <xf numFmtId="166" fontId="9" fillId="0" borderId="0"/>
    <xf numFmtId="0" fontId="6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25" fillId="10" borderId="0" applyNumberFormat="0" applyBorder="0" applyAlignment="0" applyProtection="0"/>
    <xf numFmtId="0" fontId="39" fillId="6" borderId="0" applyNumberFormat="0" applyBorder="0" applyAlignment="0" applyProtection="0"/>
    <xf numFmtId="0" fontId="21" fillId="9" borderId="0" applyNumberFormat="0" applyBorder="0" applyAlignment="0" applyProtection="0"/>
    <xf numFmtId="0" fontId="40" fillId="7" borderId="24" applyNumberFormat="0" applyAlignment="0" applyProtection="0"/>
  </cellStyleXfs>
  <cellXfs count="17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164" fontId="0" fillId="0" borderId="0" xfId="0" applyNumberFormat="1"/>
    <xf numFmtId="0" fontId="1" fillId="0" borderId="6" xfId="0" applyFont="1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/>
    <xf numFmtId="164" fontId="1" fillId="0" borderId="6" xfId="0" applyNumberFormat="1" applyFont="1" applyBorder="1"/>
    <xf numFmtId="164" fontId="1" fillId="0" borderId="6" xfId="0" applyNumberFormat="1" applyFont="1" applyBorder="1" applyAlignment="1">
      <alignment horizontal="center"/>
    </xf>
    <xf numFmtId="165" fontId="1" fillId="0" borderId="0" xfId="0" applyNumberFormat="1" applyFont="1"/>
    <xf numFmtId="164" fontId="1" fillId="0" borderId="0" xfId="0" applyNumberFormat="1" applyFont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10" fontId="5" fillId="2" borderId="0" xfId="0" applyNumberFormat="1" applyFont="1" applyFill="1"/>
    <xf numFmtId="10" fontId="1" fillId="3" borderId="0" xfId="0" applyNumberFormat="1" applyFont="1" applyFill="1"/>
    <xf numFmtId="10" fontId="1" fillId="4" borderId="0" xfId="0" applyNumberFormat="1" applyFont="1" applyFill="1"/>
    <xf numFmtId="0" fontId="0" fillId="0" borderId="0" xfId="0" applyBorder="1"/>
    <xf numFmtId="0" fontId="1" fillId="0" borderId="0" xfId="0" applyFont="1" applyBorder="1"/>
    <xf numFmtId="0" fontId="0" fillId="0" borderId="0" xfId="0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0" fillId="0" borderId="0" xfId="0" applyAlignment="1">
      <alignment horizontal="left"/>
    </xf>
    <xf numFmtId="166" fontId="2" fillId="0" borderId="2" xfId="1" applyFont="1" applyBorder="1" applyProtection="1">
      <protection hidden="1"/>
    </xf>
    <xf numFmtId="0" fontId="0" fillId="0" borderId="14" xfId="0" applyBorder="1" applyProtection="1">
      <protection hidden="1"/>
    </xf>
    <xf numFmtId="0" fontId="0" fillId="0" borderId="3" xfId="0" applyBorder="1" applyProtection="1">
      <protection hidden="1"/>
    </xf>
    <xf numFmtId="0" fontId="0" fillId="0" borderId="9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10" xfId="0" applyBorder="1" applyProtection="1">
      <protection hidden="1"/>
    </xf>
    <xf numFmtId="0" fontId="2" fillId="0" borderId="9" xfId="0" applyFont="1" applyBorder="1" applyAlignment="1" applyProtection="1">
      <alignment horizontal="right"/>
      <protection hidden="1"/>
    </xf>
    <xf numFmtId="166" fontId="6" fillId="5" borderId="0" xfId="1" applyFont="1" applyFill="1" applyBorder="1" applyProtection="1">
      <protection hidden="1"/>
    </xf>
    <xf numFmtId="166" fontId="6" fillId="0" borderId="10" xfId="1" applyFont="1" applyBorder="1" applyProtection="1">
      <protection hidden="1"/>
    </xf>
    <xf numFmtId="0" fontId="7" fillId="0" borderId="9" xfId="0" applyFont="1" applyBorder="1" applyAlignment="1" applyProtection="1">
      <alignment horizontal="right"/>
      <protection hidden="1"/>
    </xf>
    <xf numFmtId="166" fontId="6" fillId="0" borderId="9" xfId="1" applyFont="1" applyBorder="1" applyProtection="1">
      <protection hidden="1"/>
    </xf>
    <xf numFmtId="166" fontId="6" fillId="0" borderId="0" xfId="1" applyFont="1" applyBorder="1" applyProtection="1">
      <protection hidden="1"/>
    </xf>
    <xf numFmtId="166" fontId="8" fillId="0" borderId="9" xfId="1" quotePrefix="1" applyFont="1" applyBorder="1" applyAlignment="1" applyProtection="1">
      <alignment horizontal="right"/>
      <protection hidden="1"/>
    </xf>
    <xf numFmtId="166" fontId="8" fillId="0" borderId="10" xfId="1" quotePrefix="1" applyFont="1" applyBorder="1" applyAlignment="1" applyProtection="1">
      <alignment horizontal="right"/>
      <protection hidden="1"/>
    </xf>
    <xf numFmtId="168" fontId="6" fillId="0" borderId="0" xfId="1" applyNumberFormat="1" applyFont="1" applyBorder="1" applyProtection="1">
      <protection hidden="1"/>
    </xf>
    <xf numFmtId="168" fontId="6" fillId="0" borderId="10" xfId="1" applyNumberFormat="1" applyFont="1" applyBorder="1" applyProtection="1">
      <protection hidden="1"/>
    </xf>
    <xf numFmtId="166" fontId="6" fillId="0" borderId="11" xfId="1" applyFont="1" applyBorder="1" applyProtection="1">
      <protection hidden="1"/>
    </xf>
    <xf numFmtId="168" fontId="6" fillId="0" borderId="13" xfId="1" applyNumberFormat="1" applyFont="1" applyBorder="1" applyProtection="1">
      <protection hidden="1"/>
    </xf>
    <xf numFmtId="168" fontId="6" fillId="0" borderId="12" xfId="1" applyNumberFormat="1" applyFont="1" applyBorder="1" applyProtection="1">
      <protection hidden="1"/>
    </xf>
    <xf numFmtId="0" fontId="11" fillId="0" borderId="0" xfId="0" applyFont="1"/>
    <xf numFmtId="0" fontId="12" fillId="0" borderId="0" xfId="0" applyFont="1"/>
    <xf numFmtId="0" fontId="0" fillId="0" borderId="6" xfId="0" applyBorder="1" applyAlignment="1">
      <alignment horizontal="center" wrapText="1"/>
    </xf>
    <xf numFmtId="0" fontId="0" fillId="0" borderId="0" xfId="0"/>
    <xf numFmtId="0" fontId="0" fillId="0" borderId="6" xfId="0" applyBorder="1"/>
    <xf numFmtId="0" fontId="0" fillId="3" borderId="6" xfId="0" applyFill="1" applyBorder="1"/>
    <xf numFmtId="0" fontId="1" fillId="0" borderId="0" xfId="0" applyFont="1"/>
    <xf numFmtId="0" fontId="0" fillId="0" borderId="0" xfId="0" applyFill="1" applyBorder="1" applyAlignment="1"/>
    <xf numFmtId="0" fontId="0" fillId="0" borderId="13" xfId="0" applyFill="1" applyBorder="1" applyAlignment="1"/>
    <xf numFmtId="0" fontId="14" fillId="0" borderId="15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22" xfId="0" applyFill="1" applyBorder="1"/>
    <xf numFmtId="0" fontId="0" fillId="0" borderId="23" xfId="0" applyBorder="1"/>
    <xf numFmtId="0" fontId="15" fillId="0" borderId="15" xfId="0" applyFont="1" applyFill="1" applyBorder="1" applyAlignment="1">
      <alignment horizontal="centerContinuous"/>
    </xf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3" borderId="0" xfId="0" applyFont="1" applyFill="1" applyBorder="1"/>
    <xf numFmtId="0" fontId="1" fillId="0" borderId="20" xfId="0" applyFont="1" applyBorder="1"/>
    <xf numFmtId="0" fontId="0" fillId="0" borderId="6" xfId="0" applyFill="1" applyBorder="1" applyAlignment="1">
      <alignment horizontal="center"/>
    </xf>
    <xf numFmtId="0" fontId="6" fillId="0" borderId="0" xfId="2"/>
    <xf numFmtId="0" fontId="2" fillId="0" borderId="0" xfId="2" applyFont="1"/>
    <xf numFmtId="0" fontId="16" fillId="0" borderId="6" xfId="2" applyFont="1" applyBorder="1"/>
    <xf numFmtId="0" fontId="17" fillId="0" borderId="6" xfId="2" applyFont="1" applyBorder="1"/>
    <xf numFmtId="0" fontId="16" fillId="0" borderId="0" xfId="2" applyFont="1" applyBorder="1"/>
    <xf numFmtId="0" fontId="16" fillId="3" borderId="6" xfId="2" applyFont="1" applyFill="1" applyBorder="1"/>
    <xf numFmtId="0" fontId="17" fillId="0" borderId="0" xfId="2" applyFont="1"/>
    <xf numFmtId="0" fontId="16" fillId="0" borderId="0" xfId="2" applyFont="1"/>
    <xf numFmtId="0" fontId="18" fillId="0" borderId="0" xfId="2" applyFont="1"/>
    <xf numFmtId="0" fontId="16" fillId="0" borderId="14" xfId="2" applyFont="1" applyBorder="1"/>
    <xf numFmtId="0" fontId="16" fillId="0" borderId="3" xfId="2" applyFont="1" applyBorder="1"/>
    <xf numFmtId="0" fontId="16" fillId="0" borderId="10" xfId="2" applyFont="1" applyBorder="1"/>
    <xf numFmtId="0" fontId="16" fillId="0" borderId="13" xfId="2" applyFont="1" applyBorder="1"/>
    <xf numFmtId="0" fontId="16" fillId="0" borderId="12" xfId="2" applyFont="1" applyBorder="1"/>
    <xf numFmtId="0" fontId="20" fillId="0" borderId="0" xfId="0" applyFont="1"/>
    <xf numFmtId="0" fontId="22" fillId="11" borderId="6" xfId="0" applyFont="1" applyFill="1" applyBorder="1"/>
    <xf numFmtId="0" fontId="23" fillId="11" borderId="6" xfId="0" applyFont="1" applyFill="1" applyBorder="1"/>
    <xf numFmtId="0" fontId="23" fillId="11" borderId="6" xfId="0" applyFont="1" applyFill="1" applyBorder="1" applyAlignment="1">
      <alignment horizontal="center"/>
    </xf>
    <xf numFmtId="0" fontId="24" fillId="11" borderId="0" xfId="0" applyFont="1" applyFill="1"/>
    <xf numFmtId="0" fontId="25" fillId="11" borderId="0" xfId="0" applyFont="1" applyFill="1"/>
    <xf numFmtId="0" fontId="2" fillId="0" borderId="6" xfId="0" applyFont="1" applyBorder="1" applyAlignment="1" applyProtection="1">
      <alignment horizontal="right"/>
      <protection hidden="1"/>
    </xf>
    <xf numFmtId="166" fontId="2" fillId="0" borderId="6" xfId="1" applyFont="1" applyFill="1" applyBorder="1" applyAlignment="1" applyProtection="1">
      <alignment horizontal="center"/>
      <protection locked="0"/>
    </xf>
    <xf numFmtId="166" fontId="5" fillId="0" borderId="6" xfId="1" applyFont="1" applyBorder="1" applyAlignment="1" applyProtection="1">
      <alignment horizontal="right"/>
      <protection hidden="1"/>
    </xf>
    <xf numFmtId="166" fontId="2" fillId="0" borderId="6" xfId="1" quotePrefix="1" applyFont="1" applyBorder="1" applyAlignment="1" applyProtection="1">
      <alignment horizontal="right"/>
      <protection hidden="1"/>
    </xf>
    <xf numFmtId="166" fontId="5" fillId="0" borderId="6" xfId="1" applyFont="1" applyBorder="1" applyAlignment="1" applyProtection="1">
      <alignment horizontal="center"/>
      <protection hidden="1"/>
    </xf>
    <xf numFmtId="166" fontId="5" fillId="0" borderId="6" xfId="1" applyFont="1" applyBorder="1" applyProtection="1">
      <protection hidden="1"/>
    </xf>
    <xf numFmtId="0" fontId="5" fillId="0" borderId="6" xfId="0" applyFont="1" applyBorder="1" applyAlignment="1" applyProtection="1">
      <alignment horizontal="center"/>
      <protection hidden="1"/>
    </xf>
    <xf numFmtId="0" fontId="5" fillId="0" borderId="6" xfId="0" applyFont="1" applyBorder="1" applyAlignment="1" applyProtection="1">
      <alignment horizontal="left"/>
      <protection hidden="1"/>
    </xf>
    <xf numFmtId="0" fontId="2" fillId="0" borderId="6" xfId="0" quotePrefix="1" applyFont="1" applyBorder="1" applyAlignment="1" applyProtection="1">
      <alignment horizontal="right"/>
      <protection hidden="1"/>
    </xf>
    <xf numFmtId="166" fontId="5" fillId="0" borderId="6" xfId="1" applyFont="1" applyFill="1" applyBorder="1" applyAlignment="1" applyProtection="1">
      <alignment horizontal="center"/>
      <protection locked="0"/>
    </xf>
    <xf numFmtId="166" fontId="5" fillId="0" borderId="6" xfId="1" applyFont="1" applyBorder="1" applyAlignment="1" applyProtection="1">
      <alignment horizontal="left"/>
      <protection hidden="1"/>
    </xf>
    <xf numFmtId="0" fontId="7" fillId="0" borderId="6" xfId="0" quotePrefix="1" applyFont="1" applyBorder="1" applyAlignment="1" applyProtection="1">
      <alignment horizontal="right"/>
      <protection hidden="1"/>
    </xf>
    <xf numFmtId="167" fontId="5" fillId="0" borderId="6" xfId="1" applyNumberFormat="1" applyFont="1" applyFill="1" applyBorder="1" applyAlignment="1" applyProtection="1">
      <alignment horizontal="center"/>
      <protection hidden="1"/>
    </xf>
    <xf numFmtId="0" fontId="5" fillId="0" borderId="6" xfId="0" applyFont="1" applyFill="1" applyBorder="1" applyAlignment="1" applyProtection="1">
      <alignment horizontal="center"/>
      <protection hidden="1"/>
    </xf>
    <xf numFmtId="0" fontId="5" fillId="0" borderId="6" xfId="0" applyFont="1" applyBorder="1" applyAlignment="1" applyProtection="1">
      <alignment horizontal="left" wrapText="1"/>
      <protection hidden="1"/>
    </xf>
    <xf numFmtId="166" fontId="0" fillId="0" borderId="6" xfId="0" applyNumberFormat="1" applyBorder="1"/>
    <xf numFmtId="0" fontId="5" fillId="0" borderId="6" xfId="0" applyFont="1" applyFill="1" applyBorder="1" applyAlignment="1" applyProtection="1">
      <alignment horizontal="left" wrapText="1"/>
      <protection hidden="1"/>
    </xf>
    <xf numFmtId="0" fontId="25" fillId="11" borderId="6" xfId="0" applyFont="1" applyFill="1" applyBorder="1"/>
    <xf numFmtId="0" fontId="23" fillId="11" borderId="0" xfId="0" applyFont="1" applyFill="1" applyBorder="1"/>
    <xf numFmtId="0" fontId="0" fillId="12" borderId="0" xfId="0" applyFill="1"/>
    <xf numFmtId="0" fontId="28" fillId="11" borderId="0" xfId="2" applyFont="1" applyFill="1"/>
    <xf numFmtId="0" fontId="29" fillId="11" borderId="0" xfId="2" applyFont="1" applyFill="1"/>
    <xf numFmtId="0" fontId="30" fillId="0" borderId="0" xfId="2" applyFont="1"/>
    <xf numFmtId="0" fontId="31" fillId="11" borderId="0" xfId="2" applyFont="1" applyFill="1" applyBorder="1"/>
    <xf numFmtId="0" fontId="32" fillId="11" borderId="0" xfId="2" applyFont="1" applyFill="1"/>
    <xf numFmtId="0" fontId="33" fillId="11" borderId="0" xfId="2" applyFont="1" applyFill="1"/>
    <xf numFmtId="0" fontId="34" fillId="11" borderId="0" xfId="2" applyFont="1" applyFill="1"/>
    <xf numFmtId="0" fontId="31" fillId="11" borderId="0" xfId="2" applyFont="1" applyFill="1"/>
    <xf numFmtId="0" fontId="16" fillId="0" borderId="6" xfId="2" applyFont="1" applyBorder="1" applyAlignment="1">
      <alignment horizontal="center"/>
    </xf>
    <xf numFmtId="0" fontId="16" fillId="0" borderId="6" xfId="2" applyFont="1" applyBorder="1" applyAlignment="1">
      <alignment horizontal="left"/>
    </xf>
    <xf numFmtId="0" fontId="33" fillId="11" borderId="6" xfId="2" applyFont="1" applyFill="1" applyBorder="1"/>
    <xf numFmtId="0" fontId="35" fillId="11" borderId="0" xfId="2" applyFont="1" applyFill="1"/>
    <xf numFmtId="0" fontId="23" fillId="11" borderId="6" xfId="0" applyFont="1" applyFill="1" applyBorder="1" applyAlignment="1">
      <alignment horizontal="center" wrapText="1"/>
    </xf>
    <xf numFmtId="0" fontId="23" fillId="11" borderId="6" xfId="0" applyFont="1" applyFill="1" applyBorder="1" applyAlignment="1">
      <alignment wrapText="1"/>
    </xf>
    <xf numFmtId="0" fontId="16" fillId="12" borderId="6" xfId="2" applyFont="1" applyFill="1" applyBorder="1"/>
    <xf numFmtId="0" fontId="19" fillId="3" borderId="0" xfId="2" applyFont="1" applyFill="1"/>
    <xf numFmtId="0" fontId="23" fillId="11" borderId="0" xfId="0" applyFont="1" applyFill="1"/>
    <xf numFmtId="0" fontId="33" fillId="11" borderId="6" xfId="2" applyFont="1" applyFill="1" applyBorder="1" applyAlignment="1">
      <alignment horizontal="center"/>
    </xf>
    <xf numFmtId="0" fontId="36" fillId="0" borderId="6" xfId="0" applyFont="1" applyBorder="1"/>
    <xf numFmtId="9" fontId="37" fillId="0" borderId="0" xfId="2" applyNumberFormat="1" applyFont="1"/>
    <xf numFmtId="0" fontId="37" fillId="0" borderId="0" xfId="2" applyFont="1"/>
    <xf numFmtId="166" fontId="1" fillId="0" borderId="0" xfId="0" applyNumberFormat="1" applyFont="1" applyAlignment="1">
      <alignment horizontal="center"/>
    </xf>
    <xf numFmtId="0" fontId="13" fillId="0" borderId="6" xfId="0" applyFont="1" applyBorder="1" applyAlignment="1">
      <alignment horizontal="center"/>
    </xf>
    <xf numFmtId="0" fontId="6" fillId="0" borderId="0" xfId="2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6" fillId="0" borderId="6" xfId="2" applyBorder="1" applyAlignment="1">
      <alignment horizontal="center" vertical="center"/>
    </xf>
    <xf numFmtId="0" fontId="38" fillId="13" borderId="25" xfId="8" applyFont="1" applyFill="1" applyBorder="1" applyAlignment="1">
      <alignment horizontal="center" vertical="center"/>
    </xf>
    <xf numFmtId="0" fontId="39" fillId="6" borderId="6" xfId="9" applyBorder="1" applyAlignment="1">
      <alignment horizontal="center" vertical="center"/>
    </xf>
    <xf numFmtId="0" fontId="21" fillId="14" borderId="26" xfId="10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38" fillId="0" borderId="6" xfId="8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0" fillId="7" borderId="24" xfId="11" applyAlignment="1">
      <alignment horizontal="center" vertical="center"/>
    </xf>
    <xf numFmtId="0" fontId="6" fillId="12" borderId="0" xfId="2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8" fillId="11" borderId="6" xfId="2" applyFont="1" applyFill="1" applyBorder="1" applyAlignment="1">
      <alignment horizontal="center" vertical="center"/>
    </xf>
    <xf numFmtId="0" fontId="41" fillId="11" borderId="6" xfId="2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5" fillId="11" borderId="0" xfId="7" applyFont="1" applyFill="1" applyAlignment="1">
      <alignment horizontal="center" vertical="center"/>
    </xf>
    <xf numFmtId="0" fontId="41" fillId="11" borderId="0" xfId="2" applyFont="1" applyFill="1" applyAlignment="1">
      <alignment horizontal="center" vertical="center"/>
    </xf>
    <xf numFmtId="0" fontId="6" fillId="12" borderId="0" xfId="2" applyFill="1" applyAlignment="1">
      <alignment horizontal="center" vertical="center"/>
    </xf>
    <xf numFmtId="0" fontId="25" fillId="11" borderId="6" xfId="0" applyFont="1" applyFill="1" applyBorder="1" applyAlignment="1">
      <alignment horizontal="center"/>
    </xf>
  </cellXfs>
  <cellStyles count="12">
    <cellStyle name="40% - Accent2 2" xfId="10"/>
    <cellStyle name="60% - Accent1 2" xfId="7"/>
    <cellStyle name="60% - Accent2 2" xfId="8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eutral 2" xfId="9"/>
    <cellStyle name="Normal" xfId="0" builtinId="0"/>
    <cellStyle name="Normal 2" xfId="2"/>
    <cellStyle name="Normal_T19-3" xfId="1"/>
    <cellStyle name="Output 2" xfId="11"/>
  </cellStyles>
  <dxfs count="0"/>
  <tableStyles count="0" defaultTableStyle="TableStyleMedium2" defaultPivotStyle="PivotStyleLight16"/>
  <colors>
    <mruColors>
      <color rgb="FFFFF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254000</xdr:colOff>
      <xdr:row>6</xdr:row>
      <xdr:rowOff>142875</xdr:rowOff>
    </xdr:from>
    <xdr:to>
      <xdr:col>9</xdr:col>
      <xdr:colOff>246319</xdr:colOff>
      <xdr:row>14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B26B80-7956-4E5A-B0FD-2739412D5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11500" y="1246188"/>
          <a:ext cx="4056319" cy="14128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HISWORKSHEE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EISS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EIS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ISWORKSHE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SS2"/>
      <sheetName val="WEISS2.XLS"/>
    </sheetNames>
    <definedNames>
      <definedName name="changecolor"/>
      <definedName name="color_CANCEL"/>
      <definedName name="color_DEFAULT"/>
      <definedName name="color_OK"/>
      <definedName name="colorlist_change"/>
    </defined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SS"/>
      <sheetName val="WEISS.XLS"/>
    </sheetNames>
    <definedNames>
      <definedName name="setcolors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8" sqref="B28"/>
    </sheetView>
  </sheetViews>
  <sheetFormatPr defaultColWidth="8.77734375" defaultRowHeight="14.4"/>
  <cols>
    <col min="1" max="1" width="14.77734375" bestFit="1" customWidth="1"/>
    <col min="2" max="2" width="60" bestFit="1" customWidth="1"/>
  </cols>
  <sheetData>
    <row r="2" spans="1:3" ht="25.8">
      <c r="A2" s="105" t="s">
        <v>289</v>
      </c>
      <c r="B2" s="105" t="s">
        <v>290</v>
      </c>
      <c r="C2" s="104"/>
    </row>
    <row r="3" spans="1:3" ht="25.8">
      <c r="A3" s="105" t="s">
        <v>291</v>
      </c>
      <c r="B3" s="105" t="s">
        <v>293</v>
      </c>
      <c r="C3" s="104"/>
    </row>
    <row r="4" spans="1:3" ht="25.8">
      <c r="A4" s="105" t="s">
        <v>292</v>
      </c>
      <c r="B4" s="105" t="s">
        <v>294</v>
      </c>
      <c r="C4" s="10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F31" sqref="F31"/>
    </sheetView>
  </sheetViews>
  <sheetFormatPr defaultColWidth="8.77734375" defaultRowHeight="14.4"/>
  <cols>
    <col min="1" max="1" width="15" customWidth="1"/>
    <col min="2" max="2" width="16.33203125" style="1" customWidth="1"/>
    <col min="3" max="3" width="15.109375" customWidth="1"/>
    <col min="4" max="4" width="11.6640625" customWidth="1"/>
    <col min="5" max="6" width="11.33203125" customWidth="1"/>
    <col min="7" max="7" width="11.44140625" customWidth="1"/>
    <col min="8" max="8" width="10.77734375" customWidth="1"/>
    <col min="18" max="18" width="33.77734375" customWidth="1"/>
    <col min="19" max="19" width="15.33203125" customWidth="1"/>
  </cols>
  <sheetData>
    <row r="1" spans="1:19" ht="18" thickBot="1">
      <c r="A1" s="59" t="s">
        <v>34</v>
      </c>
      <c r="B1" s="60"/>
      <c r="C1" s="60"/>
      <c r="D1" s="60"/>
      <c r="F1" s="8" t="s">
        <v>35</v>
      </c>
    </row>
    <row r="2" spans="1:19" ht="15" thickBot="1">
      <c r="A2" s="106" t="s">
        <v>14</v>
      </c>
      <c r="B2" s="106" t="s">
        <v>1</v>
      </c>
      <c r="C2" s="106" t="s">
        <v>15</v>
      </c>
      <c r="D2" s="106" t="s">
        <v>0</v>
      </c>
      <c r="F2" s="106" t="s">
        <v>14</v>
      </c>
      <c r="G2" s="127" t="s">
        <v>1</v>
      </c>
      <c r="H2" s="127" t="s">
        <v>15</v>
      </c>
      <c r="I2" s="127" t="s">
        <v>0</v>
      </c>
      <c r="J2" s="127" t="s">
        <v>17</v>
      </c>
      <c r="K2" s="127" t="s">
        <v>18</v>
      </c>
      <c r="L2" s="127" t="s">
        <v>19</v>
      </c>
      <c r="O2" s="169" t="s">
        <v>22</v>
      </c>
      <c r="P2" s="170"/>
      <c r="R2" s="171" t="s">
        <v>2</v>
      </c>
      <c r="S2" s="172"/>
    </row>
    <row r="3" spans="1:19" ht="15" thickBot="1">
      <c r="A3" s="11" t="s">
        <v>1</v>
      </c>
      <c r="B3" s="12">
        <v>1</v>
      </c>
      <c r="C3" s="12">
        <v>2</v>
      </c>
      <c r="D3" s="12">
        <f>1/B5</f>
        <v>0.33333333333333331</v>
      </c>
      <c r="F3" s="11" t="s">
        <v>1</v>
      </c>
      <c r="G3" s="12">
        <f t="shared" ref="G3:I5" si="0">B3/B$6</f>
        <v>0.22222222222222221</v>
      </c>
      <c r="H3" s="12">
        <f t="shared" si="0"/>
        <v>0.22222222222222221</v>
      </c>
      <c r="I3" s="12">
        <f t="shared" si="0"/>
        <v>0.22222222222222221</v>
      </c>
      <c r="J3" s="12">
        <f>AVERAGE(G3:I3)</f>
        <v>0.22222222222222221</v>
      </c>
      <c r="K3" s="14">
        <f t="array" ref="K3:K5">MMULT(B3:D5,J3:J5)</f>
        <v>0.66666666666666663</v>
      </c>
      <c r="L3" s="14">
        <f>K3/J3</f>
        <v>3</v>
      </c>
      <c r="O3" s="23" t="s">
        <v>23</v>
      </c>
      <c r="P3" s="24" t="s">
        <v>24</v>
      </c>
      <c r="R3" s="6" t="s">
        <v>3</v>
      </c>
      <c r="S3" s="7" t="s">
        <v>4</v>
      </c>
    </row>
    <row r="4" spans="1:19">
      <c r="A4" s="11" t="s">
        <v>15</v>
      </c>
      <c r="B4" s="12">
        <f>1/C3</f>
        <v>0.5</v>
      </c>
      <c r="C4" s="12">
        <v>1</v>
      </c>
      <c r="D4" s="12">
        <f>1/C5</f>
        <v>0.16666666666666666</v>
      </c>
      <c r="F4" s="11" t="s">
        <v>15</v>
      </c>
      <c r="G4" s="12">
        <f t="shared" si="0"/>
        <v>0.1111111111111111</v>
      </c>
      <c r="H4" s="12">
        <f t="shared" si="0"/>
        <v>0.1111111111111111</v>
      </c>
      <c r="I4" s="12">
        <f t="shared" si="0"/>
        <v>0.1111111111111111</v>
      </c>
      <c r="J4" s="12">
        <f>AVERAGE(G4:I4)</f>
        <v>0.1111111111111111</v>
      </c>
      <c r="K4" s="14">
        <v>0.33333333333333331</v>
      </c>
      <c r="L4" s="14">
        <f>K4/J4</f>
        <v>3</v>
      </c>
      <c r="O4" s="25">
        <v>2</v>
      </c>
      <c r="P4" s="26">
        <v>0</v>
      </c>
      <c r="R4" s="4" t="s">
        <v>5</v>
      </c>
      <c r="S4" s="2">
        <v>1</v>
      </c>
    </row>
    <row r="5" spans="1:19">
      <c r="A5" s="11" t="s">
        <v>0</v>
      </c>
      <c r="B5" s="12">
        <v>3</v>
      </c>
      <c r="C5" s="12">
        <v>6</v>
      </c>
      <c r="D5" s="12">
        <v>1</v>
      </c>
      <c r="F5" s="11" t="s">
        <v>0</v>
      </c>
      <c r="G5" s="12">
        <f t="shared" si="0"/>
        <v>0.66666666666666663</v>
      </c>
      <c r="H5" s="12">
        <f t="shared" si="0"/>
        <v>0.66666666666666663</v>
      </c>
      <c r="I5" s="12">
        <f t="shared" si="0"/>
        <v>0.66666666666666663</v>
      </c>
      <c r="J5" s="12">
        <f>AVERAGE(G5:I5)</f>
        <v>0.66666666666666663</v>
      </c>
      <c r="K5" s="14">
        <v>2</v>
      </c>
      <c r="L5" s="14">
        <f>K5/J5</f>
        <v>3</v>
      </c>
      <c r="O5" s="25">
        <v>3</v>
      </c>
      <c r="P5" s="26">
        <v>0.57999999999999996</v>
      </c>
      <c r="R5" s="4" t="s">
        <v>6</v>
      </c>
      <c r="S5" s="2">
        <v>2</v>
      </c>
    </row>
    <row r="6" spans="1:19">
      <c r="A6" s="11" t="s">
        <v>16</v>
      </c>
      <c r="B6" s="12">
        <f>SUM(B3:B5)</f>
        <v>4.5</v>
      </c>
      <c r="C6" s="12">
        <f>SUM(C3:C5)</f>
        <v>9</v>
      </c>
      <c r="D6" s="12">
        <f>SUM(D3:D5)</f>
        <v>1.5</v>
      </c>
      <c r="F6" s="11" t="s">
        <v>16</v>
      </c>
      <c r="G6" s="12">
        <f>SUM(G3:G5)</f>
        <v>1</v>
      </c>
      <c r="H6" s="12">
        <f>SUM(H3:H5)</f>
        <v>1</v>
      </c>
      <c r="I6" s="12">
        <f>SUM(I3:I5)</f>
        <v>1</v>
      </c>
      <c r="J6" s="12">
        <f>SUM(J3:J5)</f>
        <v>1</v>
      </c>
      <c r="K6" s="15" t="s">
        <v>20</v>
      </c>
      <c r="L6" s="16">
        <f>AVERAGE(L3:L5)</f>
        <v>3</v>
      </c>
      <c r="M6" s="8">
        <f>(L6-COUNT(L3:L5))/((COUNT(L3:L5)-1))</f>
        <v>0</v>
      </c>
      <c r="N6" s="8" t="s">
        <v>21</v>
      </c>
      <c r="O6" s="25">
        <v>4</v>
      </c>
      <c r="P6" s="26">
        <v>0.9</v>
      </c>
      <c r="R6" s="4" t="s">
        <v>7</v>
      </c>
      <c r="S6" s="2">
        <v>3</v>
      </c>
    </row>
    <row r="7" spans="1:19">
      <c r="M7" s="8">
        <f>M6/VLOOKUP(COUNT(L3:L5),$O$4:$P$12,2)</f>
        <v>0</v>
      </c>
      <c r="N7" s="8" t="s">
        <v>31</v>
      </c>
      <c r="O7" s="25">
        <v>5</v>
      </c>
      <c r="P7" s="26">
        <v>1.1200000000000001</v>
      </c>
      <c r="R7" s="4" t="s">
        <v>8</v>
      </c>
      <c r="S7" s="2">
        <v>4</v>
      </c>
    </row>
    <row r="8" spans="1:19">
      <c r="A8" s="8" t="s">
        <v>25</v>
      </c>
      <c r="B8" s="22"/>
      <c r="C8" s="8"/>
      <c r="D8" s="8"/>
      <c r="E8" s="8"/>
      <c r="F8" s="8" t="s">
        <v>30</v>
      </c>
      <c r="G8" s="8"/>
      <c r="H8" s="8"/>
      <c r="I8" s="8"/>
      <c r="J8" s="8"/>
      <c r="K8" s="8"/>
      <c r="L8" s="8"/>
      <c r="O8" s="25">
        <v>6</v>
      </c>
      <c r="P8" s="26">
        <v>0.124</v>
      </c>
      <c r="R8" s="4" t="s">
        <v>9</v>
      </c>
      <c r="S8" s="2">
        <v>5</v>
      </c>
    </row>
    <row r="9" spans="1:19">
      <c r="A9" s="106" t="s">
        <v>26</v>
      </c>
      <c r="B9" s="107" t="s">
        <v>27</v>
      </c>
      <c r="C9" s="107" t="s">
        <v>28</v>
      </c>
      <c r="D9" s="107" t="s">
        <v>29</v>
      </c>
      <c r="E9" s="8"/>
      <c r="F9" s="106" t="s">
        <v>26</v>
      </c>
      <c r="G9" s="107" t="s">
        <v>27</v>
      </c>
      <c r="H9" s="107" t="s">
        <v>28</v>
      </c>
      <c r="I9" s="107" t="s">
        <v>29</v>
      </c>
      <c r="J9" s="106" t="s">
        <v>17</v>
      </c>
      <c r="K9" s="106" t="s">
        <v>18</v>
      </c>
      <c r="L9" s="106" t="s">
        <v>19</v>
      </c>
      <c r="O9" s="25">
        <v>7</v>
      </c>
      <c r="P9" s="26">
        <v>1.32</v>
      </c>
      <c r="R9" s="4" t="s">
        <v>10</v>
      </c>
      <c r="S9" s="2">
        <v>6</v>
      </c>
    </row>
    <row r="10" spans="1:19">
      <c r="A10" s="19" t="s">
        <v>27</v>
      </c>
      <c r="B10" s="12">
        <v>1</v>
      </c>
      <c r="C10" s="12">
        <v>3</v>
      </c>
      <c r="D10" s="12">
        <v>5</v>
      </c>
      <c r="F10" s="13" t="s">
        <v>27</v>
      </c>
      <c r="G10" s="12">
        <f>B10/B$13</f>
        <v>0.65217391304347827</v>
      </c>
      <c r="H10" s="12">
        <f t="shared" ref="H10:H12" si="1">C10/C$13</f>
        <v>0.66666666666666663</v>
      </c>
      <c r="I10" s="12">
        <f t="shared" ref="I10:I12" si="2">D10/D$13</f>
        <v>0.625</v>
      </c>
      <c r="J10" s="12">
        <f>AVERAGE(G10:I10)</f>
        <v>0.64794685990338163</v>
      </c>
      <c r="K10" s="14">
        <f t="array" ref="K10:K12">MMULT(B10:D12,J10:J12)</f>
        <v>1.9484702093397748</v>
      </c>
      <c r="L10" s="14">
        <f>K10/J10</f>
        <v>3.0071450761105938</v>
      </c>
      <c r="O10" s="25">
        <v>8</v>
      </c>
      <c r="P10" s="26">
        <v>1.41</v>
      </c>
      <c r="R10" s="4" t="s">
        <v>11</v>
      </c>
      <c r="S10" s="2">
        <v>7</v>
      </c>
    </row>
    <row r="11" spans="1:19">
      <c r="A11" s="19" t="s">
        <v>28</v>
      </c>
      <c r="B11" s="12">
        <f>1/C10</f>
        <v>0.33333333333333331</v>
      </c>
      <c r="C11" s="12">
        <v>1</v>
      </c>
      <c r="D11" s="12">
        <v>2</v>
      </c>
      <c r="F11" s="13" t="s">
        <v>28</v>
      </c>
      <c r="G11" s="12">
        <f t="shared" ref="G11:G12" si="3">B11/B$13</f>
        <v>0.21739130434782608</v>
      </c>
      <c r="H11" s="12">
        <f t="shared" si="1"/>
        <v>0.22222222222222221</v>
      </c>
      <c r="I11" s="12">
        <f t="shared" si="2"/>
        <v>0.25</v>
      </c>
      <c r="J11" s="12">
        <f t="shared" ref="J11:J12" si="4">AVERAGE(G11:I11)</f>
        <v>0.22987117552334943</v>
      </c>
      <c r="K11" s="14">
        <v>0.69021739130434778</v>
      </c>
      <c r="L11" s="14">
        <f>K11/J11</f>
        <v>3.0026269702276704</v>
      </c>
      <c r="O11" s="27">
        <v>9</v>
      </c>
      <c r="P11" s="28">
        <v>1.45</v>
      </c>
      <c r="R11" s="4" t="s">
        <v>12</v>
      </c>
      <c r="S11" s="2">
        <v>8</v>
      </c>
    </row>
    <row r="12" spans="1:19" ht="15" thickBot="1">
      <c r="A12" s="19" t="s">
        <v>29</v>
      </c>
      <c r="B12" s="12">
        <f>1/D10</f>
        <v>0.2</v>
      </c>
      <c r="C12" s="12">
        <f>1/D11</f>
        <v>0.5</v>
      </c>
      <c r="D12" s="12">
        <v>1</v>
      </c>
      <c r="F12" s="13" t="s">
        <v>29</v>
      </c>
      <c r="G12" s="12">
        <f t="shared" si="3"/>
        <v>0.13043478260869568</v>
      </c>
      <c r="H12" s="12">
        <f t="shared" si="1"/>
        <v>0.1111111111111111</v>
      </c>
      <c r="I12" s="12">
        <f t="shared" si="2"/>
        <v>0.125</v>
      </c>
      <c r="J12" s="12">
        <f t="shared" si="4"/>
        <v>0.12218196457326892</v>
      </c>
      <c r="K12" s="14">
        <v>0.36670692431561996</v>
      </c>
      <c r="L12" s="14">
        <f>K12/J12</f>
        <v>3.0013179571663922</v>
      </c>
      <c r="O12" s="29">
        <v>10</v>
      </c>
      <c r="P12" s="30">
        <v>1.51</v>
      </c>
      <c r="R12" s="5" t="s">
        <v>13</v>
      </c>
      <c r="S12" s="3">
        <v>9</v>
      </c>
    </row>
    <row r="13" spans="1:19">
      <c r="A13" s="10" t="s">
        <v>16</v>
      </c>
      <c r="B13" s="12">
        <f>SUM(B10:B12)</f>
        <v>1.5333333333333332</v>
      </c>
      <c r="C13" s="12">
        <f>SUM(C10:C12)</f>
        <v>4.5</v>
      </c>
      <c r="D13" s="12">
        <f>SUM(D10:D12)</f>
        <v>8</v>
      </c>
      <c r="F13" s="11" t="s">
        <v>16</v>
      </c>
      <c r="G13" s="12">
        <f>SUM(G10:G12)</f>
        <v>1</v>
      </c>
      <c r="H13" s="12">
        <f>SUM(H10:H12)</f>
        <v>1</v>
      </c>
      <c r="I13" s="12">
        <f>SUM(I10:I12)</f>
        <v>1</v>
      </c>
      <c r="J13" s="14">
        <f>SUM(J10:J12)</f>
        <v>1</v>
      </c>
      <c r="K13" s="15" t="s">
        <v>20</v>
      </c>
      <c r="L13" s="16">
        <f>AVERAGE(L10:L12)</f>
        <v>3.0036966678348858</v>
      </c>
      <c r="M13" s="17">
        <f>(L13-COUNT(L10:L12))/((COUNT(L10:L12)-1))</f>
        <v>1.8483339174428792E-3</v>
      </c>
      <c r="N13" s="8" t="s">
        <v>21</v>
      </c>
    </row>
    <row r="14" spans="1:19">
      <c r="A14" s="8"/>
      <c r="K14" s="8"/>
      <c r="L14" s="8"/>
      <c r="M14" s="17">
        <f>M13/VLOOKUP(COUNT(L10:L12),$O$4:$P$12,2)</f>
        <v>3.1867826162808263E-3</v>
      </c>
      <c r="N14" s="8" t="s">
        <v>31</v>
      </c>
    </row>
    <row r="15" spans="1:19">
      <c r="A15" s="20" t="s">
        <v>32</v>
      </c>
      <c r="B15" s="22"/>
      <c r="C15" s="8"/>
      <c r="D15" s="8"/>
      <c r="E15" s="8"/>
      <c r="F15" s="8" t="s">
        <v>30</v>
      </c>
      <c r="G15" s="8"/>
      <c r="H15" s="8"/>
      <c r="I15" s="8"/>
      <c r="J15" s="8"/>
      <c r="K15" s="8"/>
      <c r="L15" s="8"/>
    </row>
    <row r="16" spans="1:19">
      <c r="A16" s="106" t="s">
        <v>26</v>
      </c>
      <c r="B16" s="107" t="s">
        <v>27</v>
      </c>
      <c r="C16" s="107" t="s">
        <v>28</v>
      </c>
      <c r="D16" s="107" t="s">
        <v>29</v>
      </c>
      <c r="E16" s="8"/>
      <c r="F16" s="106" t="s">
        <v>26</v>
      </c>
      <c r="G16" s="107" t="s">
        <v>27</v>
      </c>
      <c r="H16" s="107" t="s">
        <v>28</v>
      </c>
      <c r="I16" s="107" t="s">
        <v>29</v>
      </c>
      <c r="J16" s="106" t="s">
        <v>17</v>
      </c>
      <c r="K16" s="106" t="s">
        <v>18</v>
      </c>
      <c r="L16" s="106" t="s">
        <v>19</v>
      </c>
    </row>
    <row r="17" spans="1:14">
      <c r="A17" s="19" t="s">
        <v>27</v>
      </c>
      <c r="B17" s="12">
        <v>1</v>
      </c>
      <c r="C17" s="12">
        <f>1/B18</f>
        <v>0.33333333333333331</v>
      </c>
      <c r="D17" s="12">
        <v>3</v>
      </c>
      <c r="F17" s="13" t="s">
        <v>27</v>
      </c>
      <c r="G17" s="12">
        <f>B17/B$20</f>
        <v>0.23076923076923078</v>
      </c>
      <c r="H17" s="12">
        <f t="shared" ref="H17:I17" si="5">C17/C$20</f>
        <v>0.21739130434782608</v>
      </c>
      <c r="I17" s="12">
        <f t="shared" si="5"/>
        <v>0.33333333333333331</v>
      </c>
      <c r="J17" s="12">
        <f>AVERAGE(G17:I17)</f>
        <v>0.26049795615013011</v>
      </c>
      <c r="K17" s="14">
        <f t="array" ref="K17:K19">MMULT(B17:D19,J17:J19)</f>
        <v>0.79008216689376121</v>
      </c>
      <c r="L17" s="14">
        <f>K17/J17</f>
        <v>3.0329687747662071</v>
      </c>
    </row>
    <row r="18" spans="1:14">
      <c r="A18" s="19" t="s">
        <v>28</v>
      </c>
      <c r="B18" s="12">
        <v>3</v>
      </c>
      <c r="C18" s="12">
        <v>1</v>
      </c>
      <c r="D18" s="12">
        <v>5</v>
      </c>
      <c r="F18" s="13" t="s">
        <v>28</v>
      </c>
      <c r="G18" s="12">
        <f t="shared" ref="G18:G19" si="6">B18/B$20</f>
        <v>0.6923076923076924</v>
      </c>
      <c r="H18" s="12">
        <f t="shared" ref="H18:H19" si="7">C18/C$20</f>
        <v>0.65217391304347827</v>
      </c>
      <c r="I18" s="12">
        <f t="shared" ref="I18:I19" si="8">D18/D$20</f>
        <v>0.55555555555555558</v>
      </c>
      <c r="J18" s="12">
        <f t="shared" ref="J18:J19" si="9">AVERAGE(G18:I18)</f>
        <v>0.63334572030224201</v>
      </c>
      <c r="K18" s="14">
        <v>1.9456212064907716</v>
      </c>
      <c r="L18" s="14">
        <f>K18/J18</f>
        <v>3.0719734011343633</v>
      </c>
    </row>
    <row r="19" spans="1:14">
      <c r="A19" s="19" t="s">
        <v>29</v>
      </c>
      <c r="B19" s="12">
        <f>1/D17</f>
        <v>0.33333333333333331</v>
      </c>
      <c r="C19" s="12">
        <f>1/D18</f>
        <v>0.2</v>
      </c>
      <c r="D19" s="12">
        <v>1</v>
      </c>
      <c r="F19" s="13" t="s">
        <v>29</v>
      </c>
      <c r="G19" s="12">
        <f t="shared" si="6"/>
        <v>7.6923076923076927E-2</v>
      </c>
      <c r="H19" s="12">
        <f t="shared" si="7"/>
        <v>0.13043478260869568</v>
      </c>
      <c r="I19" s="12">
        <f t="shared" si="8"/>
        <v>0.1111111111111111</v>
      </c>
      <c r="J19" s="12">
        <f t="shared" si="9"/>
        <v>0.1061563235476279</v>
      </c>
      <c r="K19" s="14">
        <v>0.31965811965811969</v>
      </c>
      <c r="L19" s="14">
        <f>K19/J19</f>
        <v>3.0112018669778298</v>
      </c>
    </row>
    <row r="20" spans="1:14">
      <c r="A20" s="10" t="s">
        <v>16</v>
      </c>
      <c r="B20" s="12">
        <f>SUM(B17:B19)</f>
        <v>4.333333333333333</v>
      </c>
      <c r="C20" s="12">
        <f>SUM(C17:C19)</f>
        <v>1.5333333333333332</v>
      </c>
      <c r="D20" s="12">
        <f>SUM(D17:D19)</f>
        <v>9</v>
      </c>
      <c r="F20" s="11" t="s">
        <v>16</v>
      </c>
      <c r="G20" s="12">
        <f>SUM(G17:G19)</f>
        <v>1</v>
      </c>
      <c r="H20" s="12">
        <f>SUM(H17:H19)</f>
        <v>1</v>
      </c>
      <c r="I20" s="12">
        <f>SUM(I17:I19)</f>
        <v>1</v>
      </c>
      <c r="J20" s="14">
        <f>SUM(J17:J19)</f>
        <v>1</v>
      </c>
      <c r="K20" s="15" t="s">
        <v>20</v>
      </c>
      <c r="L20" s="16">
        <f>AVERAGE(L17:L19)</f>
        <v>3.0387146809594667</v>
      </c>
      <c r="M20" s="18">
        <f>(L20-COUNT(L17:L19))/((COUNT(L17:L19)-1))</f>
        <v>1.9357340479733365E-2</v>
      </c>
      <c r="N20" s="8" t="s">
        <v>21</v>
      </c>
    </row>
    <row r="21" spans="1:14">
      <c r="A21" s="8"/>
      <c r="K21" s="8"/>
      <c r="L21" s="8"/>
      <c r="M21" s="18">
        <f>M20/VLOOKUP(COUNT(L17:L19),$O$4:$P$12,2)</f>
        <v>3.3374724965057528E-2</v>
      </c>
      <c r="N21" s="8" t="s">
        <v>31</v>
      </c>
    </row>
    <row r="22" spans="1:14">
      <c r="A22" s="21" t="s">
        <v>33</v>
      </c>
      <c r="B22" s="22"/>
      <c r="C22" s="8"/>
      <c r="D22" s="8"/>
      <c r="E22" s="8"/>
      <c r="F22" s="8" t="s">
        <v>30</v>
      </c>
      <c r="G22" s="8"/>
      <c r="H22" s="8"/>
      <c r="I22" s="8"/>
      <c r="J22" s="8"/>
      <c r="K22" s="8"/>
      <c r="L22" s="8"/>
      <c r="M22" s="9"/>
    </row>
    <row r="23" spans="1:14">
      <c r="A23" s="106" t="s">
        <v>26</v>
      </c>
      <c r="B23" s="107" t="s">
        <v>27</v>
      </c>
      <c r="C23" s="107" t="s">
        <v>28</v>
      </c>
      <c r="D23" s="107" t="s">
        <v>29</v>
      </c>
      <c r="E23" s="8"/>
      <c r="F23" s="106" t="s">
        <v>26</v>
      </c>
      <c r="G23" s="107" t="s">
        <v>27</v>
      </c>
      <c r="H23" s="107" t="s">
        <v>28</v>
      </c>
      <c r="I23" s="107" t="s">
        <v>29</v>
      </c>
      <c r="J23" s="106" t="s">
        <v>17</v>
      </c>
      <c r="K23" s="106" t="s">
        <v>18</v>
      </c>
      <c r="L23" s="106" t="s">
        <v>19</v>
      </c>
      <c r="M23" s="9"/>
    </row>
    <row r="24" spans="1:14">
      <c r="A24" s="19" t="s">
        <v>27</v>
      </c>
      <c r="B24" s="12">
        <v>1</v>
      </c>
      <c r="C24" s="12">
        <v>5</v>
      </c>
      <c r="D24" s="12">
        <v>3</v>
      </c>
      <c r="F24" s="13" t="s">
        <v>27</v>
      </c>
      <c r="G24" s="12">
        <f>B24/B$27</f>
        <v>0.65217391304347827</v>
      </c>
      <c r="H24" s="12">
        <f t="shared" ref="H24:I26" si="10">C24/C$27</f>
        <v>0.625</v>
      </c>
      <c r="I24" s="12">
        <f t="shared" si="10"/>
        <v>0.66666666666666663</v>
      </c>
      <c r="J24" s="12">
        <f>AVERAGE(G24:I24)</f>
        <v>0.64794685990338163</v>
      </c>
      <c r="K24" s="14">
        <f t="array" ref="K24:K26">MMULT(B24:D26,J24:J26)</f>
        <v>1.9484702093397746</v>
      </c>
      <c r="L24" s="14">
        <f>K24/J24</f>
        <v>3.0071450761105933</v>
      </c>
      <c r="M24" s="9"/>
    </row>
    <row r="25" spans="1:14">
      <c r="A25" s="19" t="s">
        <v>28</v>
      </c>
      <c r="B25" s="12">
        <f>1/C24</f>
        <v>0.2</v>
      </c>
      <c r="C25" s="12">
        <v>1</v>
      </c>
      <c r="D25" s="12">
        <f>1/C26</f>
        <v>0.5</v>
      </c>
      <c r="F25" s="13" t="s">
        <v>28</v>
      </c>
      <c r="G25" s="12">
        <f t="shared" ref="G25:G26" si="11">B25/B$27</f>
        <v>0.13043478260869568</v>
      </c>
      <c r="H25" s="12">
        <f t="shared" si="10"/>
        <v>0.125</v>
      </c>
      <c r="I25" s="12">
        <f t="shared" si="10"/>
        <v>0.1111111111111111</v>
      </c>
      <c r="J25" s="12">
        <f t="shared" ref="J25:J26" si="12">AVERAGE(G25:I25)</f>
        <v>0.12218196457326892</v>
      </c>
      <c r="K25" s="11">
        <v>0.36670692431561996</v>
      </c>
      <c r="L25" s="14">
        <f>K25/J25</f>
        <v>3.0013179571663922</v>
      </c>
      <c r="M25" s="9"/>
    </row>
    <row r="26" spans="1:14">
      <c r="A26" s="19" t="s">
        <v>29</v>
      </c>
      <c r="B26" s="12">
        <f>1/D24</f>
        <v>0.33333333333333331</v>
      </c>
      <c r="C26" s="12">
        <v>2</v>
      </c>
      <c r="D26" s="12">
        <v>1</v>
      </c>
      <c r="F26" s="13" t="s">
        <v>29</v>
      </c>
      <c r="G26" s="12">
        <f t="shared" si="11"/>
        <v>0.21739130434782608</v>
      </c>
      <c r="H26" s="12">
        <f t="shared" si="10"/>
        <v>0.25</v>
      </c>
      <c r="I26" s="12">
        <f t="shared" si="10"/>
        <v>0.22222222222222221</v>
      </c>
      <c r="J26" s="12">
        <f t="shared" si="12"/>
        <v>0.22987117552334943</v>
      </c>
      <c r="K26" s="11">
        <v>0.69021739130434778</v>
      </c>
      <c r="L26" s="14">
        <f>K26/J26</f>
        <v>3.0026269702276704</v>
      </c>
      <c r="M26" s="9"/>
    </row>
    <row r="27" spans="1:14">
      <c r="A27" s="10" t="s">
        <v>16</v>
      </c>
      <c r="B27" s="12">
        <f>SUM(B24:B26)</f>
        <v>1.5333333333333332</v>
      </c>
      <c r="C27" s="12">
        <f>SUM(C24:C26)</f>
        <v>8</v>
      </c>
      <c r="D27" s="12">
        <f>SUM(D24:D26)</f>
        <v>4.5</v>
      </c>
      <c r="F27" s="11" t="s">
        <v>16</v>
      </c>
      <c r="G27" s="14">
        <f>SUM(G24:G26)</f>
        <v>1</v>
      </c>
      <c r="H27" s="14">
        <f t="shared" ref="H27:I27" si="13">SUM(H24:H26)</f>
        <v>1</v>
      </c>
      <c r="I27" s="14">
        <f t="shared" si="13"/>
        <v>0.99999999999999989</v>
      </c>
      <c r="J27" s="14">
        <f>SUM(J24:J26)</f>
        <v>1</v>
      </c>
      <c r="K27" s="15" t="s">
        <v>20</v>
      </c>
      <c r="L27" s="16">
        <f>AVERAGE(L24:L26)</f>
        <v>3.0036966678348853</v>
      </c>
      <c r="M27" s="18">
        <f>(L27-COUNT(L24:L26))/((COUNT(L24:L26)-1))</f>
        <v>1.8483339174426572E-3</v>
      </c>
      <c r="N27" s="8" t="s">
        <v>21</v>
      </c>
    </row>
    <row r="28" spans="1:14">
      <c r="K28" s="8"/>
      <c r="L28" s="8"/>
      <c r="M28" s="18">
        <f>M27/VLOOKUP(COUNT(L24:L26),$O$4:$P$12,2)</f>
        <v>3.1867826162804438E-3</v>
      </c>
      <c r="N28" s="8" t="s">
        <v>31</v>
      </c>
    </row>
    <row r="30" spans="1:14">
      <c r="B30" s="106" t="s">
        <v>1</v>
      </c>
      <c r="C30" s="106" t="s">
        <v>15</v>
      </c>
      <c r="D30" s="106" t="s">
        <v>0</v>
      </c>
      <c r="G30" s="128" t="s">
        <v>295</v>
      </c>
    </row>
    <row r="31" spans="1:14">
      <c r="A31" s="19" t="s">
        <v>27</v>
      </c>
      <c r="B31" s="12">
        <v>0.64794685990338163</v>
      </c>
      <c r="C31" s="14">
        <v>0.26049795615013011</v>
      </c>
      <c r="D31" s="12">
        <v>0.64794685990338163</v>
      </c>
      <c r="E31" s="12">
        <v>0.22222222222222221</v>
      </c>
      <c r="F31" s="31">
        <f t="array" ref="F31:F33">MMULT(B31:D33,E31:E33)</f>
        <v>0.60489698170857586</v>
      </c>
      <c r="G31" s="129" t="s">
        <v>36</v>
      </c>
    </row>
    <row r="32" spans="1:14">
      <c r="A32" s="19" t="s">
        <v>28</v>
      </c>
      <c r="B32" s="12">
        <v>0.22987117552334943</v>
      </c>
      <c r="C32" s="14">
        <v>0.63334572030224201</v>
      </c>
      <c r="D32" s="12">
        <v>0.12218196457326892</v>
      </c>
      <c r="E32" s="12">
        <v>0.1111111111111111</v>
      </c>
      <c r="F32" s="32">
        <v>0.20290887319872825</v>
      </c>
      <c r="G32" s="129" t="s">
        <v>37</v>
      </c>
    </row>
    <row r="33" spans="1:7">
      <c r="A33" s="19" t="s">
        <v>29</v>
      </c>
      <c r="B33" s="12">
        <v>0.12218196457326892</v>
      </c>
      <c r="C33" s="14">
        <v>0.1061563235476279</v>
      </c>
      <c r="D33" s="12">
        <v>0.22987117552334943</v>
      </c>
      <c r="E33" s="12">
        <v>0.66666666666666663</v>
      </c>
      <c r="F33" s="33">
        <v>0.19219414509269581</v>
      </c>
      <c r="G33" s="129" t="s">
        <v>38</v>
      </c>
    </row>
    <row r="34" spans="1:7">
      <c r="G34" s="8"/>
    </row>
  </sheetData>
  <mergeCells count="2">
    <mergeCell ref="O2:P2"/>
    <mergeCell ref="R2:S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2"/>
  <sheetViews>
    <sheetView workbookViewId="0">
      <selection activeCell="E18" sqref="E18"/>
    </sheetView>
  </sheetViews>
  <sheetFormatPr defaultColWidth="8.77734375" defaultRowHeight="14.4"/>
  <cols>
    <col min="2" max="2" width="45.44140625" customWidth="1"/>
    <col min="3" max="3" width="11.77734375" customWidth="1"/>
    <col min="5" max="5" width="8.109375" customWidth="1"/>
  </cols>
  <sheetData>
    <row r="1" spans="1:12" ht="17.399999999999999">
      <c r="A1" s="108" t="s">
        <v>44</v>
      </c>
      <c r="B1" s="108"/>
      <c r="C1" s="109"/>
      <c r="D1" s="109"/>
    </row>
    <row r="2" spans="1:12" ht="15" thickBot="1">
      <c r="A2" s="63"/>
      <c r="B2" s="63"/>
      <c r="C2" s="110" t="s">
        <v>61</v>
      </c>
      <c r="D2" s="111">
        <v>0.75</v>
      </c>
      <c r="E2" s="39"/>
      <c r="F2" s="36"/>
    </row>
    <row r="3" spans="1:12" ht="15" thickBot="1">
      <c r="A3" s="63"/>
      <c r="B3" s="63"/>
      <c r="C3" s="110" t="s">
        <v>64</v>
      </c>
      <c r="D3" s="111">
        <v>0.5</v>
      </c>
      <c r="E3" s="39"/>
      <c r="F3" s="36"/>
      <c r="G3" s="37"/>
      <c r="H3" s="38"/>
    </row>
    <row r="4" spans="1:12">
      <c r="A4" s="63"/>
      <c r="B4" s="112" t="s">
        <v>54</v>
      </c>
      <c r="C4" s="113" t="s">
        <v>45</v>
      </c>
      <c r="D4" s="111">
        <v>2</v>
      </c>
      <c r="E4" s="22"/>
      <c r="F4" s="39"/>
      <c r="G4" s="39"/>
      <c r="I4" s="40" t="s">
        <v>55</v>
      </c>
      <c r="J4" s="41"/>
      <c r="K4" s="41"/>
      <c r="L4" s="42"/>
    </row>
    <row r="5" spans="1:12">
      <c r="A5" s="114" t="s">
        <v>62</v>
      </c>
      <c r="B5" s="115" t="s">
        <v>63</v>
      </c>
      <c r="C5" s="113" t="s">
        <v>65</v>
      </c>
      <c r="D5" s="111">
        <f>(1)/((((((D2/D3)^0)/FACT(0))+((D2/D3)^1)/FACT(1))+((D2/D3)^2)/FACT(2))+(((((D2)/(D3))^D4)/((FACT(D4))*(1-((D2)/D4*D3))))))</f>
        <v>0.19961612284069097</v>
      </c>
      <c r="E5" s="39"/>
      <c r="F5" s="39"/>
      <c r="G5" s="39"/>
      <c r="I5" s="43"/>
      <c r="J5" s="44"/>
      <c r="K5" s="44"/>
      <c r="L5" s="45"/>
    </row>
    <row r="6" spans="1:12" s="62" customFormat="1" ht="15.6">
      <c r="A6" s="114"/>
      <c r="B6" s="115" t="s">
        <v>311</v>
      </c>
      <c r="C6" s="118" t="s">
        <v>48</v>
      </c>
      <c r="D6" s="119">
        <v>1.9285714285714284</v>
      </c>
      <c r="E6" s="39"/>
      <c r="F6" s="39"/>
      <c r="G6" s="39"/>
      <c r="I6" s="43"/>
      <c r="J6" s="44"/>
      <c r="K6" s="44"/>
      <c r="L6" s="45"/>
    </row>
    <row r="7" spans="1:12">
      <c r="A7" s="116" t="s">
        <v>270</v>
      </c>
      <c r="B7" s="117" t="s">
        <v>312</v>
      </c>
      <c r="D7" s="151">
        <f>D2/D3</f>
        <v>1.5</v>
      </c>
      <c r="E7" s="39"/>
      <c r="F7" s="39"/>
      <c r="G7" s="39"/>
      <c r="I7" s="46" t="s">
        <v>56</v>
      </c>
      <c r="J7" s="47">
        <v>0.75</v>
      </c>
      <c r="K7" s="44"/>
      <c r="L7" s="48"/>
    </row>
    <row r="8" spans="1:12">
      <c r="A8" s="116" t="s">
        <v>271</v>
      </c>
      <c r="B8" s="117" t="s">
        <v>60</v>
      </c>
      <c r="C8" s="118" t="s">
        <v>49</v>
      </c>
      <c r="D8" s="119">
        <f>D6+D7</f>
        <v>3.4285714285714284</v>
      </c>
      <c r="E8" s="39"/>
      <c r="F8" s="39"/>
      <c r="G8" s="39"/>
      <c r="I8" s="49" t="s">
        <v>57</v>
      </c>
      <c r="J8" s="47">
        <v>0.5</v>
      </c>
      <c r="K8" s="44"/>
      <c r="L8" s="48"/>
    </row>
    <row r="9" spans="1:12" ht="15.6">
      <c r="A9" s="116" t="s">
        <v>272</v>
      </c>
      <c r="B9" s="117" t="s">
        <v>50</v>
      </c>
      <c r="C9" s="118" t="s">
        <v>51</v>
      </c>
      <c r="D9" s="119">
        <f>D6/D2</f>
        <v>2.5714285714285712</v>
      </c>
      <c r="E9" s="39"/>
      <c r="F9" s="39"/>
      <c r="G9" s="39"/>
      <c r="I9" s="50"/>
      <c r="J9" s="51"/>
      <c r="K9" s="51"/>
      <c r="L9" s="48"/>
    </row>
    <row r="10" spans="1:12">
      <c r="A10" s="116" t="s">
        <v>273</v>
      </c>
      <c r="B10" s="117" t="s">
        <v>52</v>
      </c>
      <c r="C10" s="118" t="s">
        <v>53</v>
      </c>
      <c r="D10" s="119">
        <f>D9+2</f>
        <v>4.5714285714285712</v>
      </c>
      <c r="E10" s="39"/>
      <c r="F10" s="39"/>
      <c r="G10" s="39"/>
      <c r="I10" s="52" t="s">
        <v>58</v>
      </c>
      <c r="J10" s="51"/>
      <c r="K10" s="51"/>
      <c r="L10" s="53" t="s">
        <v>59</v>
      </c>
    </row>
    <row r="11" spans="1:12">
      <c r="A11" s="114" t="s">
        <v>274</v>
      </c>
      <c r="B11" s="120" t="s">
        <v>46</v>
      </c>
      <c r="C11" s="121" t="s">
        <v>47</v>
      </c>
      <c r="D11" s="122">
        <f>D2/(2*0.5)</f>
        <v>0.75</v>
      </c>
      <c r="E11" s="39"/>
      <c r="F11" s="39"/>
      <c r="G11" s="39"/>
      <c r="I11" s="50">
        <v>1</v>
      </c>
      <c r="J11" s="54">
        <v>1</v>
      </c>
      <c r="K11" s="54">
        <v>-3</v>
      </c>
      <c r="L11" s="55">
        <v>-0.5</v>
      </c>
    </row>
    <row r="12" spans="1:12" ht="15.6">
      <c r="A12" s="123"/>
      <c r="B12" s="63"/>
      <c r="C12" s="110" t="s">
        <v>56</v>
      </c>
      <c r="D12" s="152">
        <f>45/60*3</f>
        <v>2.25</v>
      </c>
      <c r="E12" s="39"/>
      <c r="F12" s="39"/>
      <c r="G12" s="39"/>
      <c r="I12" s="50">
        <v>2</v>
      </c>
      <c r="J12" s="54">
        <v>2.5</v>
      </c>
      <c r="K12" s="54">
        <v>4.5</v>
      </c>
      <c r="L12" s="55">
        <v>0.14285714285714285</v>
      </c>
    </row>
    <row r="13" spans="1:12" ht="28.8">
      <c r="A13" s="123" t="s">
        <v>275</v>
      </c>
      <c r="B13" s="126" t="s">
        <v>265</v>
      </c>
      <c r="C13" s="10" t="s">
        <v>259</v>
      </c>
      <c r="D13" s="63">
        <f>POISSON(5,2.25,TRUE)</f>
        <v>0.97263464593669835</v>
      </c>
      <c r="I13" s="50">
        <v>3</v>
      </c>
      <c r="J13" s="54">
        <v>3.625</v>
      </c>
      <c r="K13" s="54">
        <v>1.125</v>
      </c>
      <c r="L13" s="55">
        <v>0.21052631578947367</v>
      </c>
    </row>
    <row r="14" spans="1:12" ht="28.8">
      <c r="A14" s="123" t="s">
        <v>276</v>
      </c>
      <c r="B14" s="126" t="s">
        <v>269</v>
      </c>
      <c r="C14" s="10" t="s">
        <v>260</v>
      </c>
      <c r="D14" s="63">
        <f>1-POISSON(1,2.25,TRUE)</f>
        <v>0.65745252017394096</v>
      </c>
      <c r="I14" s="50">
        <v>4</v>
      </c>
      <c r="J14" s="54">
        <v>4.1875</v>
      </c>
      <c r="K14" s="54">
        <v>0.33750000000000002</v>
      </c>
      <c r="L14" s="55">
        <v>0.22099447513812154</v>
      </c>
    </row>
    <row r="15" spans="1:12" ht="43.2">
      <c r="A15" s="123" t="s">
        <v>277</v>
      </c>
      <c r="B15" s="124" t="s">
        <v>281</v>
      </c>
      <c r="C15" s="10" t="s">
        <v>261</v>
      </c>
      <c r="D15" s="63">
        <f>EXPONDIST(3,0.75,TRUE)</f>
        <v>0.89460077543813565</v>
      </c>
      <c r="I15" s="50">
        <v>5</v>
      </c>
      <c r="J15" s="54">
        <v>4.3984375</v>
      </c>
      <c r="K15" s="54">
        <v>9.0401785714285712E-2</v>
      </c>
      <c r="L15" s="55">
        <v>0.22277473893585281</v>
      </c>
    </row>
    <row r="16" spans="1:12" ht="28.8">
      <c r="A16" s="123" t="s">
        <v>278</v>
      </c>
      <c r="B16" s="124" t="s">
        <v>266</v>
      </c>
      <c r="C16" s="10" t="s">
        <v>262</v>
      </c>
      <c r="D16" s="63">
        <f>EXPONDIST(2,0.5,TRUE)</f>
        <v>0.63212055882855767</v>
      </c>
      <c r="E16">
        <f>(45/60)*3</f>
        <v>2.25</v>
      </c>
      <c r="I16" s="50">
        <v>6</v>
      </c>
      <c r="J16" s="54">
        <v>4.4617187500000002</v>
      </c>
      <c r="K16" s="54">
        <v>2.1093750000000001E-2</v>
      </c>
      <c r="L16" s="55">
        <v>0.22307424189613104</v>
      </c>
    </row>
    <row r="17" spans="1:12" ht="28.8">
      <c r="A17" s="123" t="s">
        <v>279</v>
      </c>
      <c r="B17" s="124" t="s">
        <v>267</v>
      </c>
      <c r="C17" s="10" t="s">
        <v>263</v>
      </c>
      <c r="D17" s="63">
        <f>1-EXPONDIST(2.5,0.5,TRUE)</f>
        <v>0.28650479686019015</v>
      </c>
      <c r="I17" s="50">
        <v>7</v>
      </c>
      <c r="J17" s="54">
        <v>4.4775390625</v>
      </c>
      <c r="K17" s="54">
        <v>4.3146306818181816E-3</v>
      </c>
      <c r="L17" s="55">
        <v>0.22312196436070331</v>
      </c>
    </row>
    <row r="18" spans="1:12" ht="28.8">
      <c r="A18" s="123" t="s">
        <v>280</v>
      </c>
      <c r="B18" s="124" t="s">
        <v>268</v>
      </c>
      <c r="C18" s="10" t="s">
        <v>264</v>
      </c>
      <c r="D18" s="125">
        <f>EXP(-D3*2.5)-EXP(-D3*3)</f>
        <v>6.3374636711760274E-2</v>
      </c>
      <c r="E18">
        <f>1-POISSON(1,2.25,TRUE)</f>
        <v>0.65745252017394096</v>
      </c>
      <c r="I18" s="50">
        <v>8</v>
      </c>
      <c r="J18" s="54">
        <v>4.4809291294642861</v>
      </c>
      <c r="K18" s="54">
        <v>7.8232314560439564E-4</v>
      </c>
      <c r="L18" s="55">
        <v>0.22312904580629742</v>
      </c>
    </row>
    <row r="19" spans="1:12">
      <c r="I19" s="50">
        <v>9</v>
      </c>
      <c r="J19" s="54">
        <v>4.4815647670200898</v>
      </c>
      <c r="K19" s="54">
        <v>1.2712751116071428E-4</v>
      </c>
      <c r="L19" s="55">
        <v>0.22313001954021922</v>
      </c>
    </row>
    <row r="20" spans="1:12">
      <c r="I20" s="50">
        <v>10</v>
      </c>
      <c r="J20" s="54">
        <v>4.4816707066127233</v>
      </c>
      <c r="K20" s="54">
        <v>1.8695222229516808E-5</v>
      </c>
      <c r="L20" s="55">
        <v>0.2231301436441728</v>
      </c>
    </row>
    <row r="21" spans="1:12">
      <c r="I21" s="50">
        <v>11</v>
      </c>
      <c r="J21" s="54">
        <v>4.4816865975516187</v>
      </c>
      <c r="K21" s="54">
        <v>2.5090956150140977E-6</v>
      </c>
      <c r="L21" s="55">
        <v>0.22313015834070277</v>
      </c>
    </row>
    <row r="22" spans="1:12" ht="15" thickBot="1">
      <c r="I22" s="56">
        <v>12</v>
      </c>
      <c r="J22" s="57">
        <v>4.4816887644978314</v>
      </c>
      <c r="K22" s="57">
        <v>3.0956374470953155E-7</v>
      </c>
      <c r="L22" s="58">
        <v>0.22313015996304714</v>
      </c>
    </row>
  </sheetData>
  <pageMargins left="0.7" right="0.7" top="0.75" bottom="0.75" header="0.3" footer="0.3"/>
  <pageSetup paperSize="9" orientation="portrait" horizontalDpi="4294967292" verticalDpi="4294967292"/>
  <ignoredErrors>
    <ignoredError sqref="D5" unlocked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2"/>
  <sheetViews>
    <sheetView tabSelected="1" zoomScale="96" workbookViewId="0">
      <selection activeCell="S16" sqref="S16"/>
    </sheetView>
  </sheetViews>
  <sheetFormatPr defaultColWidth="8.77734375" defaultRowHeight="13.2"/>
  <cols>
    <col min="1" max="1" width="12.33203125" style="90" customWidth="1"/>
    <col min="2" max="2" width="7.6640625" style="90" customWidth="1"/>
    <col min="3" max="3" width="16.33203125" style="90" customWidth="1"/>
    <col min="4" max="4" width="5.33203125" style="90" bestFit="1" customWidth="1"/>
    <col min="5" max="5" width="37.77734375" style="90" customWidth="1"/>
    <col min="6" max="7" width="4.44140625" style="90" customWidth="1"/>
    <col min="8" max="8" width="8" style="90" customWidth="1"/>
    <col min="9" max="10" width="4.77734375" style="90" customWidth="1"/>
    <col min="11" max="11" width="9.44140625" style="90" customWidth="1"/>
    <col min="12" max="12" width="14.6640625" style="90" bestFit="1" customWidth="1"/>
    <col min="13" max="13" width="8.77734375" style="90"/>
    <col min="14" max="14" width="4.6640625" style="90" bestFit="1" customWidth="1"/>
    <col min="15" max="16" width="8.77734375" style="90"/>
    <col min="17" max="17" width="12.6640625" style="90" bestFit="1" customWidth="1"/>
    <col min="18" max="256" width="8.77734375" style="90"/>
    <col min="257" max="257" width="12.33203125" style="90" customWidth="1"/>
    <col min="258" max="258" width="7.6640625" style="90" customWidth="1"/>
    <col min="259" max="259" width="16.33203125" style="90" customWidth="1"/>
    <col min="260" max="260" width="5.33203125" style="90" bestFit="1" customWidth="1"/>
    <col min="261" max="261" width="4.6640625" style="90" customWidth="1"/>
    <col min="262" max="263" width="4.44140625" style="90" customWidth="1"/>
    <col min="264" max="264" width="8" style="90" customWidth="1"/>
    <col min="265" max="266" width="4.77734375" style="90" customWidth="1"/>
    <col min="267" max="267" width="9.44140625" style="90" customWidth="1"/>
    <col min="268" max="268" width="14.6640625" style="90" bestFit="1" customWidth="1"/>
    <col min="269" max="269" width="8.77734375" style="90"/>
    <col min="270" max="270" width="4.6640625" style="90" bestFit="1" customWidth="1"/>
    <col min="271" max="272" width="8.77734375" style="90"/>
    <col min="273" max="273" width="12.6640625" style="90" bestFit="1" customWidth="1"/>
    <col min="274" max="512" width="8.77734375" style="90"/>
    <col min="513" max="513" width="12.33203125" style="90" customWidth="1"/>
    <col min="514" max="514" width="7.6640625" style="90" customWidth="1"/>
    <col min="515" max="515" width="16.33203125" style="90" customWidth="1"/>
    <col min="516" max="516" width="5.33203125" style="90" bestFit="1" customWidth="1"/>
    <col min="517" max="517" width="4.6640625" style="90" customWidth="1"/>
    <col min="518" max="519" width="4.44140625" style="90" customWidth="1"/>
    <col min="520" max="520" width="8" style="90" customWidth="1"/>
    <col min="521" max="522" width="4.77734375" style="90" customWidth="1"/>
    <col min="523" max="523" width="9.44140625" style="90" customWidth="1"/>
    <col min="524" max="524" width="14.6640625" style="90" bestFit="1" customWidth="1"/>
    <col min="525" max="525" width="8.77734375" style="90"/>
    <col min="526" max="526" width="4.6640625" style="90" bestFit="1" customWidth="1"/>
    <col min="527" max="528" width="8.77734375" style="90"/>
    <col min="529" max="529" width="12.6640625" style="90" bestFit="1" customWidth="1"/>
    <col min="530" max="768" width="8.77734375" style="90"/>
    <col min="769" max="769" width="12.33203125" style="90" customWidth="1"/>
    <col min="770" max="770" width="7.6640625" style="90" customWidth="1"/>
    <col min="771" max="771" width="16.33203125" style="90" customWidth="1"/>
    <col min="772" max="772" width="5.33203125" style="90" bestFit="1" customWidth="1"/>
    <col min="773" max="773" width="4.6640625" style="90" customWidth="1"/>
    <col min="774" max="775" width="4.44140625" style="90" customWidth="1"/>
    <col min="776" max="776" width="8" style="90" customWidth="1"/>
    <col min="777" max="778" width="4.77734375" style="90" customWidth="1"/>
    <col min="779" max="779" width="9.44140625" style="90" customWidth="1"/>
    <col min="780" max="780" width="14.6640625" style="90" bestFit="1" customWidth="1"/>
    <col min="781" max="781" width="8.77734375" style="90"/>
    <col min="782" max="782" width="4.6640625" style="90" bestFit="1" customWidth="1"/>
    <col min="783" max="784" width="8.77734375" style="90"/>
    <col min="785" max="785" width="12.6640625" style="90" bestFit="1" customWidth="1"/>
    <col min="786" max="1024" width="8.77734375" style="90"/>
    <col min="1025" max="1025" width="12.33203125" style="90" customWidth="1"/>
    <col min="1026" max="1026" width="7.6640625" style="90" customWidth="1"/>
    <col min="1027" max="1027" width="16.33203125" style="90" customWidth="1"/>
    <col min="1028" max="1028" width="5.33203125" style="90" bestFit="1" customWidth="1"/>
    <col min="1029" max="1029" width="4.6640625" style="90" customWidth="1"/>
    <col min="1030" max="1031" width="4.44140625" style="90" customWidth="1"/>
    <col min="1032" max="1032" width="8" style="90" customWidth="1"/>
    <col min="1033" max="1034" width="4.77734375" style="90" customWidth="1"/>
    <col min="1035" max="1035" width="9.44140625" style="90" customWidth="1"/>
    <col min="1036" max="1036" width="14.6640625" style="90" bestFit="1" customWidth="1"/>
    <col min="1037" max="1037" width="8.77734375" style="90"/>
    <col min="1038" max="1038" width="4.6640625" style="90" bestFit="1" customWidth="1"/>
    <col min="1039" max="1040" width="8.77734375" style="90"/>
    <col min="1041" max="1041" width="12.6640625" style="90" bestFit="1" customWidth="1"/>
    <col min="1042" max="1280" width="8.77734375" style="90"/>
    <col min="1281" max="1281" width="12.33203125" style="90" customWidth="1"/>
    <col min="1282" max="1282" width="7.6640625" style="90" customWidth="1"/>
    <col min="1283" max="1283" width="16.33203125" style="90" customWidth="1"/>
    <col min="1284" max="1284" width="5.33203125" style="90" bestFit="1" customWidth="1"/>
    <col min="1285" max="1285" width="4.6640625" style="90" customWidth="1"/>
    <col min="1286" max="1287" width="4.44140625" style="90" customWidth="1"/>
    <col min="1288" max="1288" width="8" style="90" customWidth="1"/>
    <col min="1289" max="1290" width="4.77734375" style="90" customWidth="1"/>
    <col min="1291" max="1291" width="9.44140625" style="90" customWidth="1"/>
    <col min="1292" max="1292" width="14.6640625" style="90" bestFit="1" customWidth="1"/>
    <col min="1293" max="1293" width="8.77734375" style="90"/>
    <col min="1294" max="1294" width="4.6640625" style="90" bestFit="1" customWidth="1"/>
    <col min="1295" max="1296" width="8.77734375" style="90"/>
    <col min="1297" max="1297" width="12.6640625" style="90" bestFit="1" customWidth="1"/>
    <col min="1298" max="1536" width="8.77734375" style="90"/>
    <col min="1537" max="1537" width="12.33203125" style="90" customWidth="1"/>
    <col min="1538" max="1538" width="7.6640625" style="90" customWidth="1"/>
    <col min="1539" max="1539" width="16.33203125" style="90" customWidth="1"/>
    <col min="1540" max="1540" width="5.33203125" style="90" bestFit="1" customWidth="1"/>
    <col min="1541" max="1541" width="4.6640625" style="90" customWidth="1"/>
    <col min="1542" max="1543" width="4.44140625" style="90" customWidth="1"/>
    <col min="1544" max="1544" width="8" style="90" customWidth="1"/>
    <col min="1545" max="1546" width="4.77734375" style="90" customWidth="1"/>
    <col min="1547" max="1547" width="9.44140625" style="90" customWidth="1"/>
    <col min="1548" max="1548" width="14.6640625" style="90" bestFit="1" customWidth="1"/>
    <col min="1549" max="1549" width="8.77734375" style="90"/>
    <col min="1550" max="1550" width="4.6640625" style="90" bestFit="1" customWidth="1"/>
    <col min="1551" max="1552" width="8.77734375" style="90"/>
    <col min="1553" max="1553" width="12.6640625" style="90" bestFit="1" customWidth="1"/>
    <col min="1554" max="1792" width="8.77734375" style="90"/>
    <col min="1793" max="1793" width="12.33203125" style="90" customWidth="1"/>
    <col min="1794" max="1794" width="7.6640625" style="90" customWidth="1"/>
    <col min="1795" max="1795" width="16.33203125" style="90" customWidth="1"/>
    <col min="1796" max="1796" width="5.33203125" style="90" bestFit="1" customWidth="1"/>
    <col min="1797" max="1797" width="4.6640625" style="90" customWidth="1"/>
    <col min="1798" max="1799" width="4.44140625" style="90" customWidth="1"/>
    <col min="1800" max="1800" width="8" style="90" customWidth="1"/>
    <col min="1801" max="1802" width="4.77734375" style="90" customWidth="1"/>
    <col min="1803" max="1803" width="9.44140625" style="90" customWidth="1"/>
    <col min="1804" max="1804" width="14.6640625" style="90" bestFit="1" customWidth="1"/>
    <col min="1805" max="1805" width="8.77734375" style="90"/>
    <col min="1806" max="1806" width="4.6640625" style="90" bestFit="1" customWidth="1"/>
    <col min="1807" max="1808" width="8.77734375" style="90"/>
    <col min="1809" max="1809" width="12.6640625" style="90" bestFit="1" customWidth="1"/>
    <col min="1810" max="2048" width="8.77734375" style="90"/>
    <col min="2049" max="2049" width="12.33203125" style="90" customWidth="1"/>
    <col min="2050" max="2050" width="7.6640625" style="90" customWidth="1"/>
    <col min="2051" max="2051" width="16.33203125" style="90" customWidth="1"/>
    <col min="2052" max="2052" width="5.33203125" style="90" bestFit="1" customWidth="1"/>
    <col min="2053" max="2053" width="4.6640625" style="90" customWidth="1"/>
    <col min="2054" max="2055" width="4.44140625" style="90" customWidth="1"/>
    <col min="2056" max="2056" width="8" style="90" customWidth="1"/>
    <col min="2057" max="2058" width="4.77734375" style="90" customWidth="1"/>
    <col min="2059" max="2059" width="9.44140625" style="90" customWidth="1"/>
    <col min="2060" max="2060" width="14.6640625" style="90" bestFit="1" customWidth="1"/>
    <col min="2061" max="2061" width="8.77734375" style="90"/>
    <col min="2062" max="2062" width="4.6640625" style="90" bestFit="1" customWidth="1"/>
    <col min="2063" max="2064" width="8.77734375" style="90"/>
    <col min="2065" max="2065" width="12.6640625" style="90" bestFit="1" customWidth="1"/>
    <col min="2066" max="2304" width="8.77734375" style="90"/>
    <col min="2305" max="2305" width="12.33203125" style="90" customWidth="1"/>
    <col min="2306" max="2306" width="7.6640625" style="90" customWidth="1"/>
    <col min="2307" max="2307" width="16.33203125" style="90" customWidth="1"/>
    <col min="2308" max="2308" width="5.33203125" style="90" bestFit="1" customWidth="1"/>
    <col min="2309" max="2309" width="4.6640625" style="90" customWidth="1"/>
    <col min="2310" max="2311" width="4.44140625" style="90" customWidth="1"/>
    <col min="2312" max="2312" width="8" style="90" customWidth="1"/>
    <col min="2313" max="2314" width="4.77734375" style="90" customWidth="1"/>
    <col min="2315" max="2315" width="9.44140625" style="90" customWidth="1"/>
    <col min="2316" max="2316" width="14.6640625" style="90" bestFit="1" customWidth="1"/>
    <col min="2317" max="2317" width="8.77734375" style="90"/>
    <col min="2318" max="2318" width="4.6640625" style="90" bestFit="1" customWidth="1"/>
    <col min="2319" max="2320" width="8.77734375" style="90"/>
    <col min="2321" max="2321" width="12.6640625" style="90" bestFit="1" customWidth="1"/>
    <col min="2322" max="2560" width="8.77734375" style="90"/>
    <col min="2561" max="2561" width="12.33203125" style="90" customWidth="1"/>
    <col min="2562" max="2562" width="7.6640625" style="90" customWidth="1"/>
    <col min="2563" max="2563" width="16.33203125" style="90" customWidth="1"/>
    <col min="2564" max="2564" width="5.33203125" style="90" bestFit="1" customWidth="1"/>
    <col min="2565" max="2565" width="4.6640625" style="90" customWidth="1"/>
    <col min="2566" max="2567" width="4.44140625" style="90" customWidth="1"/>
    <col min="2568" max="2568" width="8" style="90" customWidth="1"/>
    <col min="2569" max="2570" width="4.77734375" style="90" customWidth="1"/>
    <col min="2571" max="2571" width="9.44140625" style="90" customWidth="1"/>
    <col min="2572" max="2572" width="14.6640625" style="90" bestFit="1" customWidth="1"/>
    <col min="2573" max="2573" width="8.77734375" style="90"/>
    <col min="2574" max="2574" width="4.6640625" style="90" bestFit="1" customWidth="1"/>
    <col min="2575" max="2576" width="8.77734375" style="90"/>
    <col min="2577" max="2577" width="12.6640625" style="90" bestFit="1" customWidth="1"/>
    <col min="2578" max="2816" width="8.77734375" style="90"/>
    <col min="2817" max="2817" width="12.33203125" style="90" customWidth="1"/>
    <col min="2818" max="2818" width="7.6640625" style="90" customWidth="1"/>
    <col min="2819" max="2819" width="16.33203125" style="90" customWidth="1"/>
    <col min="2820" max="2820" width="5.33203125" style="90" bestFit="1" customWidth="1"/>
    <col min="2821" max="2821" width="4.6640625" style="90" customWidth="1"/>
    <col min="2822" max="2823" width="4.44140625" style="90" customWidth="1"/>
    <col min="2824" max="2824" width="8" style="90" customWidth="1"/>
    <col min="2825" max="2826" width="4.77734375" style="90" customWidth="1"/>
    <col min="2827" max="2827" width="9.44140625" style="90" customWidth="1"/>
    <col min="2828" max="2828" width="14.6640625" style="90" bestFit="1" customWidth="1"/>
    <col min="2829" max="2829" width="8.77734375" style="90"/>
    <col min="2830" max="2830" width="4.6640625" style="90" bestFit="1" customWidth="1"/>
    <col min="2831" max="2832" width="8.77734375" style="90"/>
    <col min="2833" max="2833" width="12.6640625" style="90" bestFit="1" customWidth="1"/>
    <col min="2834" max="3072" width="8.77734375" style="90"/>
    <col min="3073" max="3073" width="12.33203125" style="90" customWidth="1"/>
    <col min="3074" max="3074" width="7.6640625" style="90" customWidth="1"/>
    <col min="3075" max="3075" width="16.33203125" style="90" customWidth="1"/>
    <col min="3076" max="3076" width="5.33203125" style="90" bestFit="1" customWidth="1"/>
    <col min="3077" max="3077" width="4.6640625" style="90" customWidth="1"/>
    <col min="3078" max="3079" width="4.44140625" style="90" customWidth="1"/>
    <col min="3080" max="3080" width="8" style="90" customWidth="1"/>
    <col min="3081" max="3082" width="4.77734375" style="90" customWidth="1"/>
    <col min="3083" max="3083" width="9.44140625" style="90" customWidth="1"/>
    <col min="3084" max="3084" width="14.6640625" style="90" bestFit="1" customWidth="1"/>
    <col min="3085" max="3085" width="8.77734375" style="90"/>
    <col min="3086" max="3086" width="4.6640625" style="90" bestFit="1" customWidth="1"/>
    <col min="3087" max="3088" width="8.77734375" style="90"/>
    <col min="3089" max="3089" width="12.6640625" style="90" bestFit="1" customWidth="1"/>
    <col min="3090" max="3328" width="8.77734375" style="90"/>
    <col min="3329" max="3329" width="12.33203125" style="90" customWidth="1"/>
    <col min="3330" max="3330" width="7.6640625" style="90" customWidth="1"/>
    <col min="3331" max="3331" width="16.33203125" style="90" customWidth="1"/>
    <col min="3332" max="3332" width="5.33203125" style="90" bestFit="1" customWidth="1"/>
    <col min="3333" max="3333" width="4.6640625" style="90" customWidth="1"/>
    <col min="3334" max="3335" width="4.44140625" style="90" customWidth="1"/>
    <col min="3336" max="3336" width="8" style="90" customWidth="1"/>
    <col min="3337" max="3338" width="4.77734375" style="90" customWidth="1"/>
    <col min="3339" max="3339" width="9.44140625" style="90" customWidth="1"/>
    <col min="3340" max="3340" width="14.6640625" style="90" bestFit="1" customWidth="1"/>
    <col min="3341" max="3341" width="8.77734375" style="90"/>
    <col min="3342" max="3342" width="4.6640625" style="90" bestFit="1" customWidth="1"/>
    <col min="3343" max="3344" width="8.77734375" style="90"/>
    <col min="3345" max="3345" width="12.6640625" style="90" bestFit="1" customWidth="1"/>
    <col min="3346" max="3584" width="8.77734375" style="90"/>
    <col min="3585" max="3585" width="12.33203125" style="90" customWidth="1"/>
    <col min="3586" max="3586" width="7.6640625" style="90" customWidth="1"/>
    <col min="3587" max="3587" width="16.33203125" style="90" customWidth="1"/>
    <col min="3588" max="3588" width="5.33203125" style="90" bestFit="1" customWidth="1"/>
    <col min="3589" max="3589" width="4.6640625" style="90" customWidth="1"/>
    <col min="3590" max="3591" width="4.44140625" style="90" customWidth="1"/>
    <col min="3592" max="3592" width="8" style="90" customWidth="1"/>
    <col min="3593" max="3594" width="4.77734375" style="90" customWidth="1"/>
    <col min="3595" max="3595" width="9.44140625" style="90" customWidth="1"/>
    <col min="3596" max="3596" width="14.6640625" style="90" bestFit="1" customWidth="1"/>
    <col min="3597" max="3597" width="8.77734375" style="90"/>
    <col min="3598" max="3598" width="4.6640625" style="90" bestFit="1" customWidth="1"/>
    <col min="3599" max="3600" width="8.77734375" style="90"/>
    <col min="3601" max="3601" width="12.6640625" style="90" bestFit="1" customWidth="1"/>
    <col min="3602" max="3840" width="8.77734375" style="90"/>
    <col min="3841" max="3841" width="12.33203125" style="90" customWidth="1"/>
    <col min="3842" max="3842" width="7.6640625" style="90" customWidth="1"/>
    <col min="3843" max="3843" width="16.33203125" style="90" customWidth="1"/>
    <col min="3844" max="3844" width="5.33203125" style="90" bestFit="1" customWidth="1"/>
    <col min="3845" max="3845" width="4.6640625" style="90" customWidth="1"/>
    <col min="3846" max="3847" width="4.44140625" style="90" customWidth="1"/>
    <col min="3848" max="3848" width="8" style="90" customWidth="1"/>
    <col min="3849" max="3850" width="4.77734375" style="90" customWidth="1"/>
    <col min="3851" max="3851" width="9.44140625" style="90" customWidth="1"/>
    <col min="3852" max="3852" width="14.6640625" style="90" bestFit="1" customWidth="1"/>
    <col min="3853" max="3853" width="8.77734375" style="90"/>
    <col min="3854" max="3854" width="4.6640625" style="90" bestFit="1" customWidth="1"/>
    <col min="3855" max="3856" width="8.77734375" style="90"/>
    <col min="3857" max="3857" width="12.6640625" style="90" bestFit="1" customWidth="1"/>
    <col min="3858" max="4096" width="8.77734375" style="90"/>
    <col min="4097" max="4097" width="12.33203125" style="90" customWidth="1"/>
    <col min="4098" max="4098" width="7.6640625" style="90" customWidth="1"/>
    <col min="4099" max="4099" width="16.33203125" style="90" customWidth="1"/>
    <col min="4100" max="4100" width="5.33203125" style="90" bestFit="1" customWidth="1"/>
    <col min="4101" max="4101" width="4.6640625" style="90" customWidth="1"/>
    <col min="4102" max="4103" width="4.44140625" style="90" customWidth="1"/>
    <col min="4104" max="4104" width="8" style="90" customWidth="1"/>
    <col min="4105" max="4106" width="4.77734375" style="90" customWidth="1"/>
    <col min="4107" max="4107" width="9.44140625" style="90" customWidth="1"/>
    <col min="4108" max="4108" width="14.6640625" style="90" bestFit="1" customWidth="1"/>
    <col min="4109" max="4109" width="8.77734375" style="90"/>
    <col min="4110" max="4110" width="4.6640625" style="90" bestFit="1" customWidth="1"/>
    <col min="4111" max="4112" width="8.77734375" style="90"/>
    <col min="4113" max="4113" width="12.6640625" style="90" bestFit="1" customWidth="1"/>
    <col min="4114" max="4352" width="8.77734375" style="90"/>
    <col min="4353" max="4353" width="12.33203125" style="90" customWidth="1"/>
    <col min="4354" max="4354" width="7.6640625" style="90" customWidth="1"/>
    <col min="4355" max="4355" width="16.33203125" style="90" customWidth="1"/>
    <col min="4356" max="4356" width="5.33203125" style="90" bestFit="1" customWidth="1"/>
    <col min="4357" max="4357" width="4.6640625" style="90" customWidth="1"/>
    <col min="4358" max="4359" width="4.44140625" style="90" customWidth="1"/>
    <col min="4360" max="4360" width="8" style="90" customWidth="1"/>
    <col min="4361" max="4362" width="4.77734375" style="90" customWidth="1"/>
    <col min="4363" max="4363" width="9.44140625" style="90" customWidth="1"/>
    <col min="4364" max="4364" width="14.6640625" style="90" bestFit="1" customWidth="1"/>
    <col min="4365" max="4365" width="8.77734375" style="90"/>
    <col min="4366" max="4366" width="4.6640625" style="90" bestFit="1" customWidth="1"/>
    <col min="4367" max="4368" width="8.77734375" style="90"/>
    <col min="4369" max="4369" width="12.6640625" style="90" bestFit="1" customWidth="1"/>
    <col min="4370" max="4608" width="8.77734375" style="90"/>
    <col min="4609" max="4609" width="12.33203125" style="90" customWidth="1"/>
    <col min="4610" max="4610" width="7.6640625" style="90" customWidth="1"/>
    <col min="4611" max="4611" width="16.33203125" style="90" customWidth="1"/>
    <col min="4612" max="4612" width="5.33203125" style="90" bestFit="1" customWidth="1"/>
    <col min="4613" max="4613" width="4.6640625" style="90" customWidth="1"/>
    <col min="4614" max="4615" width="4.44140625" style="90" customWidth="1"/>
    <col min="4616" max="4616" width="8" style="90" customWidth="1"/>
    <col min="4617" max="4618" width="4.77734375" style="90" customWidth="1"/>
    <col min="4619" max="4619" width="9.44140625" style="90" customWidth="1"/>
    <col min="4620" max="4620" width="14.6640625" style="90" bestFit="1" customWidth="1"/>
    <col min="4621" max="4621" width="8.77734375" style="90"/>
    <col min="4622" max="4622" width="4.6640625" style="90" bestFit="1" customWidth="1"/>
    <col min="4623" max="4624" width="8.77734375" style="90"/>
    <col min="4625" max="4625" width="12.6640625" style="90" bestFit="1" customWidth="1"/>
    <col min="4626" max="4864" width="8.77734375" style="90"/>
    <col min="4865" max="4865" width="12.33203125" style="90" customWidth="1"/>
    <col min="4866" max="4866" width="7.6640625" style="90" customWidth="1"/>
    <col min="4867" max="4867" width="16.33203125" style="90" customWidth="1"/>
    <col min="4868" max="4868" width="5.33203125" style="90" bestFit="1" customWidth="1"/>
    <col min="4869" max="4869" width="4.6640625" style="90" customWidth="1"/>
    <col min="4870" max="4871" width="4.44140625" style="90" customWidth="1"/>
    <col min="4872" max="4872" width="8" style="90" customWidth="1"/>
    <col min="4873" max="4874" width="4.77734375" style="90" customWidth="1"/>
    <col min="4875" max="4875" width="9.44140625" style="90" customWidth="1"/>
    <col min="4876" max="4876" width="14.6640625" style="90" bestFit="1" customWidth="1"/>
    <col min="4877" max="4877" width="8.77734375" style="90"/>
    <col min="4878" max="4878" width="4.6640625" style="90" bestFit="1" customWidth="1"/>
    <col min="4879" max="4880" width="8.77734375" style="90"/>
    <col min="4881" max="4881" width="12.6640625" style="90" bestFit="1" customWidth="1"/>
    <col min="4882" max="5120" width="8.77734375" style="90"/>
    <col min="5121" max="5121" width="12.33203125" style="90" customWidth="1"/>
    <col min="5122" max="5122" width="7.6640625" style="90" customWidth="1"/>
    <col min="5123" max="5123" width="16.33203125" style="90" customWidth="1"/>
    <col min="5124" max="5124" width="5.33203125" style="90" bestFit="1" customWidth="1"/>
    <col min="5125" max="5125" width="4.6640625" style="90" customWidth="1"/>
    <col min="5126" max="5127" width="4.44140625" style="90" customWidth="1"/>
    <col min="5128" max="5128" width="8" style="90" customWidth="1"/>
    <col min="5129" max="5130" width="4.77734375" style="90" customWidth="1"/>
    <col min="5131" max="5131" width="9.44140625" style="90" customWidth="1"/>
    <col min="5132" max="5132" width="14.6640625" style="90" bestFit="1" customWidth="1"/>
    <col min="5133" max="5133" width="8.77734375" style="90"/>
    <col min="5134" max="5134" width="4.6640625" style="90" bestFit="1" customWidth="1"/>
    <col min="5135" max="5136" width="8.77734375" style="90"/>
    <col min="5137" max="5137" width="12.6640625" style="90" bestFit="1" customWidth="1"/>
    <col min="5138" max="5376" width="8.77734375" style="90"/>
    <col min="5377" max="5377" width="12.33203125" style="90" customWidth="1"/>
    <col min="5378" max="5378" width="7.6640625" style="90" customWidth="1"/>
    <col min="5379" max="5379" width="16.33203125" style="90" customWidth="1"/>
    <col min="5380" max="5380" width="5.33203125" style="90" bestFit="1" customWidth="1"/>
    <col min="5381" max="5381" width="4.6640625" style="90" customWidth="1"/>
    <col min="5382" max="5383" width="4.44140625" style="90" customWidth="1"/>
    <col min="5384" max="5384" width="8" style="90" customWidth="1"/>
    <col min="5385" max="5386" width="4.77734375" style="90" customWidth="1"/>
    <col min="5387" max="5387" width="9.44140625" style="90" customWidth="1"/>
    <col min="5388" max="5388" width="14.6640625" style="90" bestFit="1" customWidth="1"/>
    <col min="5389" max="5389" width="8.77734375" style="90"/>
    <col min="5390" max="5390" width="4.6640625" style="90" bestFit="1" customWidth="1"/>
    <col min="5391" max="5392" width="8.77734375" style="90"/>
    <col min="5393" max="5393" width="12.6640625" style="90" bestFit="1" customWidth="1"/>
    <col min="5394" max="5632" width="8.77734375" style="90"/>
    <col min="5633" max="5633" width="12.33203125" style="90" customWidth="1"/>
    <col min="5634" max="5634" width="7.6640625" style="90" customWidth="1"/>
    <col min="5635" max="5635" width="16.33203125" style="90" customWidth="1"/>
    <col min="5636" max="5636" width="5.33203125" style="90" bestFit="1" customWidth="1"/>
    <col min="5637" max="5637" width="4.6640625" style="90" customWidth="1"/>
    <col min="5638" max="5639" width="4.44140625" style="90" customWidth="1"/>
    <col min="5640" max="5640" width="8" style="90" customWidth="1"/>
    <col min="5641" max="5642" width="4.77734375" style="90" customWidth="1"/>
    <col min="5643" max="5643" width="9.44140625" style="90" customWidth="1"/>
    <col min="5644" max="5644" width="14.6640625" style="90" bestFit="1" customWidth="1"/>
    <col min="5645" max="5645" width="8.77734375" style="90"/>
    <col min="5646" max="5646" width="4.6640625" style="90" bestFit="1" customWidth="1"/>
    <col min="5647" max="5648" width="8.77734375" style="90"/>
    <col min="5649" max="5649" width="12.6640625" style="90" bestFit="1" customWidth="1"/>
    <col min="5650" max="5888" width="8.77734375" style="90"/>
    <col min="5889" max="5889" width="12.33203125" style="90" customWidth="1"/>
    <col min="5890" max="5890" width="7.6640625" style="90" customWidth="1"/>
    <col min="5891" max="5891" width="16.33203125" style="90" customWidth="1"/>
    <col min="5892" max="5892" width="5.33203125" style="90" bestFit="1" customWidth="1"/>
    <col min="5893" max="5893" width="4.6640625" style="90" customWidth="1"/>
    <col min="5894" max="5895" width="4.44140625" style="90" customWidth="1"/>
    <col min="5896" max="5896" width="8" style="90" customWidth="1"/>
    <col min="5897" max="5898" width="4.77734375" style="90" customWidth="1"/>
    <col min="5899" max="5899" width="9.44140625" style="90" customWidth="1"/>
    <col min="5900" max="5900" width="14.6640625" style="90" bestFit="1" customWidth="1"/>
    <col min="5901" max="5901" width="8.77734375" style="90"/>
    <col min="5902" max="5902" width="4.6640625" style="90" bestFit="1" customWidth="1"/>
    <col min="5903" max="5904" width="8.77734375" style="90"/>
    <col min="5905" max="5905" width="12.6640625" style="90" bestFit="1" customWidth="1"/>
    <col min="5906" max="6144" width="8.77734375" style="90"/>
    <col min="6145" max="6145" width="12.33203125" style="90" customWidth="1"/>
    <col min="6146" max="6146" width="7.6640625" style="90" customWidth="1"/>
    <col min="6147" max="6147" width="16.33203125" style="90" customWidth="1"/>
    <col min="6148" max="6148" width="5.33203125" style="90" bestFit="1" customWidth="1"/>
    <col min="6149" max="6149" width="4.6640625" style="90" customWidth="1"/>
    <col min="6150" max="6151" width="4.44140625" style="90" customWidth="1"/>
    <col min="6152" max="6152" width="8" style="90" customWidth="1"/>
    <col min="6153" max="6154" width="4.77734375" style="90" customWidth="1"/>
    <col min="6155" max="6155" width="9.44140625" style="90" customWidth="1"/>
    <col min="6156" max="6156" width="14.6640625" style="90" bestFit="1" customWidth="1"/>
    <col min="6157" max="6157" width="8.77734375" style="90"/>
    <col min="6158" max="6158" width="4.6640625" style="90" bestFit="1" customWidth="1"/>
    <col min="6159" max="6160" width="8.77734375" style="90"/>
    <col min="6161" max="6161" width="12.6640625" style="90" bestFit="1" customWidth="1"/>
    <col min="6162" max="6400" width="8.77734375" style="90"/>
    <col min="6401" max="6401" width="12.33203125" style="90" customWidth="1"/>
    <col min="6402" max="6402" width="7.6640625" style="90" customWidth="1"/>
    <col min="6403" max="6403" width="16.33203125" style="90" customWidth="1"/>
    <col min="6404" max="6404" width="5.33203125" style="90" bestFit="1" customWidth="1"/>
    <col min="6405" max="6405" width="4.6640625" style="90" customWidth="1"/>
    <col min="6406" max="6407" width="4.44140625" style="90" customWidth="1"/>
    <col min="6408" max="6408" width="8" style="90" customWidth="1"/>
    <col min="6409" max="6410" width="4.77734375" style="90" customWidth="1"/>
    <col min="6411" max="6411" width="9.44140625" style="90" customWidth="1"/>
    <col min="6412" max="6412" width="14.6640625" style="90" bestFit="1" customWidth="1"/>
    <col min="6413" max="6413" width="8.77734375" style="90"/>
    <col min="6414" max="6414" width="4.6640625" style="90" bestFit="1" customWidth="1"/>
    <col min="6415" max="6416" width="8.77734375" style="90"/>
    <col min="6417" max="6417" width="12.6640625" style="90" bestFit="1" customWidth="1"/>
    <col min="6418" max="6656" width="8.77734375" style="90"/>
    <col min="6657" max="6657" width="12.33203125" style="90" customWidth="1"/>
    <col min="6658" max="6658" width="7.6640625" style="90" customWidth="1"/>
    <col min="6659" max="6659" width="16.33203125" style="90" customWidth="1"/>
    <col min="6660" max="6660" width="5.33203125" style="90" bestFit="1" customWidth="1"/>
    <col min="6661" max="6661" width="4.6640625" style="90" customWidth="1"/>
    <col min="6662" max="6663" width="4.44140625" style="90" customWidth="1"/>
    <col min="6664" max="6664" width="8" style="90" customWidth="1"/>
    <col min="6665" max="6666" width="4.77734375" style="90" customWidth="1"/>
    <col min="6667" max="6667" width="9.44140625" style="90" customWidth="1"/>
    <col min="6668" max="6668" width="14.6640625" style="90" bestFit="1" customWidth="1"/>
    <col min="6669" max="6669" width="8.77734375" style="90"/>
    <col min="6670" max="6670" width="4.6640625" style="90" bestFit="1" customWidth="1"/>
    <col min="6671" max="6672" width="8.77734375" style="90"/>
    <col min="6673" max="6673" width="12.6640625" style="90" bestFit="1" customWidth="1"/>
    <col min="6674" max="6912" width="8.77734375" style="90"/>
    <col min="6913" max="6913" width="12.33203125" style="90" customWidth="1"/>
    <col min="6914" max="6914" width="7.6640625" style="90" customWidth="1"/>
    <col min="6915" max="6915" width="16.33203125" style="90" customWidth="1"/>
    <col min="6916" max="6916" width="5.33203125" style="90" bestFit="1" customWidth="1"/>
    <col min="6917" max="6917" width="4.6640625" style="90" customWidth="1"/>
    <col min="6918" max="6919" width="4.44140625" style="90" customWidth="1"/>
    <col min="6920" max="6920" width="8" style="90" customWidth="1"/>
    <col min="6921" max="6922" width="4.77734375" style="90" customWidth="1"/>
    <col min="6923" max="6923" width="9.44140625" style="90" customWidth="1"/>
    <col min="6924" max="6924" width="14.6640625" style="90" bestFit="1" customWidth="1"/>
    <col min="6925" max="6925" width="8.77734375" style="90"/>
    <col min="6926" max="6926" width="4.6640625" style="90" bestFit="1" customWidth="1"/>
    <col min="6927" max="6928" width="8.77734375" style="90"/>
    <col min="6929" max="6929" width="12.6640625" style="90" bestFit="1" customWidth="1"/>
    <col min="6930" max="7168" width="8.77734375" style="90"/>
    <col min="7169" max="7169" width="12.33203125" style="90" customWidth="1"/>
    <col min="7170" max="7170" width="7.6640625" style="90" customWidth="1"/>
    <col min="7171" max="7171" width="16.33203125" style="90" customWidth="1"/>
    <col min="7172" max="7172" width="5.33203125" style="90" bestFit="1" customWidth="1"/>
    <col min="7173" max="7173" width="4.6640625" style="90" customWidth="1"/>
    <col min="7174" max="7175" width="4.44140625" style="90" customWidth="1"/>
    <col min="7176" max="7176" width="8" style="90" customWidth="1"/>
    <col min="7177" max="7178" width="4.77734375" style="90" customWidth="1"/>
    <col min="7179" max="7179" width="9.44140625" style="90" customWidth="1"/>
    <col min="7180" max="7180" width="14.6640625" style="90" bestFit="1" customWidth="1"/>
    <col min="7181" max="7181" width="8.77734375" style="90"/>
    <col min="7182" max="7182" width="4.6640625" style="90" bestFit="1" customWidth="1"/>
    <col min="7183" max="7184" width="8.77734375" style="90"/>
    <col min="7185" max="7185" width="12.6640625" style="90" bestFit="1" customWidth="1"/>
    <col min="7186" max="7424" width="8.77734375" style="90"/>
    <col min="7425" max="7425" width="12.33203125" style="90" customWidth="1"/>
    <col min="7426" max="7426" width="7.6640625" style="90" customWidth="1"/>
    <col min="7427" max="7427" width="16.33203125" style="90" customWidth="1"/>
    <col min="7428" max="7428" width="5.33203125" style="90" bestFit="1" customWidth="1"/>
    <col min="7429" max="7429" width="4.6640625" style="90" customWidth="1"/>
    <col min="7430" max="7431" width="4.44140625" style="90" customWidth="1"/>
    <col min="7432" max="7432" width="8" style="90" customWidth="1"/>
    <col min="7433" max="7434" width="4.77734375" style="90" customWidth="1"/>
    <col min="7435" max="7435" width="9.44140625" style="90" customWidth="1"/>
    <col min="7436" max="7436" width="14.6640625" style="90" bestFit="1" customWidth="1"/>
    <col min="7437" max="7437" width="8.77734375" style="90"/>
    <col min="7438" max="7438" width="4.6640625" style="90" bestFit="1" customWidth="1"/>
    <col min="7439" max="7440" width="8.77734375" style="90"/>
    <col min="7441" max="7441" width="12.6640625" style="90" bestFit="1" customWidth="1"/>
    <col min="7442" max="7680" width="8.77734375" style="90"/>
    <col min="7681" max="7681" width="12.33203125" style="90" customWidth="1"/>
    <col min="7682" max="7682" width="7.6640625" style="90" customWidth="1"/>
    <col min="7683" max="7683" width="16.33203125" style="90" customWidth="1"/>
    <col min="7684" max="7684" width="5.33203125" style="90" bestFit="1" customWidth="1"/>
    <col min="7685" max="7685" width="4.6640625" style="90" customWidth="1"/>
    <col min="7686" max="7687" width="4.44140625" style="90" customWidth="1"/>
    <col min="7688" max="7688" width="8" style="90" customWidth="1"/>
    <col min="7689" max="7690" width="4.77734375" style="90" customWidth="1"/>
    <col min="7691" max="7691" width="9.44140625" style="90" customWidth="1"/>
    <col min="7692" max="7692" width="14.6640625" style="90" bestFit="1" customWidth="1"/>
    <col min="7693" max="7693" width="8.77734375" style="90"/>
    <col min="7694" max="7694" width="4.6640625" style="90" bestFit="1" customWidth="1"/>
    <col min="7695" max="7696" width="8.77734375" style="90"/>
    <col min="7697" max="7697" width="12.6640625" style="90" bestFit="1" customWidth="1"/>
    <col min="7698" max="7936" width="8.77734375" style="90"/>
    <col min="7937" max="7937" width="12.33203125" style="90" customWidth="1"/>
    <col min="7938" max="7938" width="7.6640625" style="90" customWidth="1"/>
    <col min="7939" max="7939" width="16.33203125" style="90" customWidth="1"/>
    <col min="7940" max="7940" width="5.33203125" style="90" bestFit="1" customWidth="1"/>
    <col min="7941" max="7941" width="4.6640625" style="90" customWidth="1"/>
    <col min="7942" max="7943" width="4.44140625" style="90" customWidth="1"/>
    <col min="7944" max="7944" width="8" style="90" customWidth="1"/>
    <col min="7945" max="7946" width="4.77734375" style="90" customWidth="1"/>
    <col min="7947" max="7947" width="9.44140625" style="90" customWidth="1"/>
    <col min="7948" max="7948" width="14.6640625" style="90" bestFit="1" customWidth="1"/>
    <col min="7949" max="7949" width="8.77734375" style="90"/>
    <col min="7950" max="7950" width="4.6640625" style="90" bestFit="1" customWidth="1"/>
    <col min="7951" max="7952" width="8.77734375" style="90"/>
    <col min="7953" max="7953" width="12.6640625" style="90" bestFit="1" customWidth="1"/>
    <col min="7954" max="8192" width="8.77734375" style="90"/>
    <col min="8193" max="8193" width="12.33203125" style="90" customWidth="1"/>
    <col min="8194" max="8194" width="7.6640625" style="90" customWidth="1"/>
    <col min="8195" max="8195" width="16.33203125" style="90" customWidth="1"/>
    <col min="8196" max="8196" width="5.33203125" style="90" bestFit="1" customWidth="1"/>
    <col min="8197" max="8197" width="4.6640625" style="90" customWidth="1"/>
    <col min="8198" max="8199" width="4.44140625" style="90" customWidth="1"/>
    <col min="8200" max="8200" width="8" style="90" customWidth="1"/>
    <col min="8201" max="8202" width="4.77734375" style="90" customWidth="1"/>
    <col min="8203" max="8203" width="9.44140625" style="90" customWidth="1"/>
    <col min="8204" max="8204" width="14.6640625" style="90" bestFit="1" customWidth="1"/>
    <col min="8205" max="8205" width="8.77734375" style="90"/>
    <col min="8206" max="8206" width="4.6640625" style="90" bestFit="1" customWidth="1"/>
    <col min="8207" max="8208" width="8.77734375" style="90"/>
    <col min="8209" max="8209" width="12.6640625" style="90" bestFit="1" customWidth="1"/>
    <col min="8210" max="8448" width="8.77734375" style="90"/>
    <col min="8449" max="8449" width="12.33203125" style="90" customWidth="1"/>
    <col min="8450" max="8450" width="7.6640625" style="90" customWidth="1"/>
    <col min="8451" max="8451" width="16.33203125" style="90" customWidth="1"/>
    <col min="8452" max="8452" width="5.33203125" style="90" bestFit="1" customWidth="1"/>
    <col min="8453" max="8453" width="4.6640625" style="90" customWidth="1"/>
    <col min="8454" max="8455" width="4.44140625" style="90" customWidth="1"/>
    <col min="8456" max="8456" width="8" style="90" customWidth="1"/>
    <col min="8457" max="8458" width="4.77734375" style="90" customWidth="1"/>
    <col min="8459" max="8459" width="9.44140625" style="90" customWidth="1"/>
    <col min="8460" max="8460" width="14.6640625" style="90" bestFit="1" customWidth="1"/>
    <col min="8461" max="8461" width="8.77734375" style="90"/>
    <col min="8462" max="8462" width="4.6640625" style="90" bestFit="1" customWidth="1"/>
    <col min="8463" max="8464" width="8.77734375" style="90"/>
    <col min="8465" max="8465" width="12.6640625" style="90" bestFit="1" customWidth="1"/>
    <col min="8466" max="8704" width="8.77734375" style="90"/>
    <col min="8705" max="8705" width="12.33203125" style="90" customWidth="1"/>
    <col min="8706" max="8706" width="7.6640625" style="90" customWidth="1"/>
    <col min="8707" max="8707" width="16.33203125" style="90" customWidth="1"/>
    <col min="8708" max="8708" width="5.33203125" style="90" bestFit="1" customWidth="1"/>
    <col min="8709" max="8709" width="4.6640625" style="90" customWidth="1"/>
    <col min="8710" max="8711" width="4.44140625" style="90" customWidth="1"/>
    <col min="8712" max="8712" width="8" style="90" customWidth="1"/>
    <col min="8713" max="8714" width="4.77734375" style="90" customWidth="1"/>
    <col min="8715" max="8715" width="9.44140625" style="90" customWidth="1"/>
    <col min="8716" max="8716" width="14.6640625" style="90" bestFit="1" customWidth="1"/>
    <col min="8717" max="8717" width="8.77734375" style="90"/>
    <col min="8718" max="8718" width="4.6640625" style="90" bestFit="1" customWidth="1"/>
    <col min="8719" max="8720" width="8.77734375" style="90"/>
    <col min="8721" max="8721" width="12.6640625" style="90" bestFit="1" customWidth="1"/>
    <col min="8722" max="8960" width="8.77734375" style="90"/>
    <col min="8961" max="8961" width="12.33203125" style="90" customWidth="1"/>
    <col min="8962" max="8962" width="7.6640625" style="90" customWidth="1"/>
    <col min="8963" max="8963" width="16.33203125" style="90" customWidth="1"/>
    <col min="8964" max="8964" width="5.33203125" style="90" bestFit="1" customWidth="1"/>
    <col min="8965" max="8965" width="4.6640625" style="90" customWidth="1"/>
    <col min="8966" max="8967" width="4.44140625" style="90" customWidth="1"/>
    <col min="8968" max="8968" width="8" style="90" customWidth="1"/>
    <col min="8969" max="8970" width="4.77734375" style="90" customWidth="1"/>
    <col min="8971" max="8971" width="9.44140625" style="90" customWidth="1"/>
    <col min="8972" max="8972" width="14.6640625" style="90" bestFit="1" customWidth="1"/>
    <col min="8973" max="8973" width="8.77734375" style="90"/>
    <col min="8974" max="8974" width="4.6640625" style="90" bestFit="1" customWidth="1"/>
    <col min="8975" max="8976" width="8.77734375" style="90"/>
    <col min="8977" max="8977" width="12.6640625" style="90" bestFit="1" customWidth="1"/>
    <col min="8978" max="9216" width="8.77734375" style="90"/>
    <col min="9217" max="9217" width="12.33203125" style="90" customWidth="1"/>
    <col min="9218" max="9218" width="7.6640625" style="90" customWidth="1"/>
    <col min="9219" max="9219" width="16.33203125" style="90" customWidth="1"/>
    <col min="9220" max="9220" width="5.33203125" style="90" bestFit="1" customWidth="1"/>
    <col min="9221" max="9221" width="4.6640625" style="90" customWidth="1"/>
    <col min="9222" max="9223" width="4.44140625" style="90" customWidth="1"/>
    <col min="9224" max="9224" width="8" style="90" customWidth="1"/>
    <col min="9225" max="9226" width="4.77734375" style="90" customWidth="1"/>
    <col min="9227" max="9227" width="9.44140625" style="90" customWidth="1"/>
    <col min="9228" max="9228" width="14.6640625" style="90" bestFit="1" customWidth="1"/>
    <col min="9229" max="9229" width="8.77734375" style="90"/>
    <col min="9230" max="9230" width="4.6640625" style="90" bestFit="1" customWidth="1"/>
    <col min="9231" max="9232" width="8.77734375" style="90"/>
    <col min="9233" max="9233" width="12.6640625" style="90" bestFit="1" customWidth="1"/>
    <col min="9234" max="9472" width="8.77734375" style="90"/>
    <col min="9473" max="9473" width="12.33203125" style="90" customWidth="1"/>
    <col min="9474" max="9474" width="7.6640625" style="90" customWidth="1"/>
    <col min="9475" max="9475" width="16.33203125" style="90" customWidth="1"/>
    <col min="9476" max="9476" width="5.33203125" style="90" bestFit="1" customWidth="1"/>
    <col min="9477" max="9477" width="4.6640625" style="90" customWidth="1"/>
    <col min="9478" max="9479" width="4.44140625" style="90" customWidth="1"/>
    <col min="9480" max="9480" width="8" style="90" customWidth="1"/>
    <col min="9481" max="9482" width="4.77734375" style="90" customWidth="1"/>
    <col min="9483" max="9483" width="9.44140625" style="90" customWidth="1"/>
    <col min="9484" max="9484" width="14.6640625" style="90" bestFit="1" customWidth="1"/>
    <col min="9485" max="9485" width="8.77734375" style="90"/>
    <col min="9486" max="9486" width="4.6640625" style="90" bestFit="1" customWidth="1"/>
    <col min="9487" max="9488" width="8.77734375" style="90"/>
    <col min="9489" max="9489" width="12.6640625" style="90" bestFit="1" customWidth="1"/>
    <col min="9490" max="9728" width="8.77734375" style="90"/>
    <col min="9729" max="9729" width="12.33203125" style="90" customWidth="1"/>
    <col min="9730" max="9730" width="7.6640625" style="90" customWidth="1"/>
    <col min="9731" max="9731" width="16.33203125" style="90" customWidth="1"/>
    <col min="9732" max="9732" width="5.33203125" style="90" bestFit="1" customWidth="1"/>
    <col min="9733" max="9733" width="4.6640625" style="90" customWidth="1"/>
    <col min="9734" max="9735" width="4.44140625" style="90" customWidth="1"/>
    <col min="9736" max="9736" width="8" style="90" customWidth="1"/>
    <col min="9737" max="9738" width="4.77734375" style="90" customWidth="1"/>
    <col min="9739" max="9739" width="9.44140625" style="90" customWidth="1"/>
    <col min="9740" max="9740" width="14.6640625" style="90" bestFit="1" customWidth="1"/>
    <col min="9741" max="9741" width="8.77734375" style="90"/>
    <col min="9742" max="9742" width="4.6640625" style="90" bestFit="1" customWidth="1"/>
    <col min="9743" max="9744" width="8.77734375" style="90"/>
    <col min="9745" max="9745" width="12.6640625" style="90" bestFit="1" customWidth="1"/>
    <col min="9746" max="9984" width="8.77734375" style="90"/>
    <col min="9985" max="9985" width="12.33203125" style="90" customWidth="1"/>
    <col min="9986" max="9986" width="7.6640625" style="90" customWidth="1"/>
    <col min="9987" max="9987" width="16.33203125" style="90" customWidth="1"/>
    <col min="9988" max="9988" width="5.33203125" style="90" bestFit="1" customWidth="1"/>
    <col min="9989" max="9989" width="4.6640625" style="90" customWidth="1"/>
    <col min="9990" max="9991" width="4.44140625" style="90" customWidth="1"/>
    <col min="9992" max="9992" width="8" style="90" customWidth="1"/>
    <col min="9993" max="9994" width="4.77734375" style="90" customWidth="1"/>
    <col min="9995" max="9995" width="9.44140625" style="90" customWidth="1"/>
    <col min="9996" max="9996" width="14.6640625" style="90" bestFit="1" customWidth="1"/>
    <col min="9997" max="9997" width="8.77734375" style="90"/>
    <col min="9998" max="9998" width="4.6640625" style="90" bestFit="1" customWidth="1"/>
    <col min="9999" max="10000" width="8.77734375" style="90"/>
    <col min="10001" max="10001" width="12.6640625" style="90" bestFit="1" customWidth="1"/>
    <col min="10002" max="10240" width="8.77734375" style="90"/>
    <col min="10241" max="10241" width="12.33203125" style="90" customWidth="1"/>
    <col min="10242" max="10242" width="7.6640625" style="90" customWidth="1"/>
    <col min="10243" max="10243" width="16.33203125" style="90" customWidth="1"/>
    <col min="10244" max="10244" width="5.33203125" style="90" bestFit="1" customWidth="1"/>
    <col min="10245" max="10245" width="4.6640625" style="90" customWidth="1"/>
    <col min="10246" max="10247" width="4.44140625" style="90" customWidth="1"/>
    <col min="10248" max="10248" width="8" style="90" customWidth="1"/>
    <col min="10249" max="10250" width="4.77734375" style="90" customWidth="1"/>
    <col min="10251" max="10251" width="9.44140625" style="90" customWidth="1"/>
    <col min="10252" max="10252" width="14.6640625" style="90" bestFit="1" customWidth="1"/>
    <col min="10253" max="10253" width="8.77734375" style="90"/>
    <col min="10254" max="10254" width="4.6640625" style="90" bestFit="1" customWidth="1"/>
    <col min="10255" max="10256" width="8.77734375" style="90"/>
    <col min="10257" max="10257" width="12.6640625" style="90" bestFit="1" customWidth="1"/>
    <col min="10258" max="10496" width="8.77734375" style="90"/>
    <col min="10497" max="10497" width="12.33203125" style="90" customWidth="1"/>
    <col min="10498" max="10498" width="7.6640625" style="90" customWidth="1"/>
    <col min="10499" max="10499" width="16.33203125" style="90" customWidth="1"/>
    <col min="10500" max="10500" width="5.33203125" style="90" bestFit="1" customWidth="1"/>
    <col min="10501" max="10501" width="4.6640625" style="90" customWidth="1"/>
    <col min="10502" max="10503" width="4.44140625" style="90" customWidth="1"/>
    <col min="10504" max="10504" width="8" style="90" customWidth="1"/>
    <col min="10505" max="10506" width="4.77734375" style="90" customWidth="1"/>
    <col min="10507" max="10507" width="9.44140625" style="90" customWidth="1"/>
    <col min="10508" max="10508" width="14.6640625" style="90" bestFit="1" customWidth="1"/>
    <col min="10509" max="10509" width="8.77734375" style="90"/>
    <col min="10510" max="10510" width="4.6640625" style="90" bestFit="1" customWidth="1"/>
    <col min="10511" max="10512" width="8.77734375" style="90"/>
    <col min="10513" max="10513" width="12.6640625" style="90" bestFit="1" customWidth="1"/>
    <col min="10514" max="10752" width="8.77734375" style="90"/>
    <col min="10753" max="10753" width="12.33203125" style="90" customWidth="1"/>
    <col min="10754" max="10754" width="7.6640625" style="90" customWidth="1"/>
    <col min="10755" max="10755" width="16.33203125" style="90" customWidth="1"/>
    <col min="10756" max="10756" width="5.33203125" style="90" bestFit="1" customWidth="1"/>
    <col min="10757" max="10757" width="4.6640625" style="90" customWidth="1"/>
    <col min="10758" max="10759" width="4.44140625" style="90" customWidth="1"/>
    <col min="10760" max="10760" width="8" style="90" customWidth="1"/>
    <col min="10761" max="10762" width="4.77734375" style="90" customWidth="1"/>
    <col min="10763" max="10763" width="9.44140625" style="90" customWidth="1"/>
    <col min="10764" max="10764" width="14.6640625" style="90" bestFit="1" customWidth="1"/>
    <col min="10765" max="10765" width="8.77734375" style="90"/>
    <col min="10766" max="10766" width="4.6640625" style="90" bestFit="1" customWidth="1"/>
    <col min="10767" max="10768" width="8.77734375" style="90"/>
    <col min="10769" max="10769" width="12.6640625" style="90" bestFit="1" customWidth="1"/>
    <col min="10770" max="11008" width="8.77734375" style="90"/>
    <col min="11009" max="11009" width="12.33203125" style="90" customWidth="1"/>
    <col min="11010" max="11010" width="7.6640625" style="90" customWidth="1"/>
    <col min="11011" max="11011" width="16.33203125" style="90" customWidth="1"/>
    <col min="11012" max="11012" width="5.33203125" style="90" bestFit="1" customWidth="1"/>
    <col min="11013" max="11013" width="4.6640625" style="90" customWidth="1"/>
    <col min="11014" max="11015" width="4.44140625" style="90" customWidth="1"/>
    <col min="11016" max="11016" width="8" style="90" customWidth="1"/>
    <col min="11017" max="11018" width="4.77734375" style="90" customWidth="1"/>
    <col min="11019" max="11019" width="9.44140625" style="90" customWidth="1"/>
    <col min="11020" max="11020" width="14.6640625" style="90" bestFit="1" customWidth="1"/>
    <col min="11021" max="11021" width="8.77734375" style="90"/>
    <col min="11022" max="11022" width="4.6640625" style="90" bestFit="1" customWidth="1"/>
    <col min="11023" max="11024" width="8.77734375" style="90"/>
    <col min="11025" max="11025" width="12.6640625" style="90" bestFit="1" customWidth="1"/>
    <col min="11026" max="11264" width="8.77734375" style="90"/>
    <col min="11265" max="11265" width="12.33203125" style="90" customWidth="1"/>
    <col min="11266" max="11266" width="7.6640625" style="90" customWidth="1"/>
    <col min="11267" max="11267" width="16.33203125" style="90" customWidth="1"/>
    <col min="11268" max="11268" width="5.33203125" style="90" bestFit="1" customWidth="1"/>
    <col min="11269" max="11269" width="4.6640625" style="90" customWidth="1"/>
    <col min="11270" max="11271" width="4.44140625" style="90" customWidth="1"/>
    <col min="11272" max="11272" width="8" style="90" customWidth="1"/>
    <col min="11273" max="11274" width="4.77734375" style="90" customWidth="1"/>
    <col min="11275" max="11275" width="9.44140625" style="90" customWidth="1"/>
    <col min="11276" max="11276" width="14.6640625" style="90" bestFit="1" customWidth="1"/>
    <col min="11277" max="11277" width="8.77734375" style="90"/>
    <col min="11278" max="11278" width="4.6640625" style="90" bestFit="1" customWidth="1"/>
    <col min="11279" max="11280" width="8.77734375" style="90"/>
    <col min="11281" max="11281" width="12.6640625" style="90" bestFit="1" customWidth="1"/>
    <col min="11282" max="11520" width="8.77734375" style="90"/>
    <col min="11521" max="11521" width="12.33203125" style="90" customWidth="1"/>
    <col min="11522" max="11522" width="7.6640625" style="90" customWidth="1"/>
    <col min="11523" max="11523" width="16.33203125" style="90" customWidth="1"/>
    <col min="11524" max="11524" width="5.33203125" style="90" bestFit="1" customWidth="1"/>
    <col min="11525" max="11525" width="4.6640625" style="90" customWidth="1"/>
    <col min="11526" max="11527" width="4.44140625" style="90" customWidth="1"/>
    <col min="11528" max="11528" width="8" style="90" customWidth="1"/>
    <col min="11529" max="11530" width="4.77734375" style="90" customWidth="1"/>
    <col min="11531" max="11531" width="9.44140625" style="90" customWidth="1"/>
    <col min="11532" max="11532" width="14.6640625" style="90" bestFit="1" customWidth="1"/>
    <col min="11533" max="11533" width="8.77734375" style="90"/>
    <col min="11534" max="11534" width="4.6640625" style="90" bestFit="1" customWidth="1"/>
    <col min="11535" max="11536" width="8.77734375" style="90"/>
    <col min="11537" max="11537" width="12.6640625" style="90" bestFit="1" customWidth="1"/>
    <col min="11538" max="11776" width="8.77734375" style="90"/>
    <col min="11777" max="11777" width="12.33203125" style="90" customWidth="1"/>
    <col min="11778" max="11778" width="7.6640625" style="90" customWidth="1"/>
    <col min="11779" max="11779" width="16.33203125" style="90" customWidth="1"/>
    <col min="11780" max="11780" width="5.33203125" style="90" bestFit="1" customWidth="1"/>
    <col min="11781" max="11781" width="4.6640625" style="90" customWidth="1"/>
    <col min="11782" max="11783" width="4.44140625" style="90" customWidth="1"/>
    <col min="11784" max="11784" width="8" style="90" customWidth="1"/>
    <col min="11785" max="11786" width="4.77734375" style="90" customWidth="1"/>
    <col min="11787" max="11787" width="9.44140625" style="90" customWidth="1"/>
    <col min="11788" max="11788" width="14.6640625" style="90" bestFit="1" customWidth="1"/>
    <col min="11789" max="11789" width="8.77734375" style="90"/>
    <col min="11790" max="11790" width="4.6640625" style="90" bestFit="1" customWidth="1"/>
    <col min="11791" max="11792" width="8.77734375" style="90"/>
    <col min="11793" max="11793" width="12.6640625" style="90" bestFit="1" customWidth="1"/>
    <col min="11794" max="12032" width="8.77734375" style="90"/>
    <col min="12033" max="12033" width="12.33203125" style="90" customWidth="1"/>
    <col min="12034" max="12034" width="7.6640625" style="90" customWidth="1"/>
    <col min="12035" max="12035" width="16.33203125" style="90" customWidth="1"/>
    <col min="12036" max="12036" width="5.33203125" style="90" bestFit="1" customWidth="1"/>
    <col min="12037" max="12037" width="4.6640625" style="90" customWidth="1"/>
    <col min="12038" max="12039" width="4.44140625" style="90" customWidth="1"/>
    <col min="12040" max="12040" width="8" style="90" customWidth="1"/>
    <col min="12041" max="12042" width="4.77734375" style="90" customWidth="1"/>
    <col min="12043" max="12043" width="9.44140625" style="90" customWidth="1"/>
    <col min="12044" max="12044" width="14.6640625" style="90" bestFit="1" customWidth="1"/>
    <col min="12045" max="12045" width="8.77734375" style="90"/>
    <col min="12046" max="12046" width="4.6640625" style="90" bestFit="1" customWidth="1"/>
    <col min="12047" max="12048" width="8.77734375" style="90"/>
    <col min="12049" max="12049" width="12.6640625" style="90" bestFit="1" customWidth="1"/>
    <col min="12050" max="12288" width="8.77734375" style="90"/>
    <col min="12289" max="12289" width="12.33203125" style="90" customWidth="1"/>
    <col min="12290" max="12290" width="7.6640625" style="90" customWidth="1"/>
    <col min="12291" max="12291" width="16.33203125" style="90" customWidth="1"/>
    <col min="12292" max="12292" width="5.33203125" style="90" bestFit="1" customWidth="1"/>
    <col min="12293" max="12293" width="4.6640625" style="90" customWidth="1"/>
    <col min="12294" max="12295" width="4.44140625" style="90" customWidth="1"/>
    <col min="12296" max="12296" width="8" style="90" customWidth="1"/>
    <col min="12297" max="12298" width="4.77734375" style="90" customWidth="1"/>
    <col min="12299" max="12299" width="9.44140625" style="90" customWidth="1"/>
    <col min="12300" max="12300" width="14.6640625" style="90" bestFit="1" customWidth="1"/>
    <col min="12301" max="12301" width="8.77734375" style="90"/>
    <col min="12302" max="12302" width="4.6640625" style="90" bestFit="1" customWidth="1"/>
    <col min="12303" max="12304" width="8.77734375" style="90"/>
    <col min="12305" max="12305" width="12.6640625" style="90" bestFit="1" customWidth="1"/>
    <col min="12306" max="12544" width="8.77734375" style="90"/>
    <col min="12545" max="12545" width="12.33203125" style="90" customWidth="1"/>
    <col min="12546" max="12546" width="7.6640625" style="90" customWidth="1"/>
    <col min="12547" max="12547" width="16.33203125" style="90" customWidth="1"/>
    <col min="12548" max="12548" width="5.33203125" style="90" bestFit="1" customWidth="1"/>
    <col min="12549" max="12549" width="4.6640625" style="90" customWidth="1"/>
    <col min="12550" max="12551" width="4.44140625" style="90" customWidth="1"/>
    <col min="12552" max="12552" width="8" style="90" customWidth="1"/>
    <col min="12553" max="12554" width="4.77734375" style="90" customWidth="1"/>
    <col min="12555" max="12555" width="9.44140625" style="90" customWidth="1"/>
    <col min="12556" max="12556" width="14.6640625" style="90" bestFit="1" customWidth="1"/>
    <col min="12557" max="12557" width="8.77734375" style="90"/>
    <col min="12558" max="12558" width="4.6640625" style="90" bestFit="1" customWidth="1"/>
    <col min="12559" max="12560" width="8.77734375" style="90"/>
    <col min="12561" max="12561" width="12.6640625" style="90" bestFit="1" customWidth="1"/>
    <col min="12562" max="12800" width="8.77734375" style="90"/>
    <col min="12801" max="12801" width="12.33203125" style="90" customWidth="1"/>
    <col min="12802" max="12802" width="7.6640625" style="90" customWidth="1"/>
    <col min="12803" max="12803" width="16.33203125" style="90" customWidth="1"/>
    <col min="12804" max="12804" width="5.33203125" style="90" bestFit="1" customWidth="1"/>
    <col min="12805" max="12805" width="4.6640625" style="90" customWidth="1"/>
    <col min="12806" max="12807" width="4.44140625" style="90" customWidth="1"/>
    <col min="12808" max="12808" width="8" style="90" customWidth="1"/>
    <col min="12809" max="12810" width="4.77734375" style="90" customWidth="1"/>
    <col min="12811" max="12811" width="9.44140625" style="90" customWidth="1"/>
    <col min="12812" max="12812" width="14.6640625" style="90" bestFit="1" customWidth="1"/>
    <col min="12813" max="12813" width="8.77734375" style="90"/>
    <col min="12814" max="12814" width="4.6640625" style="90" bestFit="1" customWidth="1"/>
    <col min="12815" max="12816" width="8.77734375" style="90"/>
    <col min="12817" max="12817" width="12.6640625" style="90" bestFit="1" customWidth="1"/>
    <col min="12818" max="13056" width="8.77734375" style="90"/>
    <col min="13057" max="13057" width="12.33203125" style="90" customWidth="1"/>
    <col min="13058" max="13058" width="7.6640625" style="90" customWidth="1"/>
    <col min="13059" max="13059" width="16.33203125" style="90" customWidth="1"/>
    <col min="13060" max="13060" width="5.33203125" style="90" bestFit="1" customWidth="1"/>
    <col min="13061" max="13061" width="4.6640625" style="90" customWidth="1"/>
    <col min="13062" max="13063" width="4.44140625" style="90" customWidth="1"/>
    <col min="13064" max="13064" width="8" style="90" customWidth="1"/>
    <col min="13065" max="13066" width="4.77734375" style="90" customWidth="1"/>
    <col min="13067" max="13067" width="9.44140625" style="90" customWidth="1"/>
    <col min="13068" max="13068" width="14.6640625" style="90" bestFit="1" customWidth="1"/>
    <col min="13069" max="13069" width="8.77734375" style="90"/>
    <col min="13070" max="13070" width="4.6640625" style="90" bestFit="1" customWidth="1"/>
    <col min="13071" max="13072" width="8.77734375" style="90"/>
    <col min="13073" max="13073" width="12.6640625" style="90" bestFit="1" customWidth="1"/>
    <col min="13074" max="13312" width="8.77734375" style="90"/>
    <col min="13313" max="13313" width="12.33203125" style="90" customWidth="1"/>
    <col min="13314" max="13314" width="7.6640625" style="90" customWidth="1"/>
    <col min="13315" max="13315" width="16.33203125" style="90" customWidth="1"/>
    <col min="13316" max="13316" width="5.33203125" style="90" bestFit="1" customWidth="1"/>
    <col min="13317" max="13317" width="4.6640625" style="90" customWidth="1"/>
    <col min="13318" max="13319" width="4.44140625" style="90" customWidth="1"/>
    <col min="13320" max="13320" width="8" style="90" customWidth="1"/>
    <col min="13321" max="13322" width="4.77734375" style="90" customWidth="1"/>
    <col min="13323" max="13323" width="9.44140625" style="90" customWidth="1"/>
    <col min="13324" max="13324" width="14.6640625" style="90" bestFit="1" customWidth="1"/>
    <col min="13325" max="13325" width="8.77734375" style="90"/>
    <col min="13326" max="13326" width="4.6640625" style="90" bestFit="1" customWidth="1"/>
    <col min="13327" max="13328" width="8.77734375" style="90"/>
    <col min="13329" max="13329" width="12.6640625" style="90" bestFit="1" customWidth="1"/>
    <col min="13330" max="13568" width="8.77734375" style="90"/>
    <col min="13569" max="13569" width="12.33203125" style="90" customWidth="1"/>
    <col min="13570" max="13570" width="7.6640625" style="90" customWidth="1"/>
    <col min="13571" max="13571" width="16.33203125" style="90" customWidth="1"/>
    <col min="13572" max="13572" width="5.33203125" style="90" bestFit="1" customWidth="1"/>
    <col min="13573" max="13573" width="4.6640625" style="90" customWidth="1"/>
    <col min="13574" max="13575" width="4.44140625" style="90" customWidth="1"/>
    <col min="13576" max="13576" width="8" style="90" customWidth="1"/>
    <col min="13577" max="13578" width="4.77734375" style="90" customWidth="1"/>
    <col min="13579" max="13579" width="9.44140625" style="90" customWidth="1"/>
    <col min="13580" max="13580" width="14.6640625" style="90" bestFit="1" customWidth="1"/>
    <col min="13581" max="13581" width="8.77734375" style="90"/>
    <col min="13582" max="13582" width="4.6640625" style="90" bestFit="1" customWidth="1"/>
    <col min="13583" max="13584" width="8.77734375" style="90"/>
    <col min="13585" max="13585" width="12.6640625" style="90" bestFit="1" customWidth="1"/>
    <col min="13586" max="13824" width="8.77734375" style="90"/>
    <col min="13825" max="13825" width="12.33203125" style="90" customWidth="1"/>
    <col min="13826" max="13826" width="7.6640625" style="90" customWidth="1"/>
    <col min="13827" max="13827" width="16.33203125" style="90" customWidth="1"/>
    <col min="13828" max="13828" width="5.33203125" style="90" bestFit="1" customWidth="1"/>
    <col min="13829" max="13829" width="4.6640625" style="90" customWidth="1"/>
    <col min="13830" max="13831" width="4.44140625" style="90" customWidth="1"/>
    <col min="13832" max="13832" width="8" style="90" customWidth="1"/>
    <col min="13833" max="13834" width="4.77734375" style="90" customWidth="1"/>
    <col min="13835" max="13835" width="9.44140625" style="90" customWidth="1"/>
    <col min="13836" max="13836" width="14.6640625" style="90" bestFit="1" customWidth="1"/>
    <col min="13837" max="13837" width="8.77734375" style="90"/>
    <col min="13838" max="13838" width="4.6640625" style="90" bestFit="1" customWidth="1"/>
    <col min="13839" max="13840" width="8.77734375" style="90"/>
    <col min="13841" max="13841" width="12.6640625" style="90" bestFit="1" customWidth="1"/>
    <col min="13842" max="14080" width="8.77734375" style="90"/>
    <col min="14081" max="14081" width="12.33203125" style="90" customWidth="1"/>
    <col min="14082" max="14082" width="7.6640625" style="90" customWidth="1"/>
    <col min="14083" max="14083" width="16.33203125" style="90" customWidth="1"/>
    <col min="14084" max="14084" width="5.33203125" style="90" bestFit="1" customWidth="1"/>
    <col min="14085" max="14085" width="4.6640625" style="90" customWidth="1"/>
    <col min="14086" max="14087" width="4.44140625" style="90" customWidth="1"/>
    <col min="14088" max="14088" width="8" style="90" customWidth="1"/>
    <col min="14089" max="14090" width="4.77734375" style="90" customWidth="1"/>
    <col min="14091" max="14091" width="9.44140625" style="90" customWidth="1"/>
    <col min="14092" max="14092" width="14.6640625" style="90" bestFit="1" customWidth="1"/>
    <col min="14093" max="14093" width="8.77734375" style="90"/>
    <col min="14094" max="14094" width="4.6640625" style="90" bestFit="1" customWidth="1"/>
    <col min="14095" max="14096" width="8.77734375" style="90"/>
    <col min="14097" max="14097" width="12.6640625" style="90" bestFit="1" customWidth="1"/>
    <col min="14098" max="14336" width="8.77734375" style="90"/>
    <col min="14337" max="14337" width="12.33203125" style="90" customWidth="1"/>
    <col min="14338" max="14338" width="7.6640625" style="90" customWidth="1"/>
    <col min="14339" max="14339" width="16.33203125" style="90" customWidth="1"/>
    <col min="14340" max="14340" width="5.33203125" style="90" bestFit="1" customWidth="1"/>
    <col min="14341" max="14341" width="4.6640625" style="90" customWidth="1"/>
    <col min="14342" max="14343" width="4.44140625" style="90" customWidth="1"/>
    <col min="14344" max="14344" width="8" style="90" customWidth="1"/>
    <col min="14345" max="14346" width="4.77734375" style="90" customWidth="1"/>
    <col min="14347" max="14347" width="9.44140625" style="90" customWidth="1"/>
    <col min="14348" max="14348" width="14.6640625" style="90" bestFit="1" customWidth="1"/>
    <col min="14349" max="14349" width="8.77734375" style="90"/>
    <col min="14350" max="14350" width="4.6640625" style="90" bestFit="1" customWidth="1"/>
    <col min="14351" max="14352" width="8.77734375" style="90"/>
    <col min="14353" max="14353" width="12.6640625" style="90" bestFit="1" customWidth="1"/>
    <col min="14354" max="14592" width="8.77734375" style="90"/>
    <col min="14593" max="14593" width="12.33203125" style="90" customWidth="1"/>
    <col min="14594" max="14594" width="7.6640625" style="90" customWidth="1"/>
    <col min="14595" max="14595" width="16.33203125" style="90" customWidth="1"/>
    <col min="14596" max="14596" width="5.33203125" style="90" bestFit="1" customWidth="1"/>
    <col min="14597" max="14597" width="4.6640625" style="90" customWidth="1"/>
    <col min="14598" max="14599" width="4.44140625" style="90" customWidth="1"/>
    <col min="14600" max="14600" width="8" style="90" customWidth="1"/>
    <col min="14601" max="14602" width="4.77734375" style="90" customWidth="1"/>
    <col min="14603" max="14603" width="9.44140625" style="90" customWidth="1"/>
    <col min="14604" max="14604" width="14.6640625" style="90" bestFit="1" customWidth="1"/>
    <col min="14605" max="14605" width="8.77734375" style="90"/>
    <col min="14606" max="14606" width="4.6640625" style="90" bestFit="1" customWidth="1"/>
    <col min="14607" max="14608" width="8.77734375" style="90"/>
    <col min="14609" max="14609" width="12.6640625" style="90" bestFit="1" customWidth="1"/>
    <col min="14610" max="14848" width="8.77734375" style="90"/>
    <col min="14849" max="14849" width="12.33203125" style="90" customWidth="1"/>
    <col min="14850" max="14850" width="7.6640625" style="90" customWidth="1"/>
    <col min="14851" max="14851" width="16.33203125" style="90" customWidth="1"/>
    <col min="14852" max="14852" width="5.33203125" style="90" bestFit="1" customWidth="1"/>
    <col min="14853" max="14853" width="4.6640625" style="90" customWidth="1"/>
    <col min="14854" max="14855" width="4.44140625" style="90" customWidth="1"/>
    <col min="14856" max="14856" width="8" style="90" customWidth="1"/>
    <col min="14857" max="14858" width="4.77734375" style="90" customWidth="1"/>
    <col min="14859" max="14859" width="9.44140625" style="90" customWidth="1"/>
    <col min="14860" max="14860" width="14.6640625" style="90" bestFit="1" customWidth="1"/>
    <col min="14861" max="14861" width="8.77734375" style="90"/>
    <col min="14862" max="14862" width="4.6640625" style="90" bestFit="1" customWidth="1"/>
    <col min="14863" max="14864" width="8.77734375" style="90"/>
    <col min="14865" max="14865" width="12.6640625" style="90" bestFit="1" customWidth="1"/>
    <col min="14866" max="15104" width="8.77734375" style="90"/>
    <col min="15105" max="15105" width="12.33203125" style="90" customWidth="1"/>
    <col min="15106" max="15106" width="7.6640625" style="90" customWidth="1"/>
    <col min="15107" max="15107" width="16.33203125" style="90" customWidth="1"/>
    <col min="15108" max="15108" width="5.33203125" style="90" bestFit="1" customWidth="1"/>
    <col min="15109" max="15109" width="4.6640625" style="90" customWidth="1"/>
    <col min="15110" max="15111" width="4.44140625" style="90" customWidth="1"/>
    <col min="15112" max="15112" width="8" style="90" customWidth="1"/>
    <col min="15113" max="15114" width="4.77734375" style="90" customWidth="1"/>
    <col min="15115" max="15115" width="9.44140625" style="90" customWidth="1"/>
    <col min="15116" max="15116" width="14.6640625" style="90" bestFit="1" customWidth="1"/>
    <col min="15117" max="15117" width="8.77734375" style="90"/>
    <col min="15118" max="15118" width="4.6640625" style="90" bestFit="1" customWidth="1"/>
    <col min="15119" max="15120" width="8.77734375" style="90"/>
    <col min="15121" max="15121" width="12.6640625" style="90" bestFit="1" customWidth="1"/>
    <col min="15122" max="15360" width="8.77734375" style="90"/>
    <col min="15361" max="15361" width="12.33203125" style="90" customWidth="1"/>
    <col min="15362" max="15362" width="7.6640625" style="90" customWidth="1"/>
    <col min="15363" max="15363" width="16.33203125" style="90" customWidth="1"/>
    <col min="15364" max="15364" width="5.33203125" style="90" bestFit="1" customWidth="1"/>
    <col min="15365" max="15365" width="4.6640625" style="90" customWidth="1"/>
    <col min="15366" max="15367" width="4.44140625" style="90" customWidth="1"/>
    <col min="15368" max="15368" width="8" style="90" customWidth="1"/>
    <col min="15369" max="15370" width="4.77734375" style="90" customWidth="1"/>
    <col min="15371" max="15371" width="9.44140625" style="90" customWidth="1"/>
    <col min="15372" max="15372" width="14.6640625" style="90" bestFit="1" customWidth="1"/>
    <col min="15373" max="15373" width="8.77734375" style="90"/>
    <col min="15374" max="15374" width="4.6640625" style="90" bestFit="1" customWidth="1"/>
    <col min="15375" max="15376" width="8.77734375" style="90"/>
    <col min="15377" max="15377" width="12.6640625" style="90" bestFit="1" customWidth="1"/>
    <col min="15378" max="15616" width="8.77734375" style="90"/>
    <col min="15617" max="15617" width="12.33203125" style="90" customWidth="1"/>
    <col min="15618" max="15618" width="7.6640625" style="90" customWidth="1"/>
    <col min="15619" max="15619" width="16.33203125" style="90" customWidth="1"/>
    <col min="15620" max="15620" width="5.33203125" style="90" bestFit="1" customWidth="1"/>
    <col min="15621" max="15621" width="4.6640625" style="90" customWidth="1"/>
    <col min="15622" max="15623" width="4.44140625" style="90" customWidth="1"/>
    <col min="15624" max="15624" width="8" style="90" customWidth="1"/>
    <col min="15625" max="15626" width="4.77734375" style="90" customWidth="1"/>
    <col min="15627" max="15627" width="9.44140625" style="90" customWidth="1"/>
    <col min="15628" max="15628" width="14.6640625" style="90" bestFit="1" customWidth="1"/>
    <col min="15629" max="15629" width="8.77734375" style="90"/>
    <col min="15630" max="15630" width="4.6640625" style="90" bestFit="1" customWidth="1"/>
    <col min="15631" max="15632" width="8.77734375" style="90"/>
    <col min="15633" max="15633" width="12.6640625" style="90" bestFit="1" customWidth="1"/>
    <col min="15634" max="15872" width="8.77734375" style="90"/>
    <col min="15873" max="15873" width="12.33203125" style="90" customWidth="1"/>
    <col min="15874" max="15874" width="7.6640625" style="90" customWidth="1"/>
    <col min="15875" max="15875" width="16.33203125" style="90" customWidth="1"/>
    <col min="15876" max="15876" width="5.33203125" style="90" bestFit="1" customWidth="1"/>
    <col min="15877" max="15877" width="4.6640625" style="90" customWidth="1"/>
    <col min="15878" max="15879" width="4.44140625" style="90" customWidth="1"/>
    <col min="15880" max="15880" width="8" style="90" customWidth="1"/>
    <col min="15881" max="15882" width="4.77734375" style="90" customWidth="1"/>
    <col min="15883" max="15883" width="9.44140625" style="90" customWidth="1"/>
    <col min="15884" max="15884" width="14.6640625" style="90" bestFit="1" customWidth="1"/>
    <col min="15885" max="15885" width="8.77734375" style="90"/>
    <col min="15886" max="15886" width="4.6640625" style="90" bestFit="1" customWidth="1"/>
    <col min="15887" max="15888" width="8.77734375" style="90"/>
    <col min="15889" max="15889" width="12.6640625" style="90" bestFit="1" customWidth="1"/>
    <col min="15890" max="16128" width="8.77734375" style="90"/>
    <col min="16129" max="16129" width="12.33203125" style="90" customWidth="1"/>
    <col min="16130" max="16130" width="7.6640625" style="90" customWidth="1"/>
    <col min="16131" max="16131" width="16.33203125" style="90" customWidth="1"/>
    <col min="16132" max="16132" width="5.33203125" style="90" bestFit="1" customWidth="1"/>
    <col min="16133" max="16133" width="4.6640625" style="90" customWidth="1"/>
    <col min="16134" max="16135" width="4.44140625" style="90" customWidth="1"/>
    <col min="16136" max="16136" width="8" style="90" customWidth="1"/>
    <col min="16137" max="16138" width="4.77734375" style="90" customWidth="1"/>
    <col min="16139" max="16139" width="9.44140625" style="90" customWidth="1"/>
    <col min="16140" max="16140" width="14.6640625" style="90" bestFit="1" customWidth="1"/>
    <col min="16141" max="16141" width="8.77734375" style="90"/>
    <col min="16142" max="16142" width="4.6640625" style="90" bestFit="1" customWidth="1"/>
    <col min="16143" max="16144" width="8.77734375" style="90"/>
    <col min="16145" max="16145" width="12.6640625" style="90" bestFit="1" customWidth="1"/>
    <col min="16146" max="16384" width="8.77734375" style="90"/>
  </cols>
  <sheetData>
    <row r="2" spans="1:17" ht="15.6">
      <c r="A2" s="131" t="s">
        <v>296</v>
      </c>
      <c r="B2" s="130"/>
      <c r="C2" s="130"/>
      <c r="D2" s="130"/>
      <c r="E2" s="130"/>
    </row>
    <row r="4" spans="1:17" ht="15">
      <c r="A4" s="92" t="s">
        <v>160</v>
      </c>
      <c r="B4" s="92"/>
      <c r="C4" s="92"/>
      <c r="D4" s="92"/>
      <c r="K4" s="92" t="s">
        <v>161</v>
      </c>
      <c r="M4" s="93" t="s">
        <v>162</v>
      </c>
      <c r="N4" s="91"/>
    </row>
    <row r="5" spans="1:17" ht="15">
      <c r="A5" s="92" t="s">
        <v>163</v>
      </c>
      <c r="B5" s="92" t="s">
        <v>164</v>
      </c>
    </row>
    <row r="6" spans="1:17" ht="15">
      <c r="A6" s="92" t="s">
        <v>165</v>
      </c>
      <c r="B6" s="92">
        <v>1</v>
      </c>
      <c r="K6" s="92" t="s">
        <v>166</v>
      </c>
    </row>
    <row r="7" spans="1:17" ht="15">
      <c r="A7" s="92" t="s">
        <v>27</v>
      </c>
      <c r="B7" s="92">
        <v>2</v>
      </c>
      <c r="L7" s="92" t="s">
        <v>167</v>
      </c>
      <c r="M7" s="92"/>
      <c r="N7" s="92"/>
      <c r="O7" s="92" t="s">
        <v>168</v>
      </c>
      <c r="P7" s="92"/>
      <c r="Q7" s="92" t="s">
        <v>169</v>
      </c>
    </row>
    <row r="8" spans="1:17" ht="15">
      <c r="A8" s="92" t="s">
        <v>28</v>
      </c>
      <c r="B8" s="92">
        <v>3</v>
      </c>
      <c r="L8" s="92" t="s">
        <v>170</v>
      </c>
      <c r="M8" s="92"/>
      <c r="N8" s="92"/>
      <c r="O8" s="92" t="s">
        <v>171</v>
      </c>
      <c r="P8" s="92"/>
      <c r="Q8" s="92" t="s">
        <v>172</v>
      </c>
    </row>
    <row r="9" spans="1:17" ht="15">
      <c r="A9" s="92" t="s">
        <v>29</v>
      </c>
      <c r="B9" s="92">
        <v>4</v>
      </c>
      <c r="L9" s="92" t="s">
        <v>173</v>
      </c>
      <c r="M9" s="92"/>
      <c r="N9" s="92"/>
      <c r="O9" s="92" t="s">
        <v>174</v>
      </c>
      <c r="P9" s="92"/>
      <c r="Q9" s="92" t="s">
        <v>175</v>
      </c>
    </row>
    <row r="10" spans="1:17" ht="15">
      <c r="A10" s="92" t="s">
        <v>176</v>
      </c>
      <c r="B10" s="92">
        <v>5</v>
      </c>
      <c r="L10" s="92" t="s">
        <v>177</v>
      </c>
      <c r="M10" s="92"/>
      <c r="N10" s="92"/>
      <c r="O10" s="92" t="s">
        <v>178</v>
      </c>
      <c r="P10" s="92"/>
      <c r="Q10" s="92" t="s">
        <v>179</v>
      </c>
    </row>
    <row r="11" spans="1:17" ht="15">
      <c r="A11" s="92" t="s">
        <v>180</v>
      </c>
      <c r="B11" s="92">
        <v>6</v>
      </c>
      <c r="L11" s="92" t="s">
        <v>181</v>
      </c>
      <c r="M11" s="92"/>
      <c r="N11" s="92"/>
      <c r="O11" s="92" t="s">
        <v>182</v>
      </c>
      <c r="P11" s="92"/>
      <c r="Q11" s="92" t="s">
        <v>183</v>
      </c>
    </row>
    <row r="12" spans="1:17" ht="15">
      <c r="A12" s="92" t="s">
        <v>101</v>
      </c>
      <c r="B12" s="92">
        <v>7</v>
      </c>
      <c r="L12" s="92" t="s">
        <v>184</v>
      </c>
      <c r="M12" s="92"/>
      <c r="N12" s="92"/>
      <c r="O12" s="92" t="s">
        <v>185</v>
      </c>
      <c r="P12" s="92"/>
      <c r="Q12" s="92" t="s">
        <v>186</v>
      </c>
    </row>
    <row r="13" spans="1:17" ht="15">
      <c r="A13" s="92" t="s">
        <v>187</v>
      </c>
      <c r="B13" s="92">
        <v>8</v>
      </c>
      <c r="L13" s="92" t="s">
        <v>188</v>
      </c>
      <c r="M13" s="92"/>
      <c r="N13" s="92"/>
      <c r="O13" s="92" t="s">
        <v>189</v>
      </c>
      <c r="P13" s="92"/>
      <c r="Q13" s="92" t="s">
        <v>190</v>
      </c>
    </row>
    <row r="14" spans="1:17" ht="15">
      <c r="A14" s="92" t="s">
        <v>191</v>
      </c>
      <c r="B14" s="92">
        <v>9</v>
      </c>
      <c r="L14" s="92" t="s">
        <v>192</v>
      </c>
      <c r="M14" s="92"/>
      <c r="N14" s="92"/>
      <c r="O14" s="92" t="s">
        <v>193</v>
      </c>
      <c r="P14" s="92"/>
      <c r="Q14" s="92" t="s">
        <v>194</v>
      </c>
    </row>
    <row r="15" spans="1:17" ht="15">
      <c r="A15" s="92" t="s">
        <v>195</v>
      </c>
      <c r="B15" s="92">
        <v>10</v>
      </c>
      <c r="L15" s="92" t="s">
        <v>196</v>
      </c>
      <c r="M15" s="92"/>
      <c r="N15" s="92"/>
      <c r="O15" s="92" t="s">
        <v>197</v>
      </c>
      <c r="P15" s="92"/>
      <c r="Q15" s="92" t="s">
        <v>198</v>
      </c>
    </row>
    <row r="16" spans="1:17" ht="15">
      <c r="L16" s="92" t="s">
        <v>199</v>
      </c>
      <c r="M16" s="92"/>
      <c r="N16" s="92"/>
      <c r="O16" s="92" t="s">
        <v>200</v>
      </c>
      <c r="P16" s="92"/>
      <c r="Q16" s="92" t="s">
        <v>201</v>
      </c>
    </row>
    <row r="17" spans="1:17" ht="15">
      <c r="L17" s="94"/>
      <c r="M17" s="94"/>
      <c r="N17" s="94"/>
      <c r="O17" s="94"/>
      <c r="P17" s="94"/>
      <c r="Q17" s="94"/>
    </row>
    <row r="18" spans="1:17" ht="19.2">
      <c r="A18" s="133" t="s">
        <v>297</v>
      </c>
      <c r="B18" s="134"/>
      <c r="C18" s="134"/>
      <c r="D18" s="134"/>
      <c r="E18" s="134"/>
      <c r="F18" s="132"/>
      <c r="L18" s="94"/>
      <c r="M18" s="94"/>
      <c r="N18" s="94"/>
      <c r="O18" s="94"/>
      <c r="P18" s="94"/>
      <c r="Q18" s="94"/>
    </row>
    <row r="20" spans="1:17" ht="15">
      <c r="A20" s="93" t="s">
        <v>146</v>
      </c>
      <c r="B20" s="92"/>
      <c r="C20" s="93" t="s">
        <v>145</v>
      </c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</row>
    <row r="21" spans="1:17" ht="15">
      <c r="A21" s="92"/>
      <c r="B21" s="92"/>
      <c r="C21" s="93" t="s">
        <v>144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1:17" ht="15">
      <c r="A22" s="93" t="s">
        <v>139</v>
      </c>
      <c r="B22" s="92" t="s">
        <v>137</v>
      </c>
      <c r="C22" s="92" t="s">
        <v>136</v>
      </c>
      <c r="D22" s="92" t="s">
        <v>135</v>
      </c>
      <c r="E22" s="92" t="s">
        <v>134</v>
      </c>
      <c r="F22" s="92" t="s">
        <v>133</v>
      </c>
      <c r="G22" s="92" t="s">
        <v>132</v>
      </c>
      <c r="H22" s="92" t="s">
        <v>131</v>
      </c>
      <c r="I22" s="92" t="s">
        <v>130</v>
      </c>
      <c r="J22" s="92" t="s">
        <v>129</v>
      </c>
      <c r="K22" s="92" t="s">
        <v>128</v>
      </c>
      <c r="L22" s="93" t="s">
        <v>143</v>
      </c>
      <c r="M22" s="92"/>
      <c r="N22" s="92"/>
    </row>
    <row r="23" spans="1:17" ht="15">
      <c r="A23" s="92" t="s">
        <v>137</v>
      </c>
      <c r="B23" s="92">
        <v>0</v>
      </c>
      <c r="C23" s="92">
        <v>20</v>
      </c>
      <c r="D23" s="92">
        <v>15</v>
      </c>
      <c r="E23" s="92">
        <v>20</v>
      </c>
      <c r="F23" s="92">
        <v>0</v>
      </c>
      <c r="G23" s="92">
        <v>0</v>
      </c>
      <c r="H23" s="92">
        <v>0</v>
      </c>
      <c r="I23" s="92">
        <v>0</v>
      </c>
      <c r="J23" s="92">
        <v>0</v>
      </c>
      <c r="K23" s="92">
        <v>0</v>
      </c>
      <c r="L23" s="92">
        <f>SUM(B23:K23)</f>
        <v>55</v>
      </c>
      <c r="M23" s="92"/>
      <c r="N23" s="92"/>
    </row>
    <row r="24" spans="1:17" ht="15">
      <c r="A24" s="92" t="s">
        <v>136</v>
      </c>
      <c r="B24" s="92">
        <v>0</v>
      </c>
      <c r="C24" s="92">
        <v>0</v>
      </c>
      <c r="D24" s="92">
        <v>2</v>
      </c>
      <c r="E24" s="92">
        <v>0</v>
      </c>
      <c r="F24" s="92">
        <v>18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2">
        <f t="shared" ref="L24:L32" si="0">SUM(B24:K24)</f>
        <v>20</v>
      </c>
      <c r="M24" s="92"/>
      <c r="N24" s="92"/>
    </row>
    <row r="25" spans="1:17" ht="15">
      <c r="A25" s="92" t="s">
        <v>135</v>
      </c>
      <c r="B25" s="92">
        <v>0</v>
      </c>
      <c r="C25" s="92">
        <v>0</v>
      </c>
      <c r="D25" s="92">
        <v>0</v>
      </c>
      <c r="E25" s="92">
        <v>0</v>
      </c>
      <c r="F25" s="92">
        <v>6</v>
      </c>
      <c r="G25" s="92">
        <v>13</v>
      </c>
      <c r="H25" s="92">
        <v>0</v>
      </c>
      <c r="I25" s="92">
        <v>0</v>
      </c>
      <c r="J25" s="92">
        <v>0</v>
      </c>
      <c r="K25" s="92">
        <v>0</v>
      </c>
      <c r="L25" s="92">
        <f t="shared" si="0"/>
        <v>19</v>
      </c>
      <c r="M25" s="92"/>
      <c r="N25" s="92"/>
    </row>
    <row r="26" spans="1:17" ht="15">
      <c r="A26" s="92" t="s">
        <v>134</v>
      </c>
      <c r="B26" s="92">
        <v>0</v>
      </c>
      <c r="C26" s="92">
        <v>0</v>
      </c>
      <c r="D26" s="92">
        <v>2</v>
      </c>
      <c r="E26" s="92">
        <v>0</v>
      </c>
      <c r="F26" s="92">
        <v>0</v>
      </c>
      <c r="G26" s="92">
        <v>0</v>
      </c>
      <c r="H26" s="92">
        <v>18</v>
      </c>
      <c r="I26" s="92">
        <v>0</v>
      </c>
      <c r="J26" s="92">
        <v>0</v>
      </c>
      <c r="K26" s="92">
        <v>0</v>
      </c>
      <c r="L26" s="92">
        <f t="shared" si="0"/>
        <v>20</v>
      </c>
      <c r="M26" s="92"/>
      <c r="N26" s="92"/>
    </row>
    <row r="27" spans="1:17" ht="15">
      <c r="A27" s="92" t="s">
        <v>133</v>
      </c>
      <c r="B27" s="92">
        <v>0</v>
      </c>
      <c r="C27" s="92">
        <v>0</v>
      </c>
      <c r="D27" s="92">
        <v>0</v>
      </c>
      <c r="E27" s="92">
        <v>0</v>
      </c>
      <c r="F27" s="92">
        <v>0</v>
      </c>
      <c r="G27" s="92">
        <v>10</v>
      </c>
      <c r="H27" s="92">
        <v>0</v>
      </c>
      <c r="I27" s="92">
        <v>14</v>
      </c>
      <c r="J27" s="92">
        <v>0</v>
      </c>
      <c r="K27" s="92">
        <v>0</v>
      </c>
      <c r="L27" s="92">
        <f t="shared" si="0"/>
        <v>24</v>
      </c>
      <c r="M27" s="92"/>
      <c r="N27" s="92"/>
    </row>
    <row r="28" spans="1:17" ht="15">
      <c r="A28" s="92" t="s">
        <v>132</v>
      </c>
      <c r="B28" s="92">
        <v>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2</v>
      </c>
      <c r="I28" s="92">
        <v>16</v>
      </c>
      <c r="J28" s="92">
        <v>5</v>
      </c>
      <c r="K28" s="92">
        <v>0</v>
      </c>
      <c r="L28" s="92">
        <f t="shared" si="0"/>
        <v>23</v>
      </c>
      <c r="M28" s="92"/>
      <c r="N28" s="92"/>
    </row>
    <row r="29" spans="1:17" ht="15">
      <c r="A29" s="92" t="s">
        <v>131</v>
      </c>
      <c r="B29" s="92">
        <v>0</v>
      </c>
      <c r="C29" s="92">
        <v>0</v>
      </c>
      <c r="D29" s="92">
        <v>0</v>
      </c>
      <c r="E29" s="92">
        <v>0</v>
      </c>
      <c r="F29" s="92">
        <v>0</v>
      </c>
      <c r="G29" s="92">
        <v>0</v>
      </c>
      <c r="H29" s="92">
        <v>0</v>
      </c>
      <c r="I29" s="92">
        <v>0</v>
      </c>
      <c r="J29" s="92">
        <v>20</v>
      </c>
      <c r="K29" s="92">
        <v>0</v>
      </c>
      <c r="L29" s="92">
        <f t="shared" si="0"/>
        <v>20</v>
      </c>
      <c r="M29" s="92"/>
      <c r="N29" s="92"/>
    </row>
    <row r="30" spans="1:17" ht="15">
      <c r="A30" s="92" t="s">
        <v>130</v>
      </c>
      <c r="B30" s="92">
        <v>0</v>
      </c>
      <c r="C30" s="92">
        <v>0</v>
      </c>
      <c r="D30" s="92">
        <v>0</v>
      </c>
      <c r="E30" s="92">
        <v>0</v>
      </c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>
        <v>30</v>
      </c>
      <c r="L30" s="92">
        <f t="shared" si="0"/>
        <v>30</v>
      </c>
      <c r="M30" s="92"/>
      <c r="N30" s="92"/>
    </row>
    <row r="31" spans="1:17" ht="15">
      <c r="A31" s="92" t="s">
        <v>129</v>
      </c>
      <c r="B31" s="92">
        <v>0</v>
      </c>
      <c r="C31" s="92">
        <v>0</v>
      </c>
      <c r="D31" s="92">
        <v>0</v>
      </c>
      <c r="E31" s="92">
        <v>0</v>
      </c>
      <c r="F31" s="92">
        <v>0</v>
      </c>
      <c r="G31" s="92">
        <v>0</v>
      </c>
      <c r="H31" s="92">
        <v>0</v>
      </c>
      <c r="I31" s="92">
        <v>0</v>
      </c>
      <c r="J31" s="92">
        <v>0</v>
      </c>
      <c r="K31" s="92">
        <v>25</v>
      </c>
      <c r="L31" s="92">
        <f t="shared" si="0"/>
        <v>25</v>
      </c>
      <c r="M31" s="92"/>
      <c r="N31" s="92"/>
    </row>
    <row r="32" spans="1:17" ht="15">
      <c r="A32" s="92" t="s">
        <v>128</v>
      </c>
      <c r="B32" s="95">
        <v>55</v>
      </c>
      <c r="C32" s="92">
        <v>0</v>
      </c>
      <c r="D32" s="92">
        <v>0</v>
      </c>
      <c r="E32" s="92">
        <v>0</v>
      </c>
      <c r="F32" s="92">
        <v>0</v>
      </c>
      <c r="G32" s="92">
        <v>0</v>
      </c>
      <c r="H32" s="92">
        <v>0</v>
      </c>
      <c r="I32" s="92">
        <v>0</v>
      </c>
      <c r="J32" s="92">
        <v>0</v>
      </c>
      <c r="K32" s="92">
        <v>0</v>
      </c>
      <c r="L32" s="92">
        <f t="shared" si="0"/>
        <v>55</v>
      </c>
      <c r="M32" s="92"/>
      <c r="N32" s="92"/>
    </row>
    <row r="33" spans="1:14" ht="15">
      <c r="A33" s="93" t="s">
        <v>142</v>
      </c>
      <c r="B33" s="92">
        <f>SUM(B23:B32)</f>
        <v>55</v>
      </c>
      <c r="C33" s="92">
        <f t="shared" ref="C33:K33" si="1">SUM(C23:C32)</f>
        <v>20</v>
      </c>
      <c r="D33" s="92">
        <f t="shared" si="1"/>
        <v>19</v>
      </c>
      <c r="E33" s="92">
        <f t="shared" si="1"/>
        <v>20</v>
      </c>
      <c r="F33" s="92">
        <f t="shared" si="1"/>
        <v>24</v>
      </c>
      <c r="G33" s="92">
        <f t="shared" si="1"/>
        <v>23</v>
      </c>
      <c r="H33" s="92">
        <f t="shared" si="1"/>
        <v>20</v>
      </c>
      <c r="I33" s="92">
        <f t="shared" si="1"/>
        <v>30</v>
      </c>
      <c r="J33" s="92">
        <f t="shared" si="1"/>
        <v>25</v>
      </c>
      <c r="K33" s="92">
        <f t="shared" si="1"/>
        <v>55</v>
      </c>
      <c r="L33" s="92"/>
      <c r="M33" s="92"/>
      <c r="N33" s="92"/>
    </row>
    <row r="34" spans="1:14" ht="15">
      <c r="A34" s="92"/>
      <c r="B34" s="92"/>
      <c r="C34" s="93" t="s">
        <v>141</v>
      </c>
      <c r="D34" s="92"/>
      <c r="E34" s="92"/>
      <c r="F34" s="92"/>
      <c r="G34" s="92"/>
      <c r="H34" s="92"/>
      <c r="I34" s="92"/>
      <c r="J34" s="92"/>
      <c r="K34" s="92"/>
      <c r="L34" s="92"/>
      <c r="M34" s="93" t="s">
        <v>140</v>
      </c>
      <c r="N34" s="92"/>
    </row>
    <row r="35" spans="1:14" ht="15">
      <c r="A35" s="93" t="s">
        <v>139</v>
      </c>
      <c r="B35" s="92" t="s">
        <v>137</v>
      </c>
      <c r="C35" s="92" t="s">
        <v>136</v>
      </c>
      <c r="D35" s="92" t="s">
        <v>135</v>
      </c>
      <c r="E35" s="92" t="s">
        <v>134</v>
      </c>
      <c r="F35" s="92" t="s">
        <v>133</v>
      </c>
      <c r="G35" s="92" t="s">
        <v>132</v>
      </c>
      <c r="H35" s="92" t="s">
        <v>131</v>
      </c>
      <c r="I35" s="92" t="s">
        <v>130</v>
      </c>
      <c r="J35" s="92" t="s">
        <v>129</v>
      </c>
      <c r="K35" s="92" t="s">
        <v>128</v>
      </c>
      <c r="L35" s="92"/>
      <c r="M35" s="93" t="s">
        <v>138</v>
      </c>
      <c r="N35" s="93" t="s">
        <v>40</v>
      </c>
    </row>
    <row r="36" spans="1:14" ht="15">
      <c r="A36" s="92" t="s">
        <v>137</v>
      </c>
      <c r="B36" s="92">
        <v>0</v>
      </c>
      <c r="C36" s="92">
        <v>20</v>
      </c>
      <c r="D36" s="92">
        <v>15</v>
      </c>
      <c r="E36" s="92">
        <v>22</v>
      </c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92">
        <v>0</v>
      </c>
      <c r="L36" s="92" t="s">
        <v>137</v>
      </c>
      <c r="M36" s="92">
        <f>C23+D23+E23-B32</f>
        <v>0</v>
      </c>
      <c r="N36" s="92">
        <v>0</v>
      </c>
    </row>
    <row r="37" spans="1:14" ht="15">
      <c r="A37" s="92" t="s">
        <v>136</v>
      </c>
      <c r="B37" s="92">
        <v>0</v>
      </c>
      <c r="C37" s="92">
        <v>0</v>
      </c>
      <c r="D37" s="92">
        <v>20</v>
      </c>
      <c r="E37" s="92">
        <v>0</v>
      </c>
      <c r="F37" s="92">
        <v>18</v>
      </c>
      <c r="G37" s="92">
        <v>0</v>
      </c>
      <c r="H37" s="92">
        <v>0</v>
      </c>
      <c r="I37" s="92">
        <v>0</v>
      </c>
      <c r="J37" s="92">
        <v>0</v>
      </c>
      <c r="K37" s="92">
        <v>0</v>
      </c>
      <c r="L37" s="92" t="s">
        <v>136</v>
      </c>
      <c r="M37" s="92">
        <f>D24+F24-C23-C25</f>
        <v>0</v>
      </c>
      <c r="N37" s="92">
        <v>0</v>
      </c>
    </row>
    <row r="38" spans="1:14" ht="15">
      <c r="A38" s="92" t="s">
        <v>135</v>
      </c>
      <c r="B38" s="92">
        <v>0</v>
      </c>
      <c r="C38" s="92">
        <v>10</v>
      </c>
      <c r="D38" s="92">
        <v>0</v>
      </c>
      <c r="E38" s="92">
        <v>0</v>
      </c>
      <c r="F38" s="92">
        <v>20</v>
      </c>
      <c r="G38" s="92">
        <v>13</v>
      </c>
      <c r="H38" s="92">
        <v>0</v>
      </c>
      <c r="I38" s="92">
        <v>0</v>
      </c>
      <c r="J38" s="92">
        <v>0</v>
      </c>
      <c r="K38" s="92">
        <v>0</v>
      </c>
      <c r="L38" s="92" t="s">
        <v>135</v>
      </c>
      <c r="M38" s="92">
        <f>C25+F25+G25-D23-D24-D26</f>
        <v>0</v>
      </c>
      <c r="N38" s="92">
        <v>0</v>
      </c>
    </row>
    <row r="39" spans="1:14" ht="15">
      <c r="A39" s="92" t="s">
        <v>134</v>
      </c>
      <c r="B39" s="92">
        <v>0</v>
      </c>
      <c r="C39" s="92">
        <v>0</v>
      </c>
      <c r="D39" s="92">
        <v>5</v>
      </c>
      <c r="E39" s="92">
        <v>0</v>
      </c>
      <c r="F39" s="92">
        <v>0</v>
      </c>
      <c r="G39" s="92">
        <v>0</v>
      </c>
      <c r="H39" s="92">
        <v>18</v>
      </c>
      <c r="I39" s="92">
        <v>0</v>
      </c>
      <c r="J39" s="92">
        <v>0</v>
      </c>
      <c r="K39" s="92">
        <v>0</v>
      </c>
      <c r="L39" s="92" t="s">
        <v>134</v>
      </c>
      <c r="M39" s="92">
        <f>D26+H26-E23</f>
        <v>0</v>
      </c>
      <c r="N39" s="92">
        <v>0</v>
      </c>
    </row>
    <row r="40" spans="1:14" ht="15">
      <c r="A40" s="92" t="s">
        <v>133</v>
      </c>
      <c r="B40" s="92">
        <v>0</v>
      </c>
      <c r="C40" s="92">
        <v>0</v>
      </c>
      <c r="D40" s="92">
        <v>0</v>
      </c>
      <c r="E40" s="92">
        <v>0</v>
      </c>
      <c r="F40" s="92">
        <v>0</v>
      </c>
      <c r="G40" s="92">
        <v>10</v>
      </c>
      <c r="H40" s="92">
        <v>0</v>
      </c>
      <c r="I40" s="92">
        <v>14</v>
      </c>
      <c r="J40" s="92">
        <v>0</v>
      </c>
      <c r="K40" s="92">
        <v>0</v>
      </c>
      <c r="L40" s="92" t="s">
        <v>133</v>
      </c>
      <c r="M40" s="92">
        <f>G27+I27-F24-F25</f>
        <v>0</v>
      </c>
      <c r="N40" s="92">
        <v>0</v>
      </c>
    </row>
    <row r="41" spans="1:14" ht="15">
      <c r="A41" s="92" t="s">
        <v>132</v>
      </c>
      <c r="B41" s="92">
        <v>0</v>
      </c>
      <c r="C41" s="92">
        <v>0</v>
      </c>
      <c r="D41" s="92">
        <v>0</v>
      </c>
      <c r="E41" s="92">
        <v>0</v>
      </c>
      <c r="F41" s="92">
        <v>0</v>
      </c>
      <c r="G41" s="92">
        <v>0</v>
      </c>
      <c r="H41" s="92">
        <v>5</v>
      </c>
      <c r="I41" s="92">
        <v>25</v>
      </c>
      <c r="J41" s="92">
        <v>5</v>
      </c>
      <c r="K41" s="92">
        <v>0</v>
      </c>
      <c r="L41" s="92" t="s">
        <v>132</v>
      </c>
      <c r="M41" s="92">
        <f>H28+I28+J28-G25-G27</f>
        <v>0</v>
      </c>
      <c r="N41" s="92">
        <v>0</v>
      </c>
    </row>
    <row r="42" spans="1:14" ht="15">
      <c r="A42" s="92" t="s">
        <v>131</v>
      </c>
      <c r="B42" s="92">
        <v>0</v>
      </c>
      <c r="C42" s="92">
        <v>0</v>
      </c>
      <c r="D42" s="92">
        <v>0</v>
      </c>
      <c r="E42" s="92">
        <v>0</v>
      </c>
      <c r="F42" s="92">
        <v>0</v>
      </c>
      <c r="G42" s="92">
        <v>0</v>
      </c>
      <c r="H42" s="92">
        <v>0</v>
      </c>
      <c r="I42" s="92">
        <v>0</v>
      </c>
      <c r="J42" s="92">
        <v>20</v>
      </c>
      <c r="K42" s="92">
        <v>0</v>
      </c>
      <c r="L42" s="92" t="s">
        <v>131</v>
      </c>
      <c r="M42" s="92">
        <f>J29-H26-H28</f>
        <v>0</v>
      </c>
      <c r="N42" s="92">
        <v>0</v>
      </c>
    </row>
    <row r="43" spans="1:14" ht="15">
      <c r="A43" s="92" t="s">
        <v>130</v>
      </c>
      <c r="B43" s="92">
        <v>0</v>
      </c>
      <c r="C43" s="92">
        <v>0</v>
      </c>
      <c r="D43" s="92">
        <v>0</v>
      </c>
      <c r="E43" s="92">
        <v>0</v>
      </c>
      <c r="F43" s="92">
        <v>0</v>
      </c>
      <c r="G43" s="92">
        <v>0</v>
      </c>
      <c r="H43" s="92">
        <v>0</v>
      </c>
      <c r="I43" s="92">
        <v>0</v>
      </c>
      <c r="J43" s="92">
        <v>10</v>
      </c>
      <c r="K43" s="92">
        <v>30</v>
      </c>
      <c r="L43" s="92" t="s">
        <v>130</v>
      </c>
      <c r="M43" s="92">
        <f>J30+K30-I27-I28</f>
        <v>0</v>
      </c>
      <c r="N43" s="92">
        <v>0</v>
      </c>
    </row>
    <row r="44" spans="1:14" ht="15">
      <c r="A44" s="92" t="s">
        <v>129</v>
      </c>
      <c r="B44" s="92">
        <v>0</v>
      </c>
      <c r="C44" s="92">
        <v>0</v>
      </c>
      <c r="D44" s="92">
        <v>0</v>
      </c>
      <c r="E44" s="92">
        <v>0</v>
      </c>
      <c r="F44" s="92">
        <v>0</v>
      </c>
      <c r="G44" s="92">
        <v>0</v>
      </c>
      <c r="H44" s="92">
        <v>0</v>
      </c>
      <c r="I44" s="92">
        <v>0</v>
      </c>
      <c r="J44" s="92">
        <v>0</v>
      </c>
      <c r="K44" s="92">
        <v>25</v>
      </c>
      <c r="L44" s="92" t="s">
        <v>129</v>
      </c>
      <c r="M44" s="92">
        <f>K31-J28-J29-J30</f>
        <v>0</v>
      </c>
      <c r="N44" s="92">
        <v>0</v>
      </c>
    </row>
    <row r="45" spans="1:14" ht="15">
      <c r="A45" s="92" t="s">
        <v>128</v>
      </c>
      <c r="B45" s="92">
        <v>9999</v>
      </c>
      <c r="C45" s="92">
        <v>0</v>
      </c>
      <c r="D45" s="92">
        <v>0</v>
      </c>
      <c r="E45" s="92">
        <v>0</v>
      </c>
      <c r="F45" s="92">
        <v>0</v>
      </c>
      <c r="G45" s="92">
        <v>0</v>
      </c>
      <c r="H45" s="92">
        <v>0</v>
      </c>
      <c r="I45" s="92">
        <v>0</v>
      </c>
      <c r="J45" s="92">
        <v>0</v>
      </c>
      <c r="K45" s="92">
        <v>0</v>
      </c>
      <c r="L45" s="92" t="s">
        <v>128</v>
      </c>
      <c r="M45" s="92">
        <f>B32-K30-K31</f>
        <v>0</v>
      </c>
      <c r="N45" s="92">
        <v>0</v>
      </c>
    </row>
    <row r="46" spans="1:14" ht="15">
      <c r="A46" s="93" t="s">
        <v>127</v>
      </c>
      <c r="B46" s="92">
        <f>B32</f>
        <v>55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</row>
    <row r="50" spans="1:13" ht="15">
      <c r="A50" s="96" t="s">
        <v>202</v>
      </c>
    </row>
    <row r="52" spans="1:13" ht="19.2">
      <c r="A52" s="137"/>
      <c r="B52" s="134"/>
      <c r="C52" s="136" t="s">
        <v>203</v>
      </c>
      <c r="D52" s="134"/>
      <c r="E52" s="134"/>
      <c r="F52" s="134"/>
    </row>
    <row r="54" spans="1:13" ht="15">
      <c r="A54" s="96" t="s">
        <v>204</v>
      </c>
      <c r="B54" s="96"/>
      <c r="C54" s="96" t="s">
        <v>205</v>
      </c>
      <c r="D54" s="96"/>
      <c r="E54" s="96"/>
      <c r="F54" s="96"/>
      <c r="G54" s="96"/>
      <c r="H54" s="96" t="s">
        <v>206</v>
      </c>
      <c r="I54" s="96"/>
      <c r="J54" s="96"/>
      <c r="K54" s="96"/>
      <c r="L54" s="96" t="s">
        <v>207</v>
      </c>
      <c r="M54" s="97"/>
    </row>
    <row r="55" spans="1:13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</row>
    <row r="56" spans="1:13" ht="15">
      <c r="A56" s="92" t="s">
        <v>208</v>
      </c>
      <c r="B56" s="92"/>
      <c r="C56" s="92" t="s">
        <v>209</v>
      </c>
      <c r="D56" s="92"/>
      <c r="E56" s="92"/>
      <c r="F56" s="92"/>
      <c r="G56" s="92"/>
      <c r="H56" s="92" t="s">
        <v>210</v>
      </c>
      <c r="I56" s="92"/>
      <c r="J56" s="92"/>
      <c r="K56" s="92"/>
      <c r="L56" s="92">
        <v>20</v>
      </c>
    </row>
    <row r="57" spans="1:13" ht="15">
      <c r="A57" s="92" t="s">
        <v>211</v>
      </c>
      <c r="B57" s="92"/>
      <c r="C57" s="92" t="s">
        <v>212</v>
      </c>
      <c r="D57" s="92"/>
      <c r="E57" s="92"/>
      <c r="F57" s="92"/>
      <c r="G57" s="92"/>
      <c r="H57" s="92" t="s">
        <v>213</v>
      </c>
      <c r="I57" s="92"/>
      <c r="J57" s="92"/>
      <c r="K57" s="92"/>
      <c r="L57" s="92">
        <v>15</v>
      </c>
    </row>
    <row r="58" spans="1:13" ht="15">
      <c r="A58" s="92" t="s">
        <v>214</v>
      </c>
      <c r="B58" s="92"/>
      <c r="C58" s="92" t="s">
        <v>215</v>
      </c>
      <c r="D58" s="92"/>
      <c r="E58" s="92"/>
      <c r="F58" s="92"/>
      <c r="G58" s="92"/>
      <c r="H58" s="92" t="s">
        <v>216</v>
      </c>
      <c r="I58" s="92"/>
      <c r="J58" s="92"/>
      <c r="K58" s="92"/>
      <c r="L58" s="92">
        <v>20</v>
      </c>
    </row>
    <row r="59" spans="1:13" ht="15">
      <c r="A59" s="92" t="s">
        <v>217</v>
      </c>
      <c r="B59" s="92"/>
      <c r="C59" s="92" t="s">
        <v>218</v>
      </c>
      <c r="D59" s="92"/>
      <c r="E59" s="92"/>
      <c r="F59" s="92"/>
      <c r="G59" s="92"/>
      <c r="H59" s="92" t="s">
        <v>219</v>
      </c>
      <c r="I59" s="92"/>
      <c r="J59" s="92"/>
      <c r="K59" s="92"/>
      <c r="L59" s="92">
        <v>2</v>
      </c>
    </row>
    <row r="60" spans="1:13" ht="15">
      <c r="A60" s="92" t="s">
        <v>220</v>
      </c>
      <c r="B60" s="92"/>
      <c r="C60" s="92" t="s">
        <v>221</v>
      </c>
      <c r="D60" s="92"/>
      <c r="E60" s="92"/>
      <c r="F60" s="92"/>
      <c r="G60" s="92"/>
      <c r="H60" s="92" t="s">
        <v>222</v>
      </c>
      <c r="I60" s="92"/>
      <c r="J60" s="92"/>
      <c r="K60" s="92"/>
      <c r="L60" s="92">
        <v>18</v>
      </c>
    </row>
    <row r="61" spans="1:13" ht="15">
      <c r="A61" s="92" t="s">
        <v>223</v>
      </c>
      <c r="B61" s="92"/>
      <c r="C61" s="92" t="s">
        <v>224</v>
      </c>
      <c r="D61" s="92"/>
      <c r="E61" s="92"/>
      <c r="F61" s="92"/>
      <c r="G61" s="92"/>
      <c r="H61" s="92" t="s">
        <v>225</v>
      </c>
      <c r="I61" s="92"/>
      <c r="J61" s="92"/>
      <c r="K61" s="92"/>
      <c r="L61" s="92">
        <v>6</v>
      </c>
    </row>
    <row r="62" spans="1:13" ht="15">
      <c r="A62" s="92" t="s">
        <v>226</v>
      </c>
      <c r="B62" s="92"/>
      <c r="C62" s="92" t="s">
        <v>227</v>
      </c>
      <c r="D62" s="92"/>
      <c r="E62" s="92"/>
      <c r="F62" s="92"/>
      <c r="G62" s="92"/>
      <c r="H62" s="92" t="s">
        <v>228</v>
      </c>
      <c r="I62" s="92"/>
      <c r="J62" s="92"/>
      <c r="K62" s="92"/>
      <c r="L62" s="92">
        <v>13</v>
      </c>
    </row>
    <row r="63" spans="1:13" ht="15">
      <c r="A63" s="92" t="s">
        <v>229</v>
      </c>
      <c r="B63" s="92"/>
      <c r="C63" s="92" t="s">
        <v>230</v>
      </c>
      <c r="D63" s="92"/>
      <c r="E63" s="92"/>
      <c r="F63" s="92"/>
      <c r="G63" s="92"/>
      <c r="H63" s="92" t="s">
        <v>231</v>
      </c>
      <c r="I63" s="92"/>
      <c r="J63" s="92"/>
      <c r="K63" s="92"/>
      <c r="L63" s="92">
        <v>2</v>
      </c>
    </row>
    <row r="64" spans="1:13" ht="15">
      <c r="A64" s="92" t="s">
        <v>232</v>
      </c>
      <c r="B64" s="92"/>
      <c r="C64" s="92" t="s">
        <v>233</v>
      </c>
      <c r="D64" s="92"/>
      <c r="E64" s="92"/>
      <c r="F64" s="92"/>
      <c r="G64" s="92"/>
      <c r="H64" s="92" t="s">
        <v>234</v>
      </c>
      <c r="I64" s="92"/>
      <c r="J64" s="92"/>
      <c r="K64" s="92"/>
      <c r="L64" s="92">
        <v>18</v>
      </c>
    </row>
    <row r="65" spans="1:12" ht="15">
      <c r="A65" s="92" t="s">
        <v>235</v>
      </c>
      <c r="B65" s="92"/>
      <c r="C65" s="92" t="s">
        <v>236</v>
      </c>
      <c r="D65" s="92"/>
      <c r="E65" s="92"/>
      <c r="F65" s="92"/>
      <c r="G65" s="92"/>
      <c r="H65" s="92" t="s">
        <v>237</v>
      </c>
      <c r="I65" s="92"/>
      <c r="J65" s="92"/>
      <c r="K65" s="92"/>
      <c r="L65" s="92">
        <v>10</v>
      </c>
    </row>
    <row r="66" spans="1:12" ht="15">
      <c r="A66" s="92" t="s">
        <v>238</v>
      </c>
      <c r="B66" s="92"/>
      <c r="C66" s="92" t="s">
        <v>239</v>
      </c>
      <c r="D66" s="92"/>
      <c r="E66" s="92"/>
      <c r="F66" s="92"/>
      <c r="G66" s="92"/>
      <c r="H66" s="92" t="s">
        <v>240</v>
      </c>
      <c r="I66" s="92"/>
      <c r="J66" s="92"/>
      <c r="K66" s="92"/>
      <c r="L66" s="92">
        <v>14</v>
      </c>
    </row>
    <row r="67" spans="1:12" ht="15">
      <c r="A67" s="92" t="s">
        <v>241</v>
      </c>
      <c r="B67" s="92"/>
      <c r="C67" s="92" t="s">
        <v>242</v>
      </c>
      <c r="D67" s="92"/>
      <c r="E67" s="92"/>
      <c r="F67" s="92"/>
      <c r="G67" s="92"/>
      <c r="H67" s="92" t="s">
        <v>243</v>
      </c>
      <c r="I67" s="92"/>
      <c r="J67" s="92"/>
      <c r="K67" s="92"/>
      <c r="L67" s="92">
        <v>2</v>
      </c>
    </row>
    <row r="68" spans="1:12" ht="15">
      <c r="A68" s="92" t="s">
        <v>244</v>
      </c>
      <c r="B68" s="92"/>
      <c r="C68" s="92" t="s">
        <v>245</v>
      </c>
      <c r="D68" s="92"/>
      <c r="E68" s="92"/>
      <c r="F68" s="92"/>
      <c r="G68" s="92"/>
      <c r="H68" s="92" t="s">
        <v>246</v>
      </c>
      <c r="I68" s="92"/>
      <c r="J68" s="92"/>
      <c r="K68" s="92"/>
      <c r="L68" s="92">
        <v>16</v>
      </c>
    </row>
    <row r="69" spans="1:12" ht="15">
      <c r="A69" s="92" t="s">
        <v>247</v>
      </c>
      <c r="B69" s="92"/>
      <c r="C69" s="92" t="s">
        <v>248</v>
      </c>
      <c r="D69" s="92"/>
      <c r="E69" s="92"/>
      <c r="F69" s="92"/>
      <c r="G69" s="92"/>
      <c r="H69" s="92" t="s">
        <v>249</v>
      </c>
      <c r="I69" s="92"/>
      <c r="J69" s="92"/>
      <c r="K69" s="92"/>
      <c r="L69" s="92">
        <v>5</v>
      </c>
    </row>
    <row r="70" spans="1:12" ht="15">
      <c r="A70" s="92" t="s">
        <v>250</v>
      </c>
      <c r="B70" s="92"/>
      <c r="C70" s="92" t="s">
        <v>251</v>
      </c>
      <c r="D70" s="92"/>
      <c r="E70" s="92"/>
      <c r="F70" s="92"/>
      <c r="G70" s="92"/>
      <c r="H70" s="92" t="s">
        <v>252</v>
      </c>
      <c r="I70" s="92"/>
      <c r="J70" s="92"/>
      <c r="K70" s="92"/>
      <c r="L70" s="92">
        <v>20</v>
      </c>
    </row>
    <row r="71" spans="1:12" ht="15">
      <c r="A71" s="92" t="s">
        <v>253</v>
      </c>
      <c r="B71" s="92"/>
      <c r="C71" s="92" t="s">
        <v>254</v>
      </c>
      <c r="D71" s="92"/>
      <c r="E71" s="92"/>
      <c r="F71" s="92"/>
      <c r="G71" s="92"/>
      <c r="H71" s="92" t="s">
        <v>255</v>
      </c>
      <c r="I71" s="92"/>
      <c r="J71" s="92"/>
      <c r="K71" s="92"/>
      <c r="L71" s="92">
        <v>30</v>
      </c>
    </row>
    <row r="72" spans="1:12" ht="15">
      <c r="A72" s="92" t="s">
        <v>256</v>
      </c>
      <c r="B72" s="92"/>
      <c r="C72" s="92" t="s">
        <v>257</v>
      </c>
      <c r="D72" s="92"/>
      <c r="E72" s="92"/>
      <c r="F72" s="92"/>
      <c r="G72" s="92"/>
      <c r="H72" s="92" t="s">
        <v>258</v>
      </c>
      <c r="I72" s="92"/>
      <c r="J72" s="92"/>
      <c r="K72" s="92"/>
      <c r="L72" s="92">
        <v>25</v>
      </c>
    </row>
  </sheetData>
  <pageMargins left="0.75" right="0.75" top="1" bottom="1" header="0.5" footer="0.5"/>
  <pageSetup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H30" sqref="H30"/>
    </sheetView>
  </sheetViews>
  <sheetFormatPr defaultColWidth="8.77734375" defaultRowHeight="15"/>
  <cols>
    <col min="1" max="1" width="12.77734375" style="97" bestFit="1" customWidth="1"/>
    <col min="2" max="2" width="15.6640625" style="97" bestFit="1" customWidth="1"/>
    <col min="3" max="3" width="11.33203125" style="97" customWidth="1"/>
    <col min="4" max="4" width="12.44140625" style="97" customWidth="1"/>
    <col min="5" max="5" width="11.77734375" style="97" customWidth="1"/>
    <col min="6" max="7" width="8.77734375" style="97"/>
    <col min="8" max="8" width="23.33203125" style="97" customWidth="1"/>
    <col min="9" max="16384" width="8.77734375" style="97"/>
  </cols>
  <sheetData>
    <row r="1" spans="1:13" ht="19.8">
      <c r="A1" s="98" t="s">
        <v>159</v>
      </c>
    </row>
    <row r="3" spans="1:13">
      <c r="A3" s="140"/>
      <c r="B3" s="140"/>
      <c r="C3" s="140" t="s">
        <v>158</v>
      </c>
      <c r="D3" s="140"/>
      <c r="E3" s="97" t="s">
        <v>157</v>
      </c>
    </row>
    <row r="4" spans="1:13">
      <c r="A4" s="140"/>
      <c r="B4" s="140" t="s">
        <v>156</v>
      </c>
      <c r="C4" s="140" t="s">
        <v>155</v>
      </c>
      <c r="D4" s="140" t="s">
        <v>154</v>
      </c>
    </row>
    <row r="5" spans="1:13" ht="15.6" thickBot="1">
      <c r="A5" s="140" t="s">
        <v>153</v>
      </c>
      <c r="B5" s="140" t="s">
        <v>152</v>
      </c>
      <c r="C5" s="140" t="s">
        <v>151</v>
      </c>
      <c r="D5" s="140" t="s">
        <v>150</v>
      </c>
      <c r="E5" s="141" t="s">
        <v>149</v>
      </c>
      <c r="F5" s="135"/>
      <c r="G5" s="135"/>
    </row>
    <row r="6" spans="1:13">
      <c r="A6" s="138">
        <v>0</v>
      </c>
      <c r="B6" s="139">
        <f>SUM(K6+K7+K8)/K15</f>
        <v>0.40816326530612246</v>
      </c>
      <c r="C6" s="139">
        <f>SUM(K9+K10+K11)/K15</f>
        <v>0.32653061224489793</v>
      </c>
      <c r="D6" s="139">
        <f>SUM(K12+K13+K14)/K15</f>
        <v>0.26530612244897961</v>
      </c>
      <c r="E6" s="99">
        <f>L6</f>
        <v>0.4</v>
      </c>
      <c r="F6" s="99">
        <f>L7</f>
        <v>0.4</v>
      </c>
      <c r="G6" s="100">
        <f>L8</f>
        <v>0.2</v>
      </c>
      <c r="I6" s="92" t="s">
        <v>27</v>
      </c>
      <c r="J6" s="92" t="s">
        <v>27</v>
      </c>
      <c r="K6" s="92">
        <v>400</v>
      </c>
      <c r="L6" s="95">
        <f>K6/M9</f>
        <v>0.4</v>
      </c>
    </row>
    <row r="7" spans="1:13">
      <c r="A7" s="138">
        <v>1</v>
      </c>
      <c r="B7" s="139">
        <f t="array" ref="B7:D7">MMULT(B6:D6,$E$6:$G$8)</f>
        <v>0.4081632653061224</v>
      </c>
      <c r="C7" s="139">
        <v>0.36734693877551022</v>
      </c>
      <c r="D7" s="139">
        <v>0.22448979591836737</v>
      </c>
      <c r="E7" s="94">
        <f>L10</f>
        <v>0.625</v>
      </c>
      <c r="F7" s="94">
        <f>L9</f>
        <v>0.25</v>
      </c>
      <c r="G7" s="101">
        <f>L11</f>
        <v>0.125</v>
      </c>
      <c r="I7" s="92" t="s">
        <v>27</v>
      </c>
      <c r="J7" s="92" t="s">
        <v>28</v>
      </c>
      <c r="K7" s="92">
        <v>400</v>
      </c>
      <c r="L7" s="92">
        <f>K7/M9</f>
        <v>0.4</v>
      </c>
    </row>
    <row r="8" spans="1:13" ht="15.6" thickBot="1">
      <c r="A8" s="138">
        <v>2</v>
      </c>
      <c r="B8" s="139">
        <f t="array" ref="B8:D8">MMULT(B7:D7,$E$6:$G$8)</f>
        <v>0.42739403453689168</v>
      </c>
      <c r="C8" s="139">
        <v>0.35871271585557302</v>
      </c>
      <c r="D8" s="139">
        <v>0.21389324960753534</v>
      </c>
      <c r="E8" s="102">
        <f>L13</f>
        <v>0.15384615384615385</v>
      </c>
      <c r="F8" s="102">
        <f>L14</f>
        <v>0.46153846153846156</v>
      </c>
      <c r="G8" s="103">
        <f>L12</f>
        <v>0.38461538461538464</v>
      </c>
      <c r="I8" s="92" t="s">
        <v>27</v>
      </c>
      <c r="J8" s="92" t="s">
        <v>29</v>
      </c>
      <c r="K8" s="92">
        <v>200</v>
      </c>
      <c r="L8" s="92">
        <f>K8/M9</f>
        <v>0.2</v>
      </c>
    </row>
    <row r="9" spans="1:13">
      <c r="A9" s="138">
        <v>3</v>
      </c>
      <c r="B9" s="139">
        <f t="array" ref="B9:D9">MMULT(B8:D8,$E$6:$G$8)</f>
        <v>0.42805971501026446</v>
      </c>
      <c r="C9" s="139">
        <v>0.35935575413597398</v>
      </c>
      <c r="D9" s="139">
        <v>0.21258453085376167</v>
      </c>
      <c r="I9" s="92" t="s">
        <v>28</v>
      </c>
      <c r="J9" s="92" t="s">
        <v>28</v>
      </c>
      <c r="K9" s="92">
        <v>200</v>
      </c>
      <c r="L9" s="95">
        <f>K9/M12</f>
        <v>0.25</v>
      </c>
      <c r="M9" s="97">
        <f>SUM(K6+K7+K8)</f>
        <v>1000</v>
      </c>
    </row>
    <row r="10" spans="1:13">
      <c r="A10" s="138">
        <v>4</v>
      </c>
      <c r="B10" s="139">
        <f t="array" ref="B10:D10">MMULT(B9:D9,$E$6:$G$8)</f>
        <v>0.42852654477812974</v>
      </c>
      <c r="C10" s="139">
        <v>0.35917876185522002</v>
      </c>
      <c r="D10" s="139">
        <v>0.21229469336665027</v>
      </c>
      <c r="I10" s="92" t="s">
        <v>28</v>
      </c>
      <c r="J10" s="92" t="s">
        <v>27</v>
      </c>
      <c r="K10" s="92">
        <v>500</v>
      </c>
      <c r="L10" s="92">
        <f>K10/M12</f>
        <v>0.625</v>
      </c>
    </row>
    <row r="11" spans="1:13">
      <c r="A11" s="138">
        <v>5</v>
      </c>
      <c r="B11" s="139">
        <f t="array" ref="B11:D11">MMULT(B10:D10,$E$6:$G$8)</f>
        <v>0.42855806612717212</v>
      </c>
      <c r="C11" s="139">
        <v>0.35918747454428013</v>
      </c>
      <c r="D11" s="139">
        <v>0.21225445932854781</v>
      </c>
      <c r="I11" s="92" t="s">
        <v>28</v>
      </c>
      <c r="J11" s="92" t="s">
        <v>29</v>
      </c>
      <c r="K11" s="92">
        <v>100</v>
      </c>
      <c r="L11" s="92">
        <f>K11/M12</f>
        <v>0.125</v>
      </c>
    </row>
    <row r="12" spans="1:13">
      <c r="A12" s="138">
        <v>6</v>
      </c>
      <c r="B12" s="139">
        <f t="array" ref="B12:D12">MMULT(B11:D11,$E$6:$G$8)</f>
        <v>0.42856993024543588</v>
      </c>
      <c r="C12" s="139">
        <v>0.35918369170011477</v>
      </c>
      <c r="D12" s="139">
        <v>0.21224637805444937</v>
      </c>
      <c r="I12" s="92" t="s">
        <v>29</v>
      </c>
      <c r="J12" s="92" t="s">
        <v>29</v>
      </c>
      <c r="K12" s="92">
        <v>250</v>
      </c>
      <c r="L12" s="95">
        <f>K12/M15</f>
        <v>0.38461538461538464</v>
      </c>
      <c r="M12" s="97">
        <f>SUM(K9+K10+K11)</f>
        <v>800</v>
      </c>
    </row>
    <row r="13" spans="1:13">
      <c r="A13" s="138">
        <v>7</v>
      </c>
      <c r="B13" s="139">
        <f t="array" ref="B13:D13">MMULT(B12:D12,$E$6:$G$8)</f>
        <v>0.42857106834219988</v>
      </c>
      <c r="C13" s="139">
        <v>0.35918376181756434</v>
      </c>
      <c r="D13" s="139">
        <v>0.21224516984023592</v>
      </c>
      <c r="I13" s="92" t="s">
        <v>29</v>
      </c>
      <c r="J13" s="92" t="s">
        <v>27</v>
      </c>
      <c r="K13" s="92">
        <v>100</v>
      </c>
      <c r="L13" s="92">
        <f>K13/M15</f>
        <v>0.15384615384615385</v>
      </c>
    </row>
    <row r="14" spans="1:13">
      <c r="A14" s="138">
        <v>8</v>
      </c>
      <c r="B14" s="139">
        <f t="array" ref="B14:D14">MMULT(B13:D13,$E$6:$G$8)</f>
        <v>0.42857138152520163</v>
      </c>
      <c r="C14" s="139">
        <v>0.359183676948303</v>
      </c>
      <c r="D14" s="139">
        <v>0.21224494152649551</v>
      </c>
      <c r="I14" s="92" t="s">
        <v>29</v>
      </c>
      <c r="J14" s="92" t="s">
        <v>28</v>
      </c>
      <c r="K14" s="92">
        <v>300</v>
      </c>
      <c r="L14" s="92">
        <f>K14/M15</f>
        <v>0.46153846153846156</v>
      </c>
    </row>
    <row r="15" spans="1:13">
      <c r="A15" s="138">
        <v>9</v>
      </c>
      <c r="B15" s="139">
        <f t="array" ref="B15:D15">MMULT(B14:D14,$E$6:$G$8)</f>
        <v>0.42857141862992321</v>
      </c>
      <c r="C15" s="139">
        <v>0.35918367562861586</v>
      </c>
      <c r="D15" s="139">
        <v>0.2122449057414611</v>
      </c>
      <c r="K15" s="97">
        <f>SUM(K6:K14)</f>
        <v>2450</v>
      </c>
      <c r="M15" s="97">
        <f>SUM(K12+K13+K14)</f>
        <v>650</v>
      </c>
    </row>
    <row r="16" spans="1:13">
      <c r="A16" s="138">
        <v>10</v>
      </c>
      <c r="B16" s="139">
        <f t="array" ref="B16:D16">MMULT(B15:D15,$E$6:$G$8)</f>
        <v>0.42857142714161744</v>
      </c>
      <c r="C16" s="139">
        <v>0.359183673624413</v>
      </c>
      <c r="D16" s="139">
        <v>0.21224489923396975</v>
      </c>
    </row>
    <row r="17" spans="1:11">
      <c r="A17" s="138">
        <v>11</v>
      </c>
      <c r="B17" s="139">
        <f t="array" ref="B17:D17">MMULT(B16:D16,$E$6:$G$8)</f>
        <v>0.42857142829251582</v>
      </c>
      <c r="C17" s="139">
        <v>0.35918367352458241</v>
      </c>
      <c r="D17" s="139">
        <v>0.21224489818290193</v>
      </c>
    </row>
    <row r="18" spans="1:11" ht="16.8">
      <c r="A18" s="138">
        <v>12</v>
      </c>
      <c r="B18" s="139">
        <f t="array" ref="B18:D18">MMULT(B17:D17,$E$6:$G$8)</f>
        <v>0.42857142852877833</v>
      </c>
      <c r="C18" s="139">
        <v>0.3591836734748759</v>
      </c>
      <c r="D18" s="139">
        <v>0.21224489799634594</v>
      </c>
      <c r="E18" s="141" t="s">
        <v>148</v>
      </c>
      <c r="F18" s="141" t="s">
        <v>309</v>
      </c>
      <c r="G18" s="141"/>
      <c r="H18" s="141"/>
      <c r="I18" s="92" t="s">
        <v>27</v>
      </c>
      <c r="J18" s="148">
        <f>B8</f>
        <v>0.42739403453689168</v>
      </c>
      <c r="K18" s="149">
        <v>0.43</v>
      </c>
    </row>
    <row r="19" spans="1:11" ht="16.8">
      <c r="A19" s="138">
        <v>13</v>
      </c>
      <c r="B19" s="139">
        <f t="array" ref="B19:D19">MMULT(B18:D18,$E$6:$G$8)</f>
        <v>0.42857142856351582</v>
      </c>
      <c r="C19" s="139">
        <v>0.35918367347085156</v>
      </c>
      <c r="D19" s="139">
        <v>0.21224489796563284</v>
      </c>
      <c r="I19" s="92" t="s">
        <v>28</v>
      </c>
      <c r="J19" s="148">
        <f>C8</f>
        <v>0.35871271585557302</v>
      </c>
      <c r="K19" s="149">
        <v>0.36</v>
      </c>
    </row>
    <row r="20" spans="1:11" ht="16.8">
      <c r="A20" s="138">
        <v>14</v>
      </c>
      <c r="B20" s="139">
        <f t="array" ref="B20:D20">MMULT(B19:D19,$E$6:$G$8)</f>
        <v>0.4285714285701705</v>
      </c>
      <c r="C20" s="139">
        <v>0.35918367346956515</v>
      </c>
      <c r="D20" s="139">
        <v>0.21224489796026458</v>
      </c>
      <c r="I20" s="92" t="s">
        <v>29</v>
      </c>
      <c r="J20" s="148">
        <f>D8</f>
        <v>0.21389324960753534</v>
      </c>
      <c r="K20" s="149">
        <v>0.21</v>
      </c>
    </row>
    <row r="21" spans="1:11" ht="16.8">
      <c r="A21" s="138">
        <v>15</v>
      </c>
      <c r="B21" s="139">
        <f t="array" ref="B21:D21">MMULT(B20:D20,$E$6:$G$8)</f>
        <v>0.42857142857120256</v>
      </c>
      <c r="C21" s="139">
        <v>0.35918367346942781</v>
      </c>
      <c r="D21" s="139">
        <v>0.21224489795936999</v>
      </c>
      <c r="K21" s="150"/>
    </row>
    <row r="22" spans="1:11" ht="16.8">
      <c r="A22" s="138">
        <v>16</v>
      </c>
      <c r="B22" s="139">
        <f t="array" ref="B22:D22">MMULT(B21:D21,$E$6:$G$8)</f>
        <v>0.42857142857139185</v>
      </c>
      <c r="C22" s="139">
        <v>0.35918367346939339</v>
      </c>
      <c r="D22" s="139">
        <v>0.21224489795921514</v>
      </c>
      <c r="E22" s="141" t="s">
        <v>147</v>
      </c>
      <c r="F22" s="141" t="s">
        <v>310</v>
      </c>
      <c r="G22" s="141"/>
      <c r="H22" s="141"/>
      <c r="I22" s="92" t="s">
        <v>27</v>
      </c>
      <c r="J22" s="92">
        <f>B26</f>
        <v>0.42857142857142871</v>
      </c>
      <c r="K22" s="149">
        <v>0.43</v>
      </c>
    </row>
    <row r="23" spans="1:11" ht="16.8">
      <c r="A23" s="138">
        <v>17</v>
      </c>
      <c r="B23" s="139">
        <f t="array" ref="B23:D23">MMULT(B22:D22,$E$6:$G$8)</f>
        <v>0.42857142857142227</v>
      </c>
      <c r="C23" s="139">
        <v>0.35918367346938895</v>
      </c>
      <c r="D23" s="139">
        <v>0.21224489795918913</v>
      </c>
      <c r="I23" s="92" t="s">
        <v>28</v>
      </c>
      <c r="J23" s="92">
        <f>C26</f>
        <v>0.35918367346938795</v>
      </c>
      <c r="K23" s="149">
        <v>0.36</v>
      </c>
    </row>
    <row r="24" spans="1:11" ht="16.8">
      <c r="A24" s="138">
        <v>18</v>
      </c>
      <c r="B24" s="139">
        <f t="array" ref="B24:D24">MMULT(B23:D23,$E$6:$G$8)</f>
        <v>0.42857142857142766</v>
      </c>
      <c r="C24" s="139">
        <v>0.35918367346938807</v>
      </c>
      <c r="D24" s="139">
        <v>0.21224489795918466</v>
      </c>
      <c r="I24" s="92" t="s">
        <v>29</v>
      </c>
      <c r="J24" s="92">
        <f>D26</f>
        <v>0.2122448979591838</v>
      </c>
      <c r="K24" s="149">
        <v>0.21</v>
      </c>
    </row>
    <row r="25" spans="1:11">
      <c r="A25" s="138">
        <v>19</v>
      </c>
      <c r="B25" s="139">
        <f t="array" ref="B25:D25">MMULT(B24:D24,$E$6:$G$8)</f>
        <v>0.4285714285714286</v>
      </c>
      <c r="C25" s="139">
        <v>0.3591836734693879</v>
      </c>
      <c r="D25" s="139">
        <v>0.21224489795918389</v>
      </c>
    </row>
    <row r="26" spans="1:11">
      <c r="A26" s="138">
        <v>20</v>
      </c>
      <c r="B26" s="139">
        <f t="array" ref="B26:D26">MMULT(B25:D25,$E$6:$G$8)</f>
        <v>0.42857142857142871</v>
      </c>
      <c r="C26" s="139">
        <v>0.35918367346938795</v>
      </c>
      <c r="D26" s="139">
        <v>0.2122448979591838</v>
      </c>
    </row>
    <row r="27" spans="1:11">
      <c r="A27" s="92"/>
      <c r="B27" s="92"/>
      <c r="C27" s="92"/>
      <c r="D27" s="92"/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2" sqref="E22:E23"/>
    </sheetView>
  </sheetViews>
  <sheetFormatPr defaultColWidth="11.5546875" defaultRowHeight="14.4"/>
  <sheetData>
    <row r="1" spans="1:8">
      <c r="A1" s="164"/>
      <c r="B1" s="164"/>
      <c r="C1" s="164"/>
      <c r="D1" s="164"/>
      <c r="E1" s="164"/>
      <c r="F1" s="164"/>
      <c r="G1" s="164"/>
      <c r="H1" s="164"/>
    </row>
    <row r="2" spans="1:8">
      <c r="A2" s="164"/>
      <c r="B2" s="168"/>
      <c r="C2" s="168" t="s">
        <v>347</v>
      </c>
      <c r="D2" s="168" t="s">
        <v>347</v>
      </c>
      <c r="E2" s="168"/>
      <c r="F2" s="168"/>
      <c r="G2" s="168"/>
      <c r="H2" s="168"/>
    </row>
    <row r="3" spans="1:8">
      <c r="A3" s="164"/>
      <c r="B3" s="164"/>
      <c r="C3" s="164" t="s">
        <v>315</v>
      </c>
      <c r="D3" s="164" t="s">
        <v>316</v>
      </c>
      <c r="E3" s="164"/>
      <c r="F3" s="164" t="s">
        <v>348</v>
      </c>
      <c r="G3" s="164"/>
      <c r="H3" s="164"/>
    </row>
    <row r="4" spans="1:8">
      <c r="A4" s="164"/>
      <c r="B4" s="164" t="s">
        <v>349</v>
      </c>
      <c r="C4" s="164">
        <v>10</v>
      </c>
      <c r="D4" s="164">
        <v>15</v>
      </c>
      <c r="E4" s="164"/>
      <c r="F4" s="164">
        <v>40</v>
      </c>
      <c r="G4" s="164" t="s">
        <v>334</v>
      </c>
      <c r="H4" s="164"/>
    </row>
    <row r="5" spans="1:8">
      <c r="A5" s="164"/>
      <c r="B5" s="164" t="s">
        <v>39</v>
      </c>
      <c r="C5" s="164">
        <v>100</v>
      </c>
      <c r="D5" s="164">
        <v>100</v>
      </c>
      <c r="E5" s="164"/>
      <c r="F5" s="164"/>
      <c r="G5" s="164"/>
      <c r="H5" s="164"/>
    </row>
    <row r="6" spans="1:8">
      <c r="A6" s="164"/>
      <c r="B6" s="164"/>
      <c r="C6" s="164"/>
      <c r="D6" s="164"/>
      <c r="E6" s="164"/>
      <c r="F6" s="164"/>
      <c r="G6" s="164"/>
      <c r="H6" s="164"/>
    </row>
    <row r="7" spans="1:8">
      <c r="A7" s="164"/>
      <c r="B7" s="164"/>
      <c r="C7" s="164"/>
      <c r="D7" s="164"/>
      <c r="E7" s="164"/>
      <c r="F7" s="164"/>
      <c r="G7" s="164"/>
      <c r="H7" s="164"/>
    </row>
    <row r="8" spans="1:8">
      <c r="A8" s="164"/>
      <c r="B8" s="168" t="s">
        <v>166</v>
      </c>
      <c r="C8" s="164"/>
      <c r="D8" s="164"/>
      <c r="E8" s="164"/>
      <c r="F8" s="164"/>
      <c r="G8" s="164"/>
      <c r="H8" s="164"/>
    </row>
    <row r="9" spans="1:8">
      <c r="A9" s="164"/>
      <c r="B9" s="164" t="s">
        <v>350</v>
      </c>
      <c r="C9" s="164" t="s">
        <v>351</v>
      </c>
      <c r="D9" s="164" t="s">
        <v>352</v>
      </c>
      <c r="E9" s="164" t="s">
        <v>324</v>
      </c>
      <c r="F9" s="165" t="s">
        <v>353</v>
      </c>
      <c r="G9" s="164" t="s">
        <v>43</v>
      </c>
      <c r="H9" s="164">
        <v>40</v>
      </c>
    </row>
    <row r="10" spans="1:8">
      <c r="A10" s="164"/>
      <c r="B10" s="164" t="s">
        <v>354</v>
      </c>
      <c r="C10" s="164" t="s">
        <v>355</v>
      </c>
      <c r="D10" s="164" t="s">
        <v>356</v>
      </c>
      <c r="E10" s="164" t="s">
        <v>326</v>
      </c>
      <c r="F10" s="165" t="s">
        <v>357</v>
      </c>
      <c r="G10" s="164" t="s">
        <v>43</v>
      </c>
      <c r="H10" s="164">
        <v>1000</v>
      </c>
    </row>
    <row r="11" spans="1:8">
      <c r="A11" s="164"/>
      <c r="B11" s="164" t="s">
        <v>358</v>
      </c>
      <c r="C11" s="164">
        <v>0</v>
      </c>
      <c r="D11" s="164" t="s">
        <v>352</v>
      </c>
      <c r="E11" s="165" t="s">
        <v>359</v>
      </c>
      <c r="F11" s="165" t="s">
        <v>360</v>
      </c>
      <c r="G11" s="164" t="s">
        <v>43</v>
      </c>
      <c r="H11" s="164">
        <v>7</v>
      </c>
    </row>
    <row r="12" spans="1:8">
      <c r="A12" s="164"/>
      <c r="B12" s="164"/>
      <c r="C12" s="164"/>
      <c r="D12" s="164"/>
      <c r="E12" s="164"/>
      <c r="F12" s="164"/>
      <c r="G12" s="164"/>
      <c r="H12" s="164"/>
    </row>
    <row r="13" spans="1:8">
      <c r="A13" s="168"/>
      <c r="B13" s="168" t="s">
        <v>161</v>
      </c>
      <c r="C13" s="168"/>
      <c r="D13" s="164"/>
      <c r="E13" s="164"/>
      <c r="F13" s="164"/>
      <c r="G13" s="164"/>
      <c r="H13" s="164"/>
    </row>
    <row r="14" spans="1:8">
      <c r="A14" s="164"/>
      <c r="B14" s="164" t="s">
        <v>361</v>
      </c>
      <c r="C14" s="164" t="s">
        <v>362</v>
      </c>
      <c r="D14" s="164" t="s">
        <v>363</v>
      </c>
      <c r="E14" s="164" t="s">
        <v>364</v>
      </c>
      <c r="F14" s="164"/>
      <c r="G14" s="164"/>
      <c r="H14" s="164"/>
    </row>
    <row r="15" spans="1:8">
      <c r="A15" s="164"/>
      <c r="B15" s="164"/>
      <c r="C15" s="164"/>
      <c r="D15" s="164"/>
      <c r="E15" s="164"/>
      <c r="F15" s="164"/>
      <c r="G15" s="164"/>
      <c r="H15" s="164"/>
    </row>
    <row r="16" spans="1:8">
      <c r="A16" s="164"/>
      <c r="B16" s="164"/>
      <c r="C16" s="164"/>
      <c r="D16" s="164"/>
      <c r="E16" s="164"/>
      <c r="F16" s="164"/>
      <c r="G16" s="164"/>
      <c r="H16" s="16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H23" sqref="H23"/>
    </sheetView>
  </sheetViews>
  <sheetFormatPr defaultColWidth="11.5546875" defaultRowHeight="14.4"/>
  <cols>
    <col min="1" max="1" width="27.77734375" customWidth="1"/>
    <col min="9" max="9" width="12" customWidth="1"/>
    <col min="13" max="13" width="16.33203125" customWidth="1"/>
  </cols>
  <sheetData>
    <row r="1" spans="1:13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</row>
    <row r="2" spans="1:13">
      <c r="A2" s="173" t="s">
        <v>313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53"/>
      <c r="M2" s="153"/>
    </row>
    <row r="3" spans="1:13">
      <c r="A3" s="154" t="s">
        <v>314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4" spans="1:13">
      <c r="A4" s="153"/>
      <c r="B4" s="166" t="s">
        <v>315</v>
      </c>
      <c r="C4" s="166" t="s">
        <v>316</v>
      </c>
      <c r="D4" s="166" t="s">
        <v>317</v>
      </c>
      <c r="E4" s="166" t="s">
        <v>318</v>
      </c>
      <c r="F4" s="166" t="s">
        <v>319</v>
      </c>
      <c r="G4" s="166" t="s">
        <v>320</v>
      </c>
      <c r="H4" s="166" t="s">
        <v>321</v>
      </c>
      <c r="I4" s="166" t="s">
        <v>322</v>
      </c>
      <c r="J4" s="153"/>
      <c r="K4" s="153"/>
      <c r="L4" s="153"/>
      <c r="M4" s="153"/>
    </row>
    <row r="5" spans="1:13">
      <c r="A5" s="154" t="s">
        <v>323</v>
      </c>
      <c r="B5" s="155" t="s">
        <v>299</v>
      </c>
      <c r="C5" s="155" t="s">
        <v>301</v>
      </c>
      <c r="D5" s="155" t="s">
        <v>324</v>
      </c>
      <c r="E5" s="155" t="s">
        <v>325</v>
      </c>
      <c r="F5" s="155" t="s">
        <v>326</v>
      </c>
      <c r="G5" s="155" t="s">
        <v>327</v>
      </c>
      <c r="H5" s="155" t="s">
        <v>328</v>
      </c>
      <c r="I5" s="155" t="s">
        <v>329</v>
      </c>
      <c r="J5" s="153"/>
      <c r="K5" s="153"/>
      <c r="L5" s="153"/>
      <c r="M5" s="153"/>
    </row>
    <row r="6" spans="1:13">
      <c r="A6" s="153"/>
      <c r="B6" s="156">
        <v>10</v>
      </c>
      <c r="C6" s="156">
        <v>0</v>
      </c>
      <c r="D6" s="156">
        <v>0</v>
      </c>
      <c r="E6" s="156">
        <v>59.999999999999986</v>
      </c>
      <c r="F6" s="156">
        <v>0</v>
      </c>
      <c r="G6" s="156">
        <v>0</v>
      </c>
      <c r="H6" s="156">
        <v>7</v>
      </c>
      <c r="I6" s="156">
        <v>0</v>
      </c>
      <c r="J6" s="153"/>
      <c r="K6" s="153"/>
      <c r="L6" s="153"/>
      <c r="M6" s="153"/>
    </row>
    <row r="7" spans="1:13">
      <c r="A7" s="153"/>
      <c r="B7" s="153"/>
      <c r="C7" s="153"/>
      <c r="D7" s="153"/>
      <c r="E7" s="153"/>
      <c r="F7" s="153"/>
      <c r="G7" s="153"/>
      <c r="H7" s="153"/>
      <c r="I7" s="153"/>
      <c r="J7" s="154" t="s">
        <v>330</v>
      </c>
      <c r="K7" s="153"/>
      <c r="L7" s="153"/>
      <c r="M7" s="153"/>
    </row>
    <row r="8" spans="1:13">
      <c r="A8" s="154" t="s">
        <v>331</v>
      </c>
      <c r="B8" s="155"/>
      <c r="C8" s="155"/>
      <c r="D8" s="157">
        <v>1</v>
      </c>
      <c r="E8" s="155"/>
      <c r="F8" s="155"/>
      <c r="G8" s="155"/>
      <c r="H8" s="155"/>
      <c r="I8" s="155"/>
      <c r="J8" s="158">
        <f>D8*D6</f>
        <v>0</v>
      </c>
      <c r="K8" s="153"/>
      <c r="L8" s="153"/>
      <c r="M8" s="153"/>
    </row>
    <row r="9" spans="1:13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</row>
    <row r="10" spans="1:13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</row>
    <row r="11" spans="1:13">
      <c r="A11" s="159" t="s">
        <v>332</v>
      </c>
      <c r="B11" s="155"/>
      <c r="C11" s="155"/>
      <c r="D11" s="155"/>
      <c r="E11" s="155"/>
      <c r="F11" s="155"/>
      <c r="G11" s="155"/>
      <c r="H11" s="155"/>
      <c r="I11" s="155"/>
      <c r="J11" s="159" t="s">
        <v>285</v>
      </c>
      <c r="K11" s="159" t="s">
        <v>286</v>
      </c>
      <c r="L11" s="159" t="s">
        <v>40</v>
      </c>
      <c r="M11" s="159" t="s">
        <v>287</v>
      </c>
    </row>
    <row r="12" spans="1:13">
      <c r="A12" s="155" t="s">
        <v>333</v>
      </c>
      <c r="B12" s="155">
        <v>10</v>
      </c>
      <c r="C12" s="155">
        <v>15</v>
      </c>
      <c r="D12" s="155">
        <v>1</v>
      </c>
      <c r="E12" s="155">
        <v>-1</v>
      </c>
      <c r="F12" s="155"/>
      <c r="G12" s="155"/>
      <c r="H12" s="155"/>
      <c r="I12" s="155"/>
      <c r="J12" s="160">
        <f>SUMPRODUCT($C$6:$J$6,B12:I12)</f>
        <v>59.999999999999986</v>
      </c>
      <c r="K12" s="155" t="s">
        <v>43</v>
      </c>
      <c r="L12" s="155">
        <v>40</v>
      </c>
      <c r="M12" s="155" t="s">
        <v>334</v>
      </c>
    </row>
    <row r="13" spans="1:13">
      <c r="A13" s="155" t="s">
        <v>39</v>
      </c>
      <c r="B13" s="155">
        <v>100</v>
      </c>
      <c r="C13" s="155">
        <v>100</v>
      </c>
      <c r="D13" s="155"/>
      <c r="E13" s="155"/>
      <c r="F13" s="155">
        <v>1</v>
      </c>
      <c r="G13" s="155">
        <v>-1</v>
      </c>
      <c r="H13" s="155"/>
      <c r="I13" s="155"/>
      <c r="J13" s="160">
        <f>SUMPRODUCT($C$6:$J$6,B13:I13)</f>
        <v>-7</v>
      </c>
      <c r="K13" s="155" t="s">
        <v>43</v>
      </c>
      <c r="L13" s="155">
        <v>1000</v>
      </c>
      <c r="M13" s="155" t="s">
        <v>335</v>
      </c>
    </row>
    <row r="14" spans="1:13">
      <c r="A14" s="155" t="s">
        <v>336</v>
      </c>
      <c r="B14" s="155"/>
      <c r="C14" s="155">
        <v>1</v>
      </c>
      <c r="D14" s="155"/>
      <c r="E14" s="155"/>
      <c r="F14" s="155"/>
      <c r="G14" s="155"/>
      <c r="H14" s="155">
        <v>1</v>
      </c>
      <c r="I14" s="155">
        <v>-1</v>
      </c>
      <c r="J14" s="160">
        <f>SUMPRODUCT($C$6:$J$6,B14:I14)</f>
        <v>0</v>
      </c>
      <c r="K14" s="155" t="s">
        <v>288</v>
      </c>
      <c r="L14" s="155">
        <v>7</v>
      </c>
      <c r="M14" s="155" t="s">
        <v>337</v>
      </c>
    </row>
  </sheetData>
  <mergeCells count="1">
    <mergeCell ref="A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20" sqref="E20"/>
    </sheetView>
  </sheetViews>
  <sheetFormatPr defaultColWidth="11.5546875" defaultRowHeight="14.4"/>
  <cols>
    <col min="1" max="1" width="10.77734375" customWidth="1"/>
    <col min="2" max="2" width="18.6640625" customWidth="1"/>
    <col min="9" max="9" width="11.77734375" customWidth="1"/>
    <col min="10" max="10" width="12.33203125" customWidth="1"/>
    <col min="14" max="14" width="14.6640625" customWidth="1"/>
  </cols>
  <sheetData>
    <row r="1" spans="1:14">
      <c r="A1" s="153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53"/>
      <c r="N1" s="153"/>
    </row>
    <row r="2" spans="1:14">
      <c r="A2" s="153"/>
      <c r="B2" s="173" t="s">
        <v>338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53"/>
      <c r="N2" s="153"/>
    </row>
    <row r="3" spans="1:14">
      <c r="A3" s="153"/>
      <c r="B3" s="154" t="s">
        <v>314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4" spans="1:14">
      <c r="A4" s="153"/>
      <c r="B4" s="153"/>
      <c r="C4" s="166" t="s">
        <v>315</v>
      </c>
      <c r="D4" s="166" t="s">
        <v>316</v>
      </c>
      <c r="E4" s="166" t="s">
        <v>317</v>
      </c>
      <c r="F4" s="166" t="s">
        <v>318</v>
      </c>
      <c r="G4" s="166" t="s">
        <v>319</v>
      </c>
      <c r="H4" s="166" t="s">
        <v>320</v>
      </c>
      <c r="I4" s="166" t="s">
        <v>321</v>
      </c>
      <c r="J4" s="166" t="s">
        <v>322</v>
      </c>
      <c r="K4" s="153"/>
      <c r="L4" s="153"/>
      <c r="M4" s="153"/>
      <c r="N4" s="153"/>
    </row>
    <row r="5" spans="1:14">
      <c r="A5" s="153"/>
      <c r="B5" s="154" t="s">
        <v>323</v>
      </c>
      <c r="C5" s="155" t="s">
        <v>299</v>
      </c>
      <c r="D5" s="155" t="s">
        <v>301</v>
      </c>
      <c r="E5" s="155" t="s">
        <v>324</v>
      </c>
      <c r="F5" s="155" t="s">
        <v>325</v>
      </c>
      <c r="G5" s="155" t="s">
        <v>326</v>
      </c>
      <c r="H5" s="155" t="s">
        <v>327</v>
      </c>
      <c r="I5" s="155" t="s">
        <v>328</v>
      </c>
      <c r="J5" s="155" t="s">
        <v>329</v>
      </c>
      <c r="K5" s="153"/>
      <c r="L5" s="153"/>
      <c r="M5" s="153"/>
      <c r="N5" s="153"/>
    </row>
    <row r="6" spans="1:14">
      <c r="A6" s="153"/>
      <c r="B6" s="153"/>
      <c r="C6" s="156">
        <v>10</v>
      </c>
      <c r="D6" s="156">
        <v>0</v>
      </c>
      <c r="E6" s="156">
        <v>0</v>
      </c>
      <c r="F6" s="156">
        <v>59.999999999999986</v>
      </c>
      <c r="G6" s="156">
        <v>0</v>
      </c>
      <c r="H6" s="156">
        <v>0</v>
      </c>
      <c r="I6" s="156">
        <v>7</v>
      </c>
      <c r="J6" s="156">
        <v>0</v>
      </c>
      <c r="K6" s="153"/>
      <c r="L6" s="153"/>
      <c r="M6" s="153"/>
      <c r="N6" s="153"/>
    </row>
    <row r="7" spans="1:14">
      <c r="A7" s="153"/>
      <c r="B7" s="153"/>
      <c r="C7" s="153"/>
      <c r="D7" s="153"/>
      <c r="E7" s="153"/>
      <c r="F7" s="153"/>
      <c r="G7" s="153"/>
      <c r="H7" s="153"/>
      <c r="I7" s="153"/>
      <c r="J7" s="153"/>
      <c r="K7" s="154" t="s">
        <v>330</v>
      </c>
      <c r="L7" s="153"/>
      <c r="M7" s="153"/>
      <c r="N7" s="153"/>
    </row>
    <row r="8" spans="1:14">
      <c r="A8" s="153"/>
      <c r="B8" s="154" t="s">
        <v>331</v>
      </c>
      <c r="C8" s="155"/>
      <c r="D8" s="155"/>
      <c r="E8" s="162">
        <v>0</v>
      </c>
      <c r="F8" s="155"/>
      <c r="G8" s="155"/>
      <c r="H8" s="157">
        <v>1</v>
      </c>
      <c r="I8" s="155"/>
      <c r="J8" s="155"/>
      <c r="K8" s="158">
        <f>H8*H6</f>
        <v>0</v>
      </c>
      <c r="L8" s="153"/>
      <c r="M8" s="153"/>
      <c r="N8" s="153"/>
    </row>
    <row r="9" spans="1:14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</row>
    <row r="10" spans="1:14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</row>
    <row r="11" spans="1:14">
      <c r="A11" s="153"/>
      <c r="B11" s="167" t="s">
        <v>332</v>
      </c>
      <c r="C11" s="166"/>
      <c r="D11" s="166"/>
      <c r="E11" s="166"/>
      <c r="F11" s="166"/>
      <c r="G11" s="166"/>
      <c r="H11" s="166"/>
      <c r="I11" s="166"/>
      <c r="J11" s="166"/>
      <c r="K11" s="167" t="s">
        <v>285</v>
      </c>
      <c r="L11" s="167" t="s">
        <v>286</v>
      </c>
      <c r="M11" s="167" t="s">
        <v>40</v>
      </c>
      <c r="N11" s="167" t="s">
        <v>287</v>
      </c>
    </row>
    <row r="12" spans="1:14">
      <c r="A12" s="153"/>
      <c r="B12" s="155" t="s">
        <v>333</v>
      </c>
      <c r="C12" s="155">
        <v>10</v>
      </c>
      <c r="D12" s="155">
        <v>15</v>
      </c>
      <c r="E12" s="155">
        <v>1</v>
      </c>
      <c r="F12" s="155">
        <v>-1</v>
      </c>
      <c r="G12" s="155"/>
      <c r="H12" s="155"/>
      <c r="I12" s="155"/>
      <c r="J12" s="155"/>
      <c r="K12" s="160">
        <f>SUMPRODUCT($C$6:$J$6,C12:J12)</f>
        <v>40.000000000000014</v>
      </c>
      <c r="L12" s="155" t="s">
        <v>43</v>
      </c>
      <c r="M12" s="155">
        <v>40</v>
      </c>
      <c r="N12" s="155" t="s">
        <v>334</v>
      </c>
    </row>
    <row r="13" spans="1:14">
      <c r="A13" s="153"/>
      <c r="B13" s="155" t="s">
        <v>39</v>
      </c>
      <c r="C13" s="155">
        <v>100</v>
      </c>
      <c r="D13" s="155">
        <v>100</v>
      </c>
      <c r="E13" s="155"/>
      <c r="F13" s="155"/>
      <c r="G13" s="155">
        <v>1</v>
      </c>
      <c r="H13" s="155">
        <v>-1</v>
      </c>
      <c r="I13" s="155"/>
      <c r="J13" s="155"/>
      <c r="K13" s="160">
        <f>SUMPRODUCT($C$6:$J$6,C13:J13)</f>
        <v>1000</v>
      </c>
      <c r="L13" s="155" t="s">
        <v>43</v>
      </c>
      <c r="M13" s="155">
        <v>1000</v>
      </c>
      <c r="N13" s="155" t="s">
        <v>335</v>
      </c>
    </row>
    <row r="14" spans="1:14">
      <c r="A14" s="153"/>
      <c r="B14" s="155" t="s">
        <v>336</v>
      </c>
      <c r="C14" s="155"/>
      <c r="D14" s="155">
        <v>1</v>
      </c>
      <c r="E14" s="155"/>
      <c r="F14" s="155"/>
      <c r="G14" s="155"/>
      <c r="H14" s="155"/>
      <c r="I14" s="155">
        <v>1</v>
      </c>
      <c r="J14" s="155">
        <v>-1</v>
      </c>
      <c r="K14" s="160">
        <f>SUMPRODUCT($C$6:$J$6,C14:J14)</f>
        <v>7</v>
      </c>
      <c r="L14" s="155" t="s">
        <v>288</v>
      </c>
      <c r="M14" s="155">
        <v>7</v>
      </c>
      <c r="N14" s="155" t="s">
        <v>337</v>
      </c>
    </row>
  </sheetData>
  <mergeCells count="1">
    <mergeCell ref="B2:L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20" sqref="C20"/>
    </sheetView>
  </sheetViews>
  <sheetFormatPr defaultColWidth="11.5546875" defaultRowHeight="14.4"/>
  <cols>
    <col min="2" max="2" width="24.109375" customWidth="1"/>
  </cols>
  <sheetData>
    <row r="1" spans="1:14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>
      <c r="A2" s="153"/>
      <c r="B2" s="173" t="s">
        <v>339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53"/>
      <c r="N2" s="153"/>
    </row>
    <row r="3" spans="1:14">
      <c r="A3" s="153"/>
      <c r="B3" s="154" t="s">
        <v>314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4" spans="1:14">
      <c r="A4" s="153"/>
      <c r="B4" s="153"/>
      <c r="C4" s="166" t="s">
        <v>315</v>
      </c>
      <c r="D4" s="166" t="s">
        <v>316</v>
      </c>
      <c r="E4" s="166" t="s">
        <v>317</v>
      </c>
      <c r="F4" s="166" t="s">
        <v>318</v>
      </c>
      <c r="G4" s="166" t="s">
        <v>319</v>
      </c>
      <c r="H4" s="166" t="s">
        <v>320</v>
      </c>
      <c r="I4" s="166" t="s">
        <v>321</v>
      </c>
      <c r="J4" s="166" t="s">
        <v>322</v>
      </c>
      <c r="K4" s="153"/>
      <c r="L4" s="153"/>
      <c r="M4" s="153"/>
      <c r="N4" s="153"/>
    </row>
    <row r="5" spans="1:14">
      <c r="A5" s="153"/>
      <c r="B5" s="154" t="s">
        <v>323</v>
      </c>
      <c r="C5" s="155" t="s">
        <v>299</v>
      </c>
      <c r="D5" s="155" t="s">
        <v>301</v>
      </c>
      <c r="E5" s="155" t="s">
        <v>324</v>
      </c>
      <c r="F5" s="155" t="s">
        <v>325</v>
      </c>
      <c r="G5" s="155" t="s">
        <v>326</v>
      </c>
      <c r="H5" s="155" t="s">
        <v>327</v>
      </c>
      <c r="I5" s="155" t="s">
        <v>328</v>
      </c>
      <c r="J5" s="155" t="s">
        <v>329</v>
      </c>
      <c r="K5" s="153"/>
      <c r="L5" s="153"/>
      <c r="M5" s="153"/>
      <c r="N5" s="153"/>
    </row>
    <row r="6" spans="1:14">
      <c r="A6" s="153"/>
      <c r="B6" s="153"/>
      <c r="C6" s="156">
        <v>10</v>
      </c>
      <c r="D6" s="156">
        <v>0</v>
      </c>
      <c r="E6" s="156">
        <v>0</v>
      </c>
      <c r="F6" s="156">
        <v>59.999999999999986</v>
      </c>
      <c r="G6" s="156">
        <v>0</v>
      </c>
      <c r="H6" s="156">
        <v>0</v>
      </c>
      <c r="I6" s="156">
        <v>7</v>
      </c>
      <c r="J6" s="156">
        <v>0</v>
      </c>
      <c r="K6" s="153"/>
      <c r="L6" s="153"/>
      <c r="M6" s="153"/>
      <c r="N6" s="153"/>
    </row>
    <row r="7" spans="1:14">
      <c r="A7" s="153"/>
      <c r="B7" s="153"/>
      <c r="C7" s="153"/>
      <c r="D7" s="153"/>
      <c r="E7" s="153"/>
      <c r="F7" s="153"/>
      <c r="G7" s="153"/>
      <c r="H7" s="153"/>
      <c r="I7" s="153"/>
      <c r="J7" s="153"/>
      <c r="K7" s="154" t="s">
        <v>330</v>
      </c>
      <c r="L7" s="153"/>
      <c r="M7" s="153"/>
      <c r="N7" s="153"/>
    </row>
    <row r="8" spans="1:14">
      <c r="A8" s="153"/>
      <c r="B8" s="154" t="s">
        <v>331</v>
      </c>
      <c r="C8" s="155"/>
      <c r="D8" s="155"/>
      <c r="E8" s="162">
        <v>0</v>
      </c>
      <c r="F8" s="155"/>
      <c r="G8" s="155"/>
      <c r="H8" s="162">
        <v>0</v>
      </c>
      <c r="I8" s="155"/>
      <c r="J8" s="157">
        <v>1</v>
      </c>
      <c r="K8" s="158">
        <f>J8*J6</f>
        <v>0</v>
      </c>
      <c r="L8" s="153"/>
      <c r="M8" s="153"/>
      <c r="N8" s="153"/>
    </row>
    <row r="9" spans="1:14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</row>
    <row r="10" spans="1:14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</row>
    <row r="11" spans="1:14">
      <c r="A11" s="153"/>
      <c r="B11" s="167" t="s">
        <v>332</v>
      </c>
      <c r="C11" s="166"/>
      <c r="D11" s="166"/>
      <c r="E11" s="166"/>
      <c r="F11" s="166"/>
      <c r="G11" s="166"/>
      <c r="H11" s="166"/>
      <c r="I11" s="166"/>
      <c r="J11" s="166"/>
      <c r="K11" s="167" t="s">
        <v>285</v>
      </c>
      <c r="L11" s="167" t="s">
        <v>286</v>
      </c>
      <c r="M11" s="167" t="s">
        <v>40</v>
      </c>
      <c r="N11" s="167" t="s">
        <v>287</v>
      </c>
    </row>
    <row r="12" spans="1:14">
      <c r="A12" s="153"/>
      <c r="B12" s="155" t="s">
        <v>333</v>
      </c>
      <c r="C12" s="155">
        <v>10</v>
      </c>
      <c r="D12" s="155">
        <v>15</v>
      </c>
      <c r="E12" s="155">
        <v>1</v>
      </c>
      <c r="F12" s="155">
        <v>-1</v>
      </c>
      <c r="G12" s="155"/>
      <c r="H12" s="155"/>
      <c r="I12" s="155"/>
      <c r="J12" s="155"/>
      <c r="K12" s="160">
        <f>SUMPRODUCT($C$6:$J$6,C12:J12)</f>
        <v>40.000000000000014</v>
      </c>
      <c r="L12" s="155" t="s">
        <v>43</v>
      </c>
      <c r="M12" s="155">
        <v>40</v>
      </c>
      <c r="N12" s="155" t="s">
        <v>334</v>
      </c>
    </row>
    <row r="13" spans="1:14">
      <c r="A13" s="153"/>
      <c r="B13" s="155" t="s">
        <v>39</v>
      </c>
      <c r="C13" s="155">
        <v>100</v>
      </c>
      <c r="D13" s="155">
        <v>100</v>
      </c>
      <c r="E13" s="155"/>
      <c r="F13" s="155"/>
      <c r="G13" s="155">
        <v>1</v>
      </c>
      <c r="H13" s="155">
        <v>-1</v>
      </c>
      <c r="I13" s="155"/>
      <c r="J13" s="155"/>
      <c r="K13" s="160">
        <f>SUMPRODUCT($C$6:$J$6,C13:J13)</f>
        <v>1000</v>
      </c>
      <c r="L13" s="155" t="s">
        <v>43</v>
      </c>
      <c r="M13" s="155">
        <v>1000</v>
      </c>
      <c r="N13" s="155" t="s">
        <v>335</v>
      </c>
    </row>
    <row r="14" spans="1:14">
      <c r="A14" s="153"/>
      <c r="B14" s="155" t="s">
        <v>336</v>
      </c>
      <c r="C14" s="155"/>
      <c r="D14" s="155">
        <v>1</v>
      </c>
      <c r="E14" s="155"/>
      <c r="F14" s="155"/>
      <c r="G14" s="155"/>
      <c r="H14" s="155"/>
      <c r="I14" s="155">
        <v>1</v>
      </c>
      <c r="J14" s="155">
        <v>-1</v>
      </c>
      <c r="K14" s="160">
        <f>SUMPRODUCT($C$6:$J$6,C14:J14)</f>
        <v>7</v>
      </c>
      <c r="L14" s="155" t="s">
        <v>288</v>
      </c>
      <c r="M14" s="155">
        <v>7</v>
      </c>
      <c r="N14" s="155" t="s">
        <v>337</v>
      </c>
    </row>
  </sheetData>
  <mergeCells count="1">
    <mergeCell ref="B2:L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F29" sqref="F29"/>
    </sheetView>
  </sheetViews>
  <sheetFormatPr defaultColWidth="11.5546875" defaultRowHeight="14.4"/>
  <cols>
    <col min="1" max="1" width="10.6640625" customWidth="1"/>
    <col min="2" max="2" width="41.6640625" customWidth="1"/>
    <col min="14" max="14" width="13.6640625" customWidth="1"/>
  </cols>
  <sheetData>
    <row r="1" spans="1:14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>
      <c r="A2" s="153"/>
      <c r="B2" s="173" t="s">
        <v>340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53"/>
      <c r="N2" s="153"/>
    </row>
    <row r="3" spans="1:14">
      <c r="A3" s="153"/>
      <c r="B3" s="154" t="s">
        <v>314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4" spans="1:14">
      <c r="A4" s="153"/>
      <c r="B4" s="153"/>
      <c r="C4" s="166" t="s">
        <v>315</v>
      </c>
      <c r="D4" s="166" t="s">
        <v>316</v>
      </c>
      <c r="E4" s="166" t="s">
        <v>317</v>
      </c>
      <c r="F4" s="166" t="s">
        <v>318</v>
      </c>
      <c r="G4" s="166" t="s">
        <v>319</v>
      </c>
      <c r="H4" s="166" t="s">
        <v>320</v>
      </c>
      <c r="I4" s="166" t="s">
        <v>321</v>
      </c>
      <c r="J4" s="166" t="s">
        <v>322</v>
      </c>
      <c r="K4" s="153"/>
      <c r="L4" s="153"/>
      <c r="M4" s="153"/>
      <c r="N4" s="153"/>
    </row>
    <row r="5" spans="1:14">
      <c r="A5" s="153"/>
      <c r="B5" s="154" t="s">
        <v>323</v>
      </c>
      <c r="C5" s="155" t="s">
        <v>299</v>
      </c>
      <c r="D5" s="155" t="s">
        <v>301</v>
      </c>
      <c r="E5" s="155" t="s">
        <v>324</v>
      </c>
      <c r="F5" s="155" t="s">
        <v>325</v>
      </c>
      <c r="G5" s="155" t="s">
        <v>326</v>
      </c>
      <c r="H5" s="155" t="s">
        <v>327</v>
      </c>
      <c r="I5" s="155" t="s">
        <v>328</v>
      </c>
      <c r="J5" s="155" t="s">
        <v>329</v>
      </c>
      <c r="K5" s="153"/>
      <c r="L5" s="153"/>
      <c r="M5" s="153"/>
      <c r="N5" s="153"/>
    </row>
    <row r="6" spans="1:14">
      <c r="A6" s="153"/>
      <c r="B6" s="153"/>
      <c r="C6" s="156">
        <v>10</v>
      </c>
      <c r="D6" s="156">
        <v>0</v>
      </c>
      <c r="E6" s="156">
        <v>0</v>
      </c>
      <c r="F6" s="156">
        <v>59.999999999999986</v>
      </c>
      <c r="G6" s="156">
        <v>0</v>
      </c>
      <c r="H6" s="156">
        <v>0</v>
      </c>
      <c r="I6" s="156">
        <v>7</v>
      </c>
      <c r="J6" s="156">
        <v>0</v>
      </c>
      <c r="K6" s="153"/>
      <c r="L6" s="153"/>
      <c r="M6" s="153"/>
      <c r="N6" s="153"/>
    </row>
    <row r="7" spans="1:14">
      <c r="A7" s="153"/>
      <c r="B7" s="153"/>
      <c r="C7" s="153"/>
      <c r="D7" s="153"/>
      <c r="E7" s="153"/>
      <c r="F7" s="153"/>
      <c r="G7" s="153"/>
      <c r="H7" s="153"/>
      <c r="I7" s="153"/>
      <c r="J7" s="153"/>
      <c r="K7" s="154" t="s">
        <v>330</v>
      </c>
      <c r="L7" s="153"/>
      <c r="M7" s="153"/>
      <c r="N7" s="153"/>
    </row>
    <row r="8" spans="1:14">
      <c r="A8" s="153"/>
      <c r="B8" s="154" t="s">
        <v>331</v>
      </c>
      <c r="C8" s="155"/>
      <c r="D8" s="155"/>
      <c r="E8" s="162">
        <v>0</v>
      </c>
      <c r="F8" s="155"/>
      <c r="G8" s="155"/>
      <c r="H8" s="162">
        <v>0</v>
      </c>
      <c r="I8" s="155"/>
      <c r="J8" s="162">
        <v>0</v>
      </c>
      <c r="K8" s="158">
        <f>J8*J6</f>
        <v>0</v>
      </c>
      <c r="L8" s="153"/>
      <c r="M8" s="153"/>
      <c r="N8" s="153"/>
    </row>
    <row r="9" spans="1:14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</row>
    <row r="10" spans="1:14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</row>
    <row r="11" spans="1:14">
      <c r="A11" s="153"/>
      <c r="B11" s="167" t="s">
        <v>332</v>
      </c>
      <c r="C11" s="166"/>
      <c r="D11" s="166"/>
      <c r="E11" s="166"/>
      <c r="F11" s="166"/>
      <c r="G11" s="166"/>
      <c r="H11" s="166"/>
      <c r="I11" s="166"/>
      <c r="J11" s="166"/>
      <c r="K11" s="167" t="s">
        <v>285</v>
      </c>
      <c r="L11" s="167" t="s">
        <v>286</v>
      </c>
      <c r="M11" s="167" t="s">
        <v>40</v>
      </c>
      <c r="N11" s="167" t="s">
        <v>287</v>
      </c>
    </row>
    <row r="12" spans="1:14">
      <c r="A12" s="153"/>
      <c r="B12" s="155" t="s">
        <v>333</v>
      </c>
      <c r="C12" s="155">
        <v>10</v>
      </c>
      <c r="D12" s="155">
        <v>15</v>
      </c>
      <c r="E12" s="155">
        <v>1</v>
      </c>
      <c r="F12" s="155">
        <v>-1</v>
      </c>
      <c r="G12" s="155"/>
      <c r="H12" s="155"/>
      <c r="I12" s="155"/>
      <c r="J12" s="155"/>
      <c r="K12" s="160">
        <f>SUMPRODUCT($C$6:$J$6,C12:J12)</f>
        <v>40.000000000000014</v>
      </c>
      <c r="L12" s="155" t="s">
        <v>43</v>
      </c>
      <c r="M12" s="155">
        <v>40</v>
      </c>
      <c r="N12" s="155" t="s">
        <v>334</v>
      </c>
    </row>
    <row r="13" spans="1:14">
      <c r="A13" s="153"/>
      <c r="B13" s="155" t="s">
        <v>39</v>
      </c>
      <c r="C13" s="155">
        <v>100</v>
      </c>
      <c r="D13" s="155">
        <v>100</v>
      </c>
      <c r="E13" s="155"/>
      <c r="F13" s="155"/>
      <c r="G13" s="155">
        <v>1</v>
      </c>
      <c r="H13" s="155">
        <v>-1</v>
      </c>
      <c r="I13" s="155"/>
      <c r="J13" s="155"/>
      <c r="K13" s="160">
        <f>SUMPRODUCT($C$6:$J$6,C13:J13)</f>
        <v>1000</v>
      </c>
      <c r="L13" s="155" t="s">
        <v>43</v>
      </c>
      <c r="M13" s="155">
        <v>1000</v>
      </c>
      <c r="N13" s="155" t="s">
        <v>335</v>
      </c>
    </row>
    <row r="14" spans="1:14">
      <c r="A14" s="153"/>
      <c r="B14" s="155" t="s">
        <v>336</v>
      </c>
      <c r="C14" s="155"/>
      <c r="D14" s="155">
        <v>1</v>
      </c>
      <c r="E14" s="155"/>
      <c r="F14" s="155"/>
      <c r="G14" s="155"/>
      <c r="H14" s="155"/>
      <c r="I14" s="155">
        <v>1</v>
      </c>
      <c r="J14" s="155">
        <v>-1</v>
      </c>
      <c r="K14" s="160">
        <f>SUMPRODUCT($C$6:$J$6,C14:J14)</f>
        <v>7</v>
      </c>
      <c r="L14" s="155" t="s">
        <v>288</v>
      </c>
      <c r="M14" s="155">
        <v>7</v>
      </c>
      <c r="N14" s="155" t="s">
        <v>337</v>
      </c>
    </row>
    <row r="15" spans="1:14">
      <c r="A15" s="153"/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</row>
    <row r="16" spans="1:14">
      <c r="A16" s="153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</row>
    <row r="17" spans="1:14">
      <c r="A17" s="153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</row>
    <row r="18" spans="1:14">
      <c r="A18" s="153"/>
      <c r="B18" s="174" t="s">
        <v>341</v>
      </c>
      <c r="C18" s="174"/>
      <c r="D18" s="174"/>
      <c r="E18" s="174"/>
      <c r="F18" s="153"/>
      <c r="G18" s="153"/>
      <c r="H18" s="153"/>
      <c r="I18" s="153"/>
      <c r="J18" s="153"/>
      <c r="K18" s="153"/>
      <c r="L18" s="153"/>
      <c r="M18" s="153"/>
      <c r="N18" s="153"/>
    </row>
    <row r="19" spans="1:14">
      <c r="A19" s="153"/>
      <c r="B19" s="163" t="s">
        <v>342</v>
      </c>
      <c r="C19" s="175" t="s">
        <v>343</v>
      </c>
      <c r="D19" s="175"/>
      <c r="E19" s="175"/>
      <c r="F19" s="153"/>
      <c r="G19" s="153"/>
      <c r="H19" s="153"/>
      <c r="I19" s="153"/>
      <c r="J19" s="153"/>
      <c r="K19" s="153"/>
      <c r="L19" s="153"/>
      <c r="M19" s="153"/>
      <c r="N19" s="153"/>
    </row>
    <row r="20" spans="1:14">
      <c r="A20" s="153"/>
      <c r="B20" s="163" t="s">
        <v>344</v>
      </c>
      <c r="C20" s="175" t="s">
        <v>345</v>
      </c>
      <c r="D20" s="175"/>
      <c r="E20" s="175"/>
      <c r="F20" s="153"/>
      <c r="G20" s="153"/>
      <c r="H20" s="153"/>
      <c r="I20" s="153"/>
      <c r="J20" s="153"/>
      <c r="K20" s="153"/>
      <c r="L20" s="153"/>
      <c r="M20" s="153"/>
      <c r="N20" s="153"/>
    </row>
    <row r="21" spans="1:14">
      <c r="A21" s="153"/>
      <c r="B21" s="163" t="s">
        <v>346</v>
      </c>
      <c r="C21" s="175" t="s">
        <v>345</v>
      </c>
      <c r="D21" s="175"/>
      <c r="E21" s="175"/>
      <c r="F21" s="153"/>
      <c r="G21" s="153"/>
      <c r="H21" s="153"/>
      <c r="I21" s="153"/>
      <c r="J21" s="153"/>
      <c r="K21" s="153"/>
      <c r="L21" s="153"/>
      <c r="M21" s="153"/>
      <c r="N21" s="153"/>
    </row>
  </sheetData>
  <mergeCells count="5">
    <mergeCell ref="B2:L2"/>
    <mergeCell ref="B18:E18"/>
    <mergeCell ref="C19:E19"/>
    <mergeCell ref="C20:E20"/>
    <mergeCell ref="C21:E2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R27"/>
  <sheetViews>
    <sheetView topLeftCell="C1" workbookViewId="0">
      <selection activeCell="G27" sqref="G27"/>
    </sheetView>
  </sheetViews>
  <sheetFormatPr defaultColWidth="8.77734375" defaultRowHeight="14.4"/>
  <cols>
    <col min="1" max="2" width="8.77734375" style="62"/>
    <col min="3" max="3" width="9.44140625" style="62" customWidth="1"/>
    <col min="4" max="4" width="12" style="62" bestFit="1" customWidth="1"/>
    <col min="5" max="5" width="19.109375" style="62" bestFit="1" customWidth="1"/>
    <col min="6" max="6" width="8.77734375" style="62"/>
    <col min="7" max="7" width="14" style="62" customWidth="1"/>
    <col min="8" max="8" width="8.77734375" style="62"/>
    <col min="9" max="9" width="13.109375" style="62" customWidth="1"/>
    <col min="10" max="10" width="8.77734375" style="62"/>
    <col min="11" max="11" width="14.33203125" style="62" customWidth="1"/>
    <col min="12" max="15" width="8.77734375" style="62"/>
    <col min="16" max="16" width="14.44140625" style="62" customWidth="1"/>
    <col min="17" max="16384" width="8.77734375" style="62"/>
  </cols>
  <sheetData>
    <row r="2" spans="2:18">
      <c r="B2" s="63"/>
      <c r="C2" s="127"/>
      <c r="D2" s="176" t="s">
        <v>66</v>
      </c>
      <c r="E2" s="176"/>
      <c r="F2" s="176" t="s">
        <v>67</v>
      </c>
      <c r="G2" s="176"/>
      <c r="H2" s="176" t="s">
        <v>68</v>
      </c>
      <c r="I2" s="176"/>
      <c r="J2" s="176" t="s">
        <v>69</v>
      </c>
      <c r="K2" s="176"/>
    </row>
    <row r="3" spans="2:18" ht="42" customHeight="1">
      <c r="B3" s="19" t="s">
        <v>70</v>
      </c>
      <c r="C3" s="142" t="s">
        <v>83</v>
      </c>
      <c r="D3" s="106" t="s">
        <v>71</v>
      </c>
      <c r="E3" s="143" t="s">
        <v>72</v>
      </c>
      <c r="F3" s="106" t="s">
        <v>71</v>
      </c>
      <c r="G3" s="143" t="s">
        <v>73</v>
      </c>
      <c r="H3" s="106" t="s">
        <v>71</v>
      </c>
      <c r="I3" s="143" t="s">
        <v>73</v>
      </c>
      <c r="J3" s="106" t="s">
        <v>71</v>
      </c>
      <c r="K3" s="143" t="s">
        <v>74</v>
      </c>
    </row>
    <row r="4" spans="2:18" ht="26.25" customHeight="1">
      <c r="B4" s="71">
        <v>1</v>
      </c>
      <c r="C4" s="71">
        <v>8</v>
      </c>
      <c r="D4" s="63" t="e">
        <v>#N/A</v>
      </c>
      <c r="E4" s="63"/>
      <c r="F4" s="63" t="e">
        <v>#N/A</v>
      </c>
      <c r="G4" s="63"/>
      <c r="H4" s="63" t="e">
        <v>#N/A</v>
      </c>
      <c r="I4" s="63"/>
      <c r="J4" s="63" t="e">
        <v>#N/A</v>
      </c>
      <c r="K4" s="63"/>
      <c r="N4" s="70"/>
      <c r="O4" s="71" t="s">
        <v>116</v>
      </c>
      <c r="P4" s="61" t="s">
        <v>117</v>
      </c>
      <c r="Q4" s="71" t="s">
        <v>115</v>
      </c>
      <c r="R4" s="89" t="s">
        <v>114</v>
      </c>
    </row>
    <row r="5" spans="2:18">
      <c r="B5" s="71">
        <v>2</v>
      </c>
      <c r="C5" s="71">
        <v>10</v>
      </c>
      <c r="D5" s="63">
        <f>C4</f>
        <v>8</v>
      </c>
      <c r="E5" s="63">
        <f t="shared" ref="E5:E17" si="0">ABS(C5-D5)</f>
        <v>2</v>
      </c>
      <c r="F5" s="63">
        <f>C4</f>
        <v>8</v>
      </c>
      <c r="G5" s="63">
        <f t="shared" ref="G5:G17" si="1">ABS(C5-F5)</f>
        <v>2</v>
      </c>
      <c r="H5" s="63">
        <f>C4</f>
        <v>8</v>
      </c>
      <c r="I5" s="63">
        <f t="shared" ref="I5:I17" si="2">ABS(C5-H5)</f>
        <v>2</v>
      </c>
      <c r="J5" s="63">
        <f>C4</f>
        <v>8</v>
      </c>
      <c r="K5" s="63">
        <f t="shared" ref="K5:K17" si="3">ABS(C5-J5)</f>
        <v>2</v>
      </c>
      <c r="N5" s="70"/>
      <c r="O5" s="71">
        <v>1</v>
      </c>
      <c r="P5" s="71">
        <v>8</v>
      </c>
      <c r="Q5" s="71">
        <f t="shared" ref="Q5:Q18" si="4">O5*P5</f>
        <v>8</v>
      </c>
      <c r="R5" s="71">
        <f t="shared" ref="R5:R18" si="5">O5*O5</f>
        <v>1</v>
      </c>
    </row>
    <row r="6" spans="2:18">
      <c r="B6" s="71">
        <v>3</v>
      </c>
      <c r="C6" s="71">
        <v>10</v>
      </c>
      <c r="D6" s="63">
        <f t="shared" ref="D6:D17" si="6">0.1*C5+0.9*D5</f>
        <v>8.1999999999999993</v>
      </c>
      <c r="E6" s="63">
        <f t="shared" si="0"/>
        <v>1.8000000000000007</v>
      </c>
      <c r="F6" s="63">
        <f t="shared" ref="F6:F17" si="7">0.2*C5+0.8*F5</f>
        <v>8.4</v>
      </c>
      <c r="G6" s="63">
        <f t="shared" si="1"/>
        <v>1.5999999999999996</v>
      </c>
      <c r="H6" s="63">
        <f t="shared" ref="H6:H17" si="8">0.5*C5+0.5*H5</f>
        <v>9</v>
      </c>
      <c r="I6" s="63">
        <f t="shared" si="2"/>
        <v>1</v>
      </c>
      <c r="J6" s="63">
        <f t="shared" ref="J6:J17" si="9">0.8*C5+0.2*J5</f>
        <v>9.6</v>
      </c>
      <c r="K6" s="63">
        <f t="shared" si="3"/>
        <v>0.40000000000000036</v>
      </c>
      <c r="N6" s="70"/>
      <c r="O6" s="71">
        <v>2</v>
      </c>
      <c r="P6" s="71">
        <v>10</v>
      </c>
      <c r="Q6" s="71">
        <f t="shared" si="4"/>
        <v>20</v>
      </c>
      <c r="R6" s="71">
        <f t="shared" si="5"/>
        <v>4</v>
      </c>
    </row>
    <row r="7" spans="2:18">
      <c r="B7" s="71">
        <v>4</v>
      </c>
      <c r="C7" s="71">
        <v>12</v>
      </c>
      <c r="D7" s="63">
        <f t="shared" si="6"/>
        <v>8.379999999999999</v>
      </c>
      <c r="E7" s="63">
        <f t="shared" si="0"/>
        <v>3.620000000000001</v>
      </c>
      <c r="F7" s="63">
        <f t="shared" si="7"/>
        <v>8.7200000000000006</v>
      </c>
      <c r="G7" s="63">
        <f t="shared" si="1"/>
        <v>3.2799999999999994</v>
      </c>
      <c r="H7" s="63">
        <f t="shared" si="8"/>
        <v>9.5</v>
      </c>
      <c r="I7" s="63">
        <f t="shared" si="2"/>
        <v>2.5</v>
      </c>
      <c r="J7" s="63">
        <f t="shared" si="9"/>
        <v>9.92</v>
      </c>
      <c r="K7" s="63">
        <f t="shared" si="3"/>
        <v>2.08</v>
      </c>
      <c r="N7" s="70"/>
      <c r="O7" s="71">
        <v>3</v>
      </c>
      <c r="P7" s="71">
        <v>10</v>
      </c>
      <c r="Q7" s="71">
        <f t="shared" si="4"/>
        <v>30</v>
      </c>
      <c r="R7" s="71">
        <f t="shared" si="5"/>
        <v>9</v>
      </c>
    </row>
    <row r="8" spans="2:18">
      <c r="B8" s="71">
        <v>5</v>
      </c>
      <c r="C8" s="71">
        <v>9</v>
      </c>
      <c r="D8" s="63">
        <f t="shared" si="6"/>
        <v>8.7419999999999991</v>
      </c>
      <c r="E8" s="63">
        <f t="shared" si="0"/>
        <v>0.2580000000000009</v>
      </c>
      <c r="F8" s="63">
        <f t="shared" si="7"/>
        <v>9.3760000000000012</v>
      </c>
      <c r="G8" s="63">
        <f t="shared" si="1"/>
        <v>0.37600000000000122</v>
      </c>
      <c r="H8" s="63">
        <f t="shared" si="8"/>
        <v>10.75</v>
      </c>
      <c r="I8" s="63">
        <f t="shared" si="2"/>
        <v>1.75</v>
      </c>
      <c r="J8" s="63">
        <f t="shared" si="9"/>
        <v>11.584000000000001</v>
      </c>
      <c r="K8" s="63">
        <f t="shared" si="3"/>
        <v>2.5840000000000014</v>
      </c>
      <c r="N8" s="70"/>
      <c r="O8" s="71">
        <v>4</v>
      </c>
      <c r="P8" s="71">
        <v>12</v>
      </c>
      <c r="Q8" s="71">
        <f t="shared" si="4"/>
        <v>48</v>
      </c>
      <c r="R8" s="71">
        <f t="shared" si="5"/>
        <v>16</v>
      </c>
    </row>
    <row r="9" spans="2:18">
      <c r="B9" s="71">
        <v>6</v>
      </c>
      <c r="C9" s="71">
        <v>7</v>
      </c>
      <c r="D9" s="63">
        <f t="shared" si="6"/>
        <v>8.7677999999999994</v>
      </c>
      <c r="E9" s="63">
        <f t="shared" si="0"/>
        <v>1.7677999999999994</v>
      </c>
      <c r="F9" s="63">
        <f t="shared" si="7"/>
        <v>9.3008000000000024</v>
      </c>
      <c r="G9" s="63">
        <f t="shared" si="1"/>
        <v>2.3008000000000024</v>
      </c>
      <c r="H9" s="63">
        <f t="shared" si="8"/>
        <v>9.875</v>
      </c>
      <c r="I9" s="63">
        <f t="shared" si="2"/>
        <v>2.875</v>
      </c>
      <c r="J9" s="63">
        <f t="shared" si="9"/>
        <v>9.5167999999999999</v>
      </c>
      <c r="K9" s="63">
        <f t="shared" si="3"/>
        <v>2.5167999999999999</v>
      </c>
      <c r="N9" s="70"/>
      <c r="O9" s="71">
        <v>5</v>
      </c>
      <c r="P9" s="71">
        <v>9</v>
      </c>
      <c r="Q9" s="71">
        <f t="shared" si="4"/>
        <v>45</v>
      </c>
      <c r="R9" s="71">
        <f t="shared" si="5"/>
        <v>25</v>
      </c>
    </row>
    <row r="10" spans="2:18">
      <c r="B10" s="71">
        <v>7</v>
      </c>
      <c r="C10" s="71">
        <v>8</v>
      </c>
      <c r="D10" s="63">
        <f t="shared" si="6"/>
        <v>8.5910199999999985</v>
      </c>
      <c r="E10" s="63">
        <f t="shared" si="0"/>
        <v>0.59101999999999855</v>
      </c>
      <c r="F10" s="63">
        <f t="shared" si="7"/>
        <v>8.8406400000000023</v>
      </c>
      <c r="G10" s="63">
        <f t="shared" si="1"/>
        <v>0.84064000000000227</v>
      </c>
      <c r="H10" s="63">
        <f t="shared" si="8"/>
        <v>8.4375</v>
      </c>
      <c r="I10" s="63">
        <f t="shared" si="2"/>
        <v>0.4375</v>
      </c>
      <c r="J10" s="63">
        <f t="shared" si="9"/>
        <v>7.5033600000000007</v>
      </c>
      <c r="K10" s="63">
        <f t="shared" si="3"/>
        <v>0.4966399999999993</v>
      </c>
      <c r="N10" s="70"/>
      <c r="O10" s="71">
        <v>6</v>
      </c>
      <c r="P10" s="71">
        <v>7</v>
      </c>
      <c r="Q10" s="71">
        <f t="shared" si="4"/>
        <v>42</v>
      </c>
      <c r="R10" s="71">
        <f t="shared" si="5"/>
        <v>36</v>
      </c>
    </row>
    <row r="11" spans="2:18">
      <c r="B11" s="71">
        <v>8</v>
      </c>
      <c r="C11" s="71">
        <v>7</v>
      </c>
      <c r="D11" s="63">
        <f t="shared" si="6"/>
        <v>8.5319179999999992</v>
      </c>
      <c r="E11" s="63">
        <f t="shared" si="0"/>
        <v>1.5319179999999992</v>
      </c>
      <c r="F11" s="63">
        <f t="shared" si="7"/>
        <v>8.6725120000000029</v>
      </c>
      <c r="G11" s="63">
        <f t="shared" si="1"/>
        <v>1.6725120000000029</v>
      </c>
      <c r="H11" s="63">
        <f t="shared" si="8"/>
        <v>8.21875</v>
      </c>
      <c r="I11" s="63">
        <f t="shared" si="2"/>
        <v>1.21875</v>
      </c>
      <c r="J11" s="63">
        <f t="shared" si="9"/>
        <v>7.9006720000000001</v>
      </c>
      <c r="K11" s="63">
        <f t="shared" si="3"/>
        <v>0.90067200000000014</v>
      </c>
      <c r="N11" s="70"/>
      <c r="O11" s="71">
        <v>7</v>
      </c>
      <c r="P11" s="71">
        <v>8</v>
      </c>
      <c r="Q11" s="71">
        <f t="shared" si="4"/>
        <v>56</v>
      </c>
      <c r="R11" s="71">
        <f t="shared" si="5"/>
        <v>49</v>
      </c>
    </row>
    <row r="12" spans="2:18">
      <c r="B12" s="71">
        <v>9</v>
      </c>
      <c r="C12" s="71">
        <v>9</v>
      </c>
      <c r="D12" s="63">
        <f t="shared" si="6"/>
        <v>8.3787261999999991</v>
      </c>
      <c r="E12" s="63">
        <f t="shared" si="0"/>
        <v>0.62127380000000088</v>
      </c>
      <c r="F12" s="63">
        <f t="shared" si="7"/>
        <v>8.338009600000003</v>
      </c>
      <c r="G12" s="63">
        <f t="shared" si="1"/>
        <v>0.66199039999999698</v>
      </c>
      <c r="H12" s="63">
        <f t="shared" si="8"/>
        <v>7.609375</v>
      </c>
      <c r="I12" s="63">
        <f t="shared" si="2"/>
        <v>1.390625</v>
      </c>
      <c r="J12" s="63">
        <f t="shared" si="9"/>
        <v>7.1801344000000009</v>
      </c>
      <c r="K12" s="63">
        <f t="shared" si="3"/>
        <v>1.8198655999999991</v>
      </c>
      <c r="N12" s="70"/>
      <c r="O12" s="71">
        <v>8</v>
      </c>
      <c r="P12" s="71">
        <v>7</v>
      </c>
      <c r="Q12" s="71">
        <f t="shared" si="4"/>
        <v>56</v>
      </c>
      <c r="R12" s="71">
        <f t="shared" si="5"/>
        <v>64</v>
      </c>
    </row>
    <row r="13" spans="2:18">
      <c r="B13" s="71">
        <v>10</v>
      </c>
      <c r="C13" s="71">
        <v>10</v>
      </c>
      <c r="D13" s="63">
        <f t="shared" si="6"/>
        <v>8.4408535799999989</v>
      </c>
      <c r="E13" s="63">
        <f t="shared" si="0"/>
        <v>1.5591464200000011</v>
      </c>
      <c r="F13" s="63">
        <f t="shared" si="7"/>
        <v>8.4704076800000028</v>
      </c>
      <c r="G13" s="63">
        <f t="shared" si="1"/>
        <v>1.5295923199999972</v>
      </c>
      <c r="H13" s="63">
        <f t="shared" si="8"/>
        <v>8.3046875</v>
      </c>
      <c r="I13" s="63">
        <f t="shared" si="2"/>
        <v>1.6953125</v>
      </c>
      <c r="J13" s="63">
        <f t="shared" si="9"/>
        <v>8.6360268800000011</v>
      </c>
      <c r="K13" s="63">
        <f t="shared" si="3"/>
        <v>1.3639731199999989</v>
      </c>
      <c r="N13" s="70"/>
      <c r="O13" s="71">
        <v>9</v>
      </c>
      <c r="P13" s="71">
        <v>9</v>
      </c>
      <c r="Q13" s="71">
        <f t="shared" si="4"/>
        <v>81</v>
      </c>
      <c r="R13" s="71">
        <f t="shared" si="5"/>
        <v>81</v>
      </c>
    </row>
    <row r="14" spans="2:18">
      <c r="B14" s="71">
        <v>11</v>
      </c>
      <c r="C14" s="71">
        <v>13</v>
      </c>
      <c r="D14" s="63">
        <f t="shared" si="6"/>
        <v>8.5967682219999979</v>
      </c>
      <c r="E14" s="63">
        <f t="shared" si="0"/>
        <v>4.4032317780000021</v>
      </c>
      <c r="F14" s="63">
        <f t="shared" si="7"/>
        <v>8.7763261440000022</v>
      </c>
      <c r="G14" s="63">
        <f t="shared" si="1"/>
        <v>4.2236738559999978</v>
      </c>
      <c r="H14" s="63">
        <f t="shared" si="8"/>
        <v>9.15234375</v>
      </c>
      <c r="I14" s="63">
        <f t="shared" si="2"/>
        <v>3.84765625</v>
      </c>
      <c r="J14" s="63">
        <f t="shared" si="9"/>
        <v>9.7272053760000006</v>
      </c>
      <c r="K14" s="63">
        <f t="shared" si="3"/>
        <v>3.2727946239999994</v>
      </c>
      <c r="N14" s="70"/>
      <c r="O14" s="71">
        <v>10</v>
      </c>
      <c r="P14" s="71">
        <v>10</v>
      </c>
      <c r="Q14" s="71">
        <f t="shared" si="4"/>
        <v>100</v>
      </c>
      <c r="R14" s="71">
        <f t="shared" si="5"/>
        <v>100</v>
      </c>
    </row>
    <row r="15" spans="2:18">
      <c r="B15" s="71">
        <v>12</v>
      </c>
      <c r="C15" s="71">
        <v>12</v>
      </c>
      <c r="D15" s="63">
        <f t="shared" si="6"/>
        <v>9.0370913997999978</v>
      </c>
      <c r="E15" s="63">
        <f t="shared" si="0"/>
        <v>2.9629086002000022</v>
      </c>
      <c r="F15" s="63">
        <f t="shared" si="7"/>
        <v>9.6210609152000028</v>
      </c>
      <c r="G15" s="63">
        <f t="shared" si="1"/>
        <v>2.3789390847999972</v>
      </c>
      <c r="H15" s="63">
        <f t="shared" si="8"/>
        <v>11.076171875</v>
      </c>
      <c r="I15" s="63">
        <f t="shared" si="2"/>
        <v>0.923828125</v>
      </c>
      <c r="J15" s="63">
        <f t="shared" si="9"/>
        <v>12.3454410752</v>
      </c>
      <c r="K15" s="63">
        <f t="shared" si="3"/>
        <v>0.34544107520000011</v>
      </c>
      <c r="N15" s="70"/>
      <c r="O15" s="71">
        <v>11</v>
      </c>
      <c r="P15" s="71">
        <v>13</v>
      </c>
      <c r="Q15" s="71">
        <f t="shared" si="4"/>
        <v>143</v>
      </c>
      <c r="R15" s="71">
        <f t="shared" si="5"/>
        <v>121</v>
      </c>
    </row>
    <row r="16" spans="2:18">
      <c r="B16" s="71">
        <v>13</v>
      </c>
      <c r="C16" s="71">
        <v>11</v>
      </c>
      <c r="D16" s="63">
        <f t="shared" si="6"/>
        <v>9.3333822598199987</v>
      </c>
      <c r="E16" s="63">
        <f t="shared" si="0"/>
        <v>1.6666177401800013</v>
      </c>
      <c r="F16" s="63">
        <f t="shared" si="7"/>
        <v>10.096848732160003</v>
      </c>
      <c r="G16" s="63">
        <f t="shared" si="1"/>
        <v>0.90315126783999666</v>
      </c>
      <c r="H16" s="63">
        <f t="shared" si="8"/>
        <v>11.5380859375</v>
      </c>
      <c r="I16" s="63">
        <f t="shared" si="2"/>
        <v>0.5380859375</v>
      </c>
      <c r="J16" s="63">
        <f t="shared" si="9"/>
        <v>12.069088215040001</v>
      </c>
      <c r="K16" s="63">
        <f t="shared" si="3"/>
        <v>1.0690882150400007</v>
      </c>
      <c r="N16" s="70"/>
      <c r="O16" s="71">
        <v>12</v>
      </c>
      <c r="P16" s="71">
        <v>12</v>
      </c>
      <c r="Q16" s="71">
        <f t="shared" si="4"/>
        <v>144</v>
      </c>
      <c r="R16" s="71">
        <f t="shared" si="5"/>
        <v>144</v>
      </c>
    </row>
    <row r="17" spans="2:18">
      <c r="B17" s="71">
        <v>14</v>
      </c>
      <c r="C17" s="71">
        <v>10</v>
      </c>
      <c r="D17" s="63">
        <f t="shared" si="6"/>
        <v>9.5000440338379981</v>
      </c>
      <c r="E17" s="63">
        <f t="shared" si="0"/>
        <v>0.49995596616200189</v>
      </c>
      <c r="F17" s="63">
        <f t="shared" si="7"/>
        <v>10.277478985728003</v>
      </c>
      <c r="G17" s="63">
        <f t="shared" si="1"/>
        <v>0.27747898572800267</v>
      </c>
      <c r="H17" s="63">
        <f t="shared" si="8"/>
        <v>11.26904296875</v>
      </c>
      <c r="I17" s="63">
        <f t="shared" si="2"/>
        <v>1.26904296875</v>
      </c>
      <c r="J17" s="63">
        <f t="shared" si="9"/>
        <v>11.213817643008001</v>
      </c>
      <c r="K17" s="63">
        <f t="shared" si="3"/>
        <v>1.2138176430080012</v>
      </c>
      <c r="N17" s="70"/>
      <c r="O17" s="71">
        <v>13</v>
      </c>
      <c r="P17" s="71">
        <v>11</v>
      </c>
      <c r="Q17" s="71">
        <f t="shared" si="4"/>
        <v>143</v>
      </c>
      <c r="R17" s="71">
        <f t="shared" si="5"/>
        <v>169</v>
      </c>
    </row>
    <row r="18" spans="2:18">
      <c r="B18" s="63"/>
      <c r="C18" s="63"/>
      <c r="D18" s="63"/>
      <c r="E18" s="63"/>
      <c r="F18" s="63"/>
      <c r="G18" s="63"/>
      <c r="H18" s="63"/>
      <c r="I18" s="63"/>
      <c r="J18" s="63"/>
      <c r="K18" s="63"/>
      <c r="N18" s="70"/>
      <c r="O18" s="71">
        <v>14</v>
      </c>
      <c r="P18" s="71">
        <v>10</v>
      </c>
      <c r="Q18" s="71">
        <f t="shared" si="4"/>
        <v>140</v>
      </c>
      <c r="R18" s="71">
        <f t="shared" si="5"/>
        <v>196</v>
      </c>
    </row>
    <row r="19" spans="2:18">
      <c r="B19" s="63"/>
      <c r="C19" s="63"/>
      <c r="D19" s="63" t="s">
        <v>75</v>
      </c>
      <c r="E19" s="63">
        <f>AVERAGE(E5:E17)</f>
        <v>1.7909132541955393</v>
      </c>
      <c r="F19" s="63"/>
      <c r="G19" s="63">
        <f>AVERAGE(G5:G17)</f>
        <v>1.6957521472590762</v>
      </c>
      <c r="H19" s="63"/>
      <c r="I19" s="63">
        <f>AVERAGE(I5:I17)</f>
        <v>1.6496769831730769</v>
      </c>
      <c r="J19" s="63"/>
      <c r="K19" s="64">
        <f>AVERAGE(K5:K17)</f>
        <v>1.5433147905575386</v>
      </c>
      <c r="N19" s="70" t="s">
        <v>113</v>
      </c>
      <c r="O19" s="70">
        <f>SUM(O5:O18)</f>
        <v>105</v>
      </c>
      <c r="P19" s="70">
        <f>SUM(P5:P18)</f>
        <v>136</v>
      </c>
      <c r="Q19" s="70">
        <f>SUM(Q5:Q18)</f>
        <v>1056</v>
      </c>
      <c r="R19" s="70">
        <f>SUM(R5:R18)</f>
        <v>1015</v>
      </c>
    </row>
    <row r="20" spans="2:18">
      <c r="D20" s="65" t="s">
        <v>76</v>
      </c>
    </row>
    <row r="22" spans="2:18">
      <c r="B22" s="72" t="s">
        <v>77</v>
      </c>
      <c r="C22" s="73"/>
      <c r="D22" s="73"/>
      <c r="E22" s="74"/>
    </row>
    <row r="23" spans="2:18">
      <c r="B23" s="75"/>
      <c r="C23" s="34" t="s">
        <v>78</v>
      </c>
      <c r="D23" s="34" t="s">
        <v>79</v>
      </c>
      <c r="E23" s="76"/>
    </row>
    <row r="24" spans="2:18">
      <c r="B24" s="75"/>
      <c r="C24" s="34" t="s">
        <v>80</v>
      </c>
      <c r="D24" s="34">
        <f>J17</f>
        <v>11.213817643008001</v>
      </c>
      <c r="E24" s="76"/>
    </row>
    <row r="25" spans="2:18">
      <c r="B25" s="75"/>
      <c r="C25" s="34" t="s">
        <v>81</v>
      </c>
      <c r="D25" s="34">
        <v>0.8</v>
      </c>
      <c r="E25" s="76"/>
    </row>
    <row r="26" spans="2:18">
      <c r="B26" s="75"/>
      <c r="C26" s="34" t="s">
        <v>82</v>
      </c>
      <c r="D26" s="34">
        <f>C17</f>
        <v>10</v>
      </c>
      <c r="E26" s="76"/>
    </row>
    <row r="27" spans="2:18">
      <c r="B27" s="77"/>
      <c r="C27" s="78" t="s">
        <v>79</v>
      </c>
      <c r="D27" s="79">
        <f>J17+0.8*(C17-J17)</f>
        <v>10.2427635286016</v>
      </c>
      <c r="E27" s="80"/>
    </row>
  </sheetData>
  <mergeCells count="4">
    <mergeCell ref="D2:E2"/>
    <mergeCell ref="F2:G2"/>
    <mergeCell ref="H2:I2"/>
    <mergeCell ref="J2:K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3"/>
  <sheetViews>
    <sheetView zoomScale="90" zoomScaleNormal="90" zoomScalePageLayoutView="90" workbookViewId="0">
      <selection activeCell="L38" sqref="L38"/>
    </sheetView>
  </sheetViews>
  <sheetFormatPr defaultColWidth="8.77734375" defaultRowHeight="14.4"/>
  <cols>
    <col min="1" max="1" width="18" style="62" bestFit="1" customWidth="1"/>
    <col min="2" max="16384" width="8.77734375" style="62"/>
  </cols>
  <sheetData>
    <row r="1" spans="1:9">
      <c r="A1" s="62" t="s">
        <v>111</v>
      </c>
    </row>
    <row r="2" spans="1:9" ht="15" thickBot="1"/>
    <row r="3" spans="1:9">
      <c r="A3" s="81" t="s">
        <v>110</v>
      </c>
      <c r="B3" s="69"/>
    </row>
    <row r="4" spans="1:9">
      <c r="A4" s="66" t="s">
        <v>109</v>
      </c>
      <c r="B4" s="66">
        <v>0.35636578161865107</v>
      </c>
    </row>
    <row r="5" spans="1:9">
      <c r="A5" s="66" t="s">
        <v>108</v>
      </c>
      <c r="B5" s="66">
        <v>0.12699657030867209</v>
      </c>
    </row>
    <row r="6" spans="1:9">
      <c r="A6" s="66" t="s">
        <v>107</v>
      </c>
      <c r="B6" s="66">
        <v>5.4246284501061427E-2</v>
      </c>
    </row>
    <row r="7" spans="1:9">
      <c r="A7" s="66" t="s">
        <v>96</v>
      </c>
      <c r="B7" s="66">
        <v>1.8064799925185897</v>
      </c>
    </row>
    <row r="8" spans="1:9" ht="15" thickBot="1">
      <c r="A8" s="67" t="s">
        <v>106</v>
      </c>
      <c r="B8" s="67">
        <v>14</v>
      </c>
    </row>
    <row r="10" spans="1:9" ht="15" thickBot="1">
      <c r="A10" s="65" t="s">
        <v>105</v>
      </c>
    </row>
    <row r="11" spans="1:9">
      <c r="A11" s="68"/>
      <c r="B11" s="68" t="s">
        <v>104</v>
      </c>
      <c r="C11" s="68" t="s">
        <v>103</v>
      </c>
      <c r="D11" s="68" t="s">
        <v>102</v>
      </c>
      <c r="E11" s="68" t="s">
        <v>101</v>
      </c>
      <c r="F11" s="68" t="s">
        <v>100</v>
      </c>
    </row>
    <row r="12" spans="1:9">
      <c r="A12" s="66" t="s">
        <v>99</v>
      </c>
      <c r="B12" s="66">
        <v>1</v>
      </c>
      <c r="C12" s="66">
        <v>5.6967032967032907</v>
      </c>
      <c r="D12" s="66">
        <v>5.6967032967032907</v>
      </c>
      <c r="E12" s="66">
        <v>1.7456504658210779</v>
      </c>
      <c r="F12" s="66">
        <v>0.21106340531412526</v>
      </c>
    </row>
    <row r="13" spans="1:9">
      <c r="A13" s="66" t="s">
        <v>98</v>
      </c>
      <c r="B13" s="66">
        <v>12</v>
      </c>
      <c r="C13" s="66">
        <v>39.160439560439563</v>
      </c>
      <c r="D13" s="66">
        <v>3.2633699633699638</v>
      </c>
      <c r="E13" s="66"/>
      <c r="F13" s="66"/>
    </row>
    <row r="14" spans="1:9" ht="15" thickBot="1">
      <c r="A14" s="67" t="s">
        <v>42</v>
      </c>
      <c r="B14" s="67">
        <v>13</v>
      </c>
      <c r="C14" s="67">
        <v>44.857142857142854</v>
      </c>
      <c r="D14" s="67"/>
      <c r="E14" s="67"/>
      <c r="F14" s="67"/>
    </row>
    <row r="15" spans="1:9" ht="15" thickBot="1"/>
    <row r="16" spans="1:9">
      <c r="A16" s="68"/>
      <c r="B16" s="68" t="s">
        <v>97</v>
      </c>
      <c r="C16" s="68" t="s">
        <v>96</v>
      </c>
      <c r="D16" s="68" t="s">
        <v>95</v>
      </c>
      <c r="E16" s="68" t="s">
        <v>94</v>
      </c>
      <c r="F16" s="68" t="s">
        <v>93</v>
      </c>
      <c r="G16" s="68" t="s">
        <v>92</v>
      </c>
      <c r="H16" s="68" t="s">
        <v>91</v>
      </c>
      <c r="I16" s="68" t="s">
        <v>90</v>
      </c>
    </row>
    <row r="17" spans="1:9">
      <c r="A17" s="66" t="s">
        <v>89</v>
      </c>
      <c r="B17" s="66">
        <v>8.5274725274725274</v>
      </c>
      <c r="C17" s="66">
        <v>1.0197916666024227</v>
      </c>
      <c r="D17" s="66">
        <v>8.3619751040749168</v>
      </c>
      <c r="E17" s="66">
        <v>2.383297456406457E-6</v>
      </c>
      <c r="F17" s="66">
        <v>6.3055373632431246</v>
      </c>
      <c r="G17" s="66">
        <v>10.749407691701929</v>
      </c>
      <c r="H17" s="66">
        <v>6.3055373632431246</v>
      </c>
      <c r="I17" s="66">
        <v>10.749407691701929</v>
      </c>
    </row>
    <row r="18" spans="1:9" ht="15" thickBot="1">
      <c r="A18" s="67" t="s">
        <v>88</v>
      </c>
      <c r="B18" s="67">
        <v>0.15824175824175821</v>
      </c>
      <c r="C18" s="67">
        <v>0.11976845726430799</v>
      </c>
      <c r="D18" s="67">
        <v>1.3212306633669531</v>
      </c>
      <c r="E18" s="67">
        <v>0.21106340531412504</v>
      </c>
      <c r="F18" s="67">
        <v>-0.10271129273548749</v>
      </c>
      <c r="G18" s="67">
        <v>0.41919480921900387</v>
      </c>
      <c r="H18" s="67">
        <v>-0.10271129273548749</v>
      </c>
      <c r="I18" s="67">
        <v>0.41919480921900387</v>
      </c>
    </row>
    <row r="21" spans="1:9">
      <c r="B21" s="82" t="s">
        <v>87</v>
      </c>
      <c r="C21" s="83"/>
      <c r="D21" s="83" t="s">
        <v>86</v>
      </c>
      <c r="E21" s="83">
        <f>B17</f>
        <v>8.5274725274725274</v>
      </c>
      <c r="F21" s="84" t="s">
        <v>85</v>
      </c>
      <c r="G21" s="83">
        <f>B18</f>
        <v>0.15824175824175821</v>
      </c>
      <c r="H21" s="85" t="s">
        <v>84</v>
      </c>
    </row>
    <row r="22" spans="1:9">
      <c r="B22" s="86" t="s">
        <v>112</v>
      </c>
      <c r="C22" s="35"/>
      <c r="D22" s="35"/>
      <c r="E22" s="87">
        <f>E21+B18*15</f>
        <v>10.901098901098901</v>
      </c>
      <c r="F22" s="35"/>
      <c r="G22" s="35"/>
      <c r="H22" s="88"/>
    </row>
    <row r="23" spans="1:9">
      <c r="B23" s="77"/>
      <c r="C23" s="78"/>
      <c r="D23" s="78"/>
      <c r="E23" s="78"/>
      <c r="F23" s="78"/>
      <c r="G23" s="78"/>
      <c r="H23" s="8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Q31" sqref="Q31"/>
    </sheetView>
  </sheetViews>
  <sheetFormatPr defaultColWidth="8.77734375" defaultRowHeight="13.2"/>
  <cols>
    <col min="1" max="1" width="22.109375" style="90" customWidth="1"/>
    <col min="2" max="2" width="8.77734375" style="90"/>
    <col min="3" max="3" width="19.33203125" style="90" customWidth="1"/>
    <col min="4" max="4" width="8.77734375" style="90"/>
    <col min="5" max="5" width="10" style="90" bestFit="1" customWidth="1"/>
    <col min="6" max="16384" width="8.77734375" style="90"/>
  </cols>
  <sheetData>
    <row r="1" spans="1:12" ht="17.399999999999999">
      <c r="A1" s="108" t="s">
        <v>298</v>
      </c>
      <c r="B1" s="62"/>
      <c r="C1" s="62"/>
      <c r="D1" s="62"/>
    </row>
    <row r="2" spans="1:12" ht="15">
      <c r="A2" s="62"/>
      <c r="B2" s="62"/>
      <c r="C2" s="62"/>
      <c r="D2" s="62"/>
      <c r="E2" s="97"/>
      <c r="F2" s="97"/>
      <c r="G2" s="97"/>
      <c r="H2" s="97"/>
      <c r="I2" s="97"/>
      <c r="J2" s="97"/>
      <c r="K2" s="97"/>
      <c r="L2" s="97"/>
    </row>
    <row r="3" spans="1:12" ht="15">
      <c r="A3" s="109" t="s">
        <v>41</v>
      </c>
      <c r="B3" s="62"/>
      <c r="C3" s="62"/>
      <c r="D3" s="62"/>
      <c r="E3" s="97"/>
      <c r="F3" s="97"/>
      <c r="G3" s="97"/>
      <c r="H3" s="97"/>
      <c r="I3" s="97"/>
      <c r="J3" s="97"/>
      <c r="K3" s="97"/>
      <c r="L3" s="97"/>
    </row>
    <row r="4" spans="1:12" ht="15">
      <c r="A4" s="65" t="s">
        <v>299</v>
      </c>
      <c r="B4" s="62" t="s">
        <v>300</v>
      </c>
      <c r="C4" s="62"/>
      <c r="D4" s="62"/>
      <c r="E4" s="97"/>
      <c r="F4" s="97"/>
      <c r="G4" s="97"/>
      <c r="H4" s="97"/>
      <c r="I4" s="97"/>
      <c r="J4" s="97"/>
      <c r="K4" s="97"/>
      <c r="L4" s="97"/>
    </row>
    <row r="5" spans="1:12" ht="15">
      <c r="A5" s="65" t="s">
        <v>301</v>
      </c>
      <c r="B5" s="62" t="s">
        <v>302</v>
      </c>
      <c r="C5" s="62"/>
      <c r="D5" s="62"/>
      <c r="E5" s="97"/>
      <c r="F5" s="97"/>
      <c r="G5" s="97"/>
      <c r="H5" s="97"/>
      <c r="I5" s="97"/>
      <c r="J5" s="97"/>
      <c r="K5" s="97"/>
      <c r="L5" s="97"/>
    </row>
    <row r="6" spans="1:12" ht="15">
      <c r="A6" s="65" t="s">
        <v>303</v>
      </c>
      <c r="B6" s="62" t="s">
        <v>304</v>
      </c>
      <c r="C6" s="62"/>
      <c r="D6" s="62"/>
      <c r="E6" s="97"/>
      <c r="F6" s="97"/>
      <c r="G6" s="97"/>
      <c r="H6" s="97"/>
      <c r="I6" s="97"/>
      <c r="J6" s="97"/>
      <c r="K6" s="97"/>
      <c r="L6" s="97"/>
    </row>
    <row r="7" spans="1:12" ht="15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  <row r="8" spans="1:12" ht="15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</row>
    <row r="9" spans="1:12" ht="15">
      <c r="A9" s="135" t="s">
        <v>282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</row>
    <row r="10" spans="1:12" ht="15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</row>
    <row r="11" spans="1:12" ht="15">
      <c r="A11" s="92"/>
      <c r="B11" s="92" t="s">
        <v>124</v>
      </c>
      <c r="C11" s="92" t="s">
        <v>118</v>
      </c>
      <c r="D11" s="92" t="s">
        <v>119</v>
      </c>
      <c r="E11" s="97"/>
      <c r="F11" s="97"/>
      <c r="G11" s="97"/>
      <c r="H11" s="97"/>
      <c r="I11" s="97"/>
      <c r="J11" s="97"/>
      <c r="K11" s="97"/>
      <c r="L11" s="97"/>
    </row>
    <row r="12" spans="1:12" ht="15">
      <c r="A12" s="92" t="s">
        <v>39</v>
      </c>
      <c r="B12" s="92">
        <v>7</v>
      </c>
      <c r="C12" s="92">
        <v>7</v>
      </c>
      <c r="D12" s="92">
        <v>6</v>
      </c>
      <c r="E12" s="97"/>
      <c r="F12" s="97"/>
      <c r="G12" s="97"/>
      <c r="H12" s="97"/>
      <c r="I12" s="97"/>
      <c r="J12" s="97"/>
      <c r="K12" s="97"/>
      <c r="L12" s="97"/>
    </row>
    <row r="13" spans="1:12" ht="15">
      <c r="A13" s="144" t="s">
        <v>283</v>
      </c>
      <c r="B13" s="144">
        <v>1000</v>
      </c>
      <c r="C13" s="144">
        <v>533.33333333333326</v>
      </c>
      <c r="D13" s="144">
        <v>400</v>
      </c>
      <c r="E13" s="145">
        <f>SUMPRODUCT(B13:D13,B12:D12)</f>
        <v>13133.333333333332</v>
      </c>
      <c r="F13" s="97" t="s">
        <v>284</v>
      </c>
      <c r="G13" s="97"/>
      <c r="H13" s="97"/>
      <c r="I13" s="97"/>
      <c r="J13" s="97"/>
      <c r="K13" s="97"/>
      <c r="L13" s="97"/>
    </row>
    <row r="14" spans="1:12" ht="15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</row>
    <row r="15" spans="1:12" ht="15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</row>
    <row r="16" spans="1:12" ht="15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</row>
    <row r="17" spans="1:12" ht="15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</row>
    <row r="18" spans="1:12" ht="15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</row>
    <row r="19" spans="1:12" ht="15">
      <c r="A19" s="140" t="s">
        <v>166</v>
      </c>
      <c r="B19" s="147" t="s">
        <v>299</v>
      </c>
      <c r="C19" s="147" t="s">
        <v>301</v>
      </c>
      <c r="D19" s="147" t="s">
        <v>303</v>
      </c>
      <c r="E19" s="147" t="s">
        <v>285</v>
      </c>
      <c r="F19" s="147" t="s">
        <v>286</v>
      </c>
      <c r="G19" s="147" t="s">
        <v>40</v>
      </c>
      <c r="H19" s="147" t="s">
        <v>287</v>
      </c>
      <c r="I19" s="147" t="s">
        <v>40</v>
      </c>
      <c r="J19" s="97"/>
      <c r="K19" s="97"/>
      <c r="L19" s="97"/>
    </row>
    <row r="20" spans="1:12" ht="15">
      <c r="A20" s="92" t="s">
        <v>120</v>
      </c>
      <c r="B20" s="92">
        <v>4</v>
      </c>
      <c r="C20" s="92">
        <v>3</v>
      </c>
      <c r="D20" s="92">
        <v>6</v>
      </c>
      <c r="E20" s="92">
        <f>SUMPRODUCT($B$13:$D$13,B20:D20)</f>
        <v>8000</v>
      </c>
      <c r="F20" s="92" t="s">
        <v>125</v>
      </c>
      <c r="G20" s="92">
        <f>I20*16</f>
        <v>8000</v>
      </c>
      <c r="H20" s="92" t="s">
        <v>126</v>
      </c>
      <c r="I20" s="92">
        <v>500</v>
      </c>
      <c r="J20" s="97"/>
      <c r="K20" s="97"/>
      <c r="L20" s="97"/>
    </row>
    <row r="21" spans="1:12" ht="15">
      <c r="A21" s="92" t="s">
        <v>121</v>
      </c>
      <c r="B21" s="92">
        <v>2</v>
      </c>
      <c r="C21" s="92">
        <v>2</v>
      </c>
      <c r="D21" s="92">
        <v>3</v>
      </c>
      <c r="E21" s="92">
        <f t="shared" ref="E21:E23" si="0">SUMPRODUCT($B$13:$D$13,B21:D21)</f>
        <v>4266.6666666666661</v>
      </c>
      <c r="F21" s="92" t="s">
        <v>125</v>
      </c>
      <c r="G21" s="92">
        <f t="shared" ref="G21:G23" si="1">I21*16</f>
        <v>6800</v>
      </c>
      <c r="H21" s="92" t="s">
        <v>126</v>
      </c>
      <c r="I21" s="92">
        <v>425</v>
      </c>
      <c r="J21" s="97"/>
      <c r="K21" s="97"/>
      <c r="L21" s="97"/>
    </row>
    <row r="22" spans="1:12" ht="15">
      <c r="A22" s="92" t="s">
        <v>122</v>
      </c>
      <c r="B22" s="92">
        <v>4</v>
      </c>
      <c r="C22" s="92">
        <v>2</v>
      </c>
      <c r="D22" s="92">
        <v>5</v>
      </c>
      <c r="E22" s="92">
        <f t="shared" si="0"/>
        <v>7066.6666666666661</v>
      </c>
      <c r="F22" s="92" t="s">
        <v>125</v>
      </c>
      <c r="G22" s="92">
        <f t="shared" si="1"/>
        <v>10400</v>
      </c>
      <c r="H22" s="92" t="s">
        <v>126</v>
      </c>
      <c r="I22" s="92">
        <v>650</v>
      </c>
      <c r="J22" s="97"/>
      <c r="K22" s="97"/>
      <c r="L22" s="97"/>
    </row>
    <row r="23" spans="1:12" ht="15">
      <c r="A23" s="92" t="s">
        <v>123</v>
      </c>
      <c r="B23" s="92">
        <v>6</v>
      </c>
      <c r="C23" s="92">
        <v>9</v>
      </c>
      <c r="D23" s="92">
        <v>2</v>
      </c>
      <c r="E23" s="92">
        <f t="shared" si="0"/>
        <v>11600</v>
      </c>
      <c r="F23" s="92" t="s">
        <v>125</v>
      </c>
      <c r="G23" s="92">
        <f t="shared" si="1"/>
        <v>17600</v>
      </c>
      <c r="H23" s="92" t="s">
        <v>126</v>
      </c>
      <c r="I23" s="92">
        <v>1100</v>
      </c>
      <c r="J23" s="97"/>
      <c r="K23" s="97"/>
      <c r="L23" s="97"/>
    </row>
    <row r="24" spans="1:12" ht="15">
      <c r="A24" s="146" t="s">
        <v>305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</row>
    <row r="25" spans="1:12" ht="15">
      <c r="A25" s="92" t="s">
        <v>306</v>
      </c>
      <c r="B25" s="92" t="s">
        <v>288</v>
      </c>
      <c r="C25" s="92">
        <v>1000</v>
      </c>
      <c r="D25" s="92" t="s">
        <v>126</v>
      </c>
      <c r="E25" s="97"/>
      <c r="F25" s="97"/>
      <c r="G25" s="97"/>
      <c r="H25" s="97"/>
      <c r="I25" s="97"/>
      <c r="J25" s="97"/>
      <c r="K25" s="97"/>
      <c r="L25" s="97"/>
    </row>
    <row r="26" spans="1:12" ht="15">
      <c r="A26" s="92" t="s">
        <v>307</v>
      </c>
      <c r="B26" s="92" t="s">
        <v>288</v>
      </c>
      <c r="C26" s="92">
        <v>500</v>
      </c>
      <c r="D26" s="92" t="s">
        <v>126</v>
      </c>
      <c r="E26" s="97"/>
      <c r="F26" s="97"/>
      <c r="G26" s="97"/>
      <c r="H26" s="97"/>
      <c r="I26" s="97"/>
      <c r="J26" s="97"/>
      <c r="K26" s="97"/>
      <c r="L26" s="97"/>
    </row>
    <row r="27" spans="1:12" ht="15">
      <c r="A27" s="92" t="s">
        <v>308</v>
      </c>
      <c r="B27" s="92" t="s">
        <v>288</v>
      </c>
      <c r="C27" s="92">
        <v>400</v>
      </c>
      <c r="D27" s="92" t="s">
        <v>126</v>
      </c>
      <c r="E27" s="97"/>
      <c r="F27" s="97"/>
      <c r="G27" s="97"/>
      <c r="H27" s="97"/>
      <c r="I27" s="97"/>
      <c r="J27" s="97"/>
      <c r="K27" s="97"/>
      <c r="L27" s="9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TitlePage</vt:lpstr>
      <vt:lpstr>Assign1-AHP</vt:lpstr>
      <vt:lpstr>Assign2-WaitingLine</vt:lpstr>
      <vt:lpstr>Assign3-NetworkFlow</vt:lpstr>
      <vt:lpstr>Assign4-Transition Prob</vt:lpstr>
      <vt:lpstr>Assign5-Formulation</vt:lpstr>
      <vt:lpstr>Assign5-Goal1</vt:lpstr>
      <vt:lpstr>Assign5-Goal2</vt:lpstr>
      <vt:lpstr>Assign5-Goal3</vt:lpstr>
      <vt:lpstr>Assign5-Priortized</vt:lpstr>
      <vt:lpstr>Assign6a-Forecasting</vt:lpstr>
      <vt:lpstr>Assign6b-Regression</vt:lpstr>
      <vt:lpstr>Assign7-ProductMix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 Prabhushankar</dc:creator>
  <cp:lastModifiedBy>manivassakam</cp:lastModifiedBy>
  <dcterms:created xsi:type="dcterms:W3CDTF">2013-05-10T08:54:48Z</dcterms:created>
  <dcterms:modified xsi:type="dcterms:W3CDTF">2018-01-12T20:03:29Z</dcterms:modified>
</cp:coreProperties>
</file>