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/Users/varis/Sites/hku/the University of Hong Kong (HKU) MSC Computer Science/semester01/COMP7802B Introduction to financial computing/Assignment 2/"/>
    </mc:Choice>
  </mc:AlternateContent>
  <xr:revisionPtr revIDLastSave="0" documentId="13_ncr:1_{69B72289-3BA2-1F42-9917-614FA790C339}" xr6:coauthVersionLast="45" xr6:coauthVersionMax="45" xr10:uidLastSave="{00000000-0000-0000-0000-000000000000}"/>
  <bookViews>
    <workbookView xWindow="28800" yWindow="-1620" windowWidth="37140" windowHeight="20060" xr2:uid="{00000000-000D-0000-FFFF-FFFF00000000}"/>
  </bookViews>
  <sheets>
    <sheet name="Simplified Swap Curve" sheetId="1" r:id="rId1"/>
  </sheets>
  <definedNames>
    <definedName name="_xlnm.Print_Area" localSheetId="0">'Simplified Swap Curve'!$A$1:$T$125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8" i="1" l="1"/>
  <c r="F128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E128" i="1"/>
  <c r="C128" i="1"/>
  <c r="B128" i="1"/>
  <c r="G124" i="1"/>
  <c r="E76" i="1"/>
  <c r="H46" i="1"/>
  <c r="E125" i="1"/>
  <c r="G125" i="1" s="1"/>
  <c r="E124" i="1"/>
  <c r="E123" i="1"/>
  <c r="E122" i="1"/>
  <c r="G122" i="1" s="1"/>
  <c r="E121" i="1"/>
  <c r="G121" i="1" s="1"/>
  <c r="E120" i="1"/>
  <c r="G120" i="1" s="1"/>
  <c r="E119" i="1"/>
  <c r="G119" i="1" s="1"/>
  <c r="E118" i="1"/>
  <c r="E117" i="1"/>
  <c r="G117" i="1" s="1"/>
  <c r="E116" i="1"/>
  <c r="G116" i="1" s="1"/>
  <c r="E115" i="1"/>
  <c r="B114" i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G123" i="1" l="1"/>
  <c r="G118" i="1"/>
  <c r="G115" i="1"/>
  <c r="C114" i="1"/>
  <c r="G49" i="1"/>
  <c r="G48" i="1"/>
  <c r="G47" i="1"/>
  <c r="G46" i="1"/>
  <c r="C115" i="1" l="1"/>
  <c r="D114" i="1"/>
  <c r="E114" i="1" s="1"/>
  <c r="G114" i="1" s="1"/>
  <c r="G130" i="1" s="1"/>
  <c r="G132" i="1" s="1"/>
  <c r="G69" i="1"/>
  <c r="G65" i="1"/>
  <c r="B55" i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49" i="1"/>
  <c r="B48" i="1"/>
  <c r="B47" i="1"/>
  <c r="B46" i="1"/>
  <c r="G61" i="1"/>
  <c r="G57" i="1"/>
  <c r="G42" i="1"/>
  <c r="G41" i="1"/>
  <c r="G40" i="1"/>
  <c r="G39" i="1"/>
  <c r="C3" i="1"/>
  <c r="C116" i="1" l="1"/>
  <c r="D115" i="1"/>
  <c r="C62" i="1"/>
  <c r="D69" i="1"/>
  <c r="D61" i="1"/>
  <c r="C68" i="1"/>
  <c r="C60" i="1"/>
  <c r="C48" i="1"/>
  <c r="D68" i="1"/>
  <c r="D60" i="1"/>
  <c r="C67" i="1"/>
  <c r="C59" i="1"/>
  <c r="C46" i="1"/>
  <c r="D67" i="1"/>
  <c r="D59" i="1"/>
  <c r="C66" i="1"/>
  <c r="C58" i="1"/>
  <c r="D49" i="1"/>
  <c r="D66" i="1"/>
  <c r="D58" i="1"/>
  <c r="C65" i="1"/>
  <c r="C57" i="1"/>
  <c r="D48" i="1"/>
  <c r="C76" i="1"/>
  <c r="D65" i="1"/>
  <c r="D57" i="1"/>
  <c r="C64" i="1"/>
  <c r="C56" i="1"/>
  <c r="D47" i="1"/>
  <c r="D64" i="1"/>
  <c r="D56" i="1"/>
  <c r="C63" i="1"/>
  <c r="C55" i="1"/>
  <c r="D46" i="1"/>
  <c r="C38" i="1"/>
  <c r="D38" i="1" s="1"/>
  <c r="D62" i="1"/>
  <c r="C54" i="1"/>
  <c r="D55" i="1"/>
  <c r="C69" i="1"/>
  <c r="D63" i="1"/>
  <c r="C49" i="1"/>
  <c r="D54" i="1"/>
  <c r="C47" i="1"/>
  <c r="C61" i="1"/>
  <c r="C117" i="1" l="1"/>
  <c r="D116" i="1"/>
  <c r="C82" i="1"/>
  <c r="E47" i="1"/>
  <c r="F47" i="1" s="1"/>
  <c r="E60" i="1"/>
  <c r="F60" i="1" s="1"/>
  <c r="C88" i="1"/>
  <c r="O60" i="1"/>
  <c r="O54" i="1"/>
  <c r="E54" i="1"/>
  <c r="F54" i="1" s="1"/>
  <c r="E68" i="1"/>
  <c r="F68" i="1" s="1"/>
  <c r="C96" i="1"/>
  <c r="O68" i="1"/>
  <c r="O56" i="1"/>
  <c r="E56" i="1"/>
  <c r="F56" i="1" s="1"/>
  <c r="C86" i="1"/>
  <c r="E58" i="1"/>
  <c r="F58" i="1" s="1"/>
  <c r="O58" i="1"/>
  <c r="O64" i="1"/>
  <c r="C92" i="1"/>
  <c r="E64" i="1"/>
  <c r="F64" i="1" s="1"/>
  <c r="D76" i="1"/>
  <c r="C94" i="1"/>
  <c r="E66" i="1"/>
  <c r="F66" i="1" s="1"/>
  <c r="O66" i="1"/>
  <c r="C89" i="1"/>
  <c r="E61" i="1"/>
  <c r="F61" i="1" s="1"/>
  <c r="O61" i="1"/>
  <c r="C97" i="1"/>
  <c r="E69" i="1"/>
  <c r="F69" i="1" s="1"/>
  <c r="O69" i="1"/>
  <c r="C81" i="1"/>
  <c r="E46" i="1"/>
  <c r="F46" i="1" s="1"/>
  <c r="C83" i="1"/>
  <c r="E48" i="1"/>
  <c r="F48" i="1" s="1"/>
  <c r="C87" i="1"/>
  <c r="E59" i="1"/>
  <c r="F59" i="1" s="1"/>
  <c r="O59" i="1"/>
  <c r="O55" i="1"/>
  <c r="E55" i="1"/>
  <c r="F55" i="1" s="1"/>
  <c r="O63" i="1"/>
  <c r="C91" i="1"/>
  <c r="E63" i="1"/>
  <c r="F63" i="1" s="1"/>
  <c r="O62" i="1"/>
  <c r="C90" i="1"/>
  <c r="E62" i="1"/>
  <c r="F62" i="1" s="1"/>
  <c r="C85" i="1"/>
  <c r="E57" i="1"/>
  <c r="F57" i="1" s="1"/>
  <c r="O57" i="1"/>
  <c r="C95" i="1"/>
  <c r="E67" i="1"/>
  <c r="F67" i="1" s="1"/>
  <c r="O67" i="1"/>
  <c r="E38" i="1"/>
  <c r="C42" i="1"/>
  <c r="D42" i="1" s="1"/>
  <c r="C80" i="1" s="1"/>
  <c r="C41" i="1"/>
  <c r="D41" i="1" s="1"/>
  <c r="C40" i="1"/>
  <c r="D40" i="1" s="1"/>
  <c r="C39" i="1"/>
  <c r="D39" i="1" s="1"/>
  <c r="C93" i="1"/>
  <c r="E65" i="1"/>
  <c r="F65" i="1" s="1"/>
  <c r="O65" i="1"/>
  <c r="C84" i="1"/>
  <c r="E49" i="1"/>
  <c r="F49" i="1" s="1"/>
  <c r="C118" i="1" l="1"/>
  <c r="D117" i="1"/>
  <c r="E40" i="1"/>
  <c r="F40" i="1" s="1"/>
  <c r="H40" i="1" s="1"/>
  <c r="C78" i="1"/>
  <c r="P67" i="1"/>
  <c r="G67" i="1" s="1"/>
  <c r="P64" i="1"/>
  <c r="G64" i="1" s="1"/>
  <c r="P63" i="1"/>
  <c r="G63" i="1" s="1"/>
  <c r="P66" i="1"/>
  <c r="G66" i="1" s="1"/>
  <c r="P68" i="1"/>
  <c r="G68" i="1" s="1"/>
  <c r="P62" i="1"/>
  <c r="G62" i="1" s="1"/>
  <c r="D83" i="1"/>
  <c r="D85" i="1"/>
  <c r="D91" i="1"/>
  <c r="D94" i="1"/>
  <c r="D86" i="1"/>
  <c r="D97" i="1"/>
  <c r="D81" i="1"/>
  <c r="P60" i="1"/>
  <c r="G60" i="1" s="1"/>
  <c r="D87" i="1"/>
  <c r="D88" i="1"/>
  <c r="C79" i="1"/>
  <c r="E41" i="1"/>
  <c r="F41" i="1" s="1"/>
  <c r="H41" i="1" s="1"/>
  <c r="H47" i="1" s="1"/>
  <c r="I47" i="1" s="1"/>
  <c r="E82" i="1" s="1"/>
  <c r="D95" i="1"/>
  <c r="D84" i="1"/>
  <c r="D96" i="1"/>
  <c r="D82" i="1"/>
  <c r="E42" i="1"/>
  <c r="F42" i="1" s="1"/>
  <c r="H42" i="1" s="1"/>
  <c r="H48" i="1" s="1"/>
  <c r="I48" i="1" s="1"/>
  <c r="D89" i="1"/>
  <c r="D92" i="1"/>
  <c r="C77" i="1"/>
  <c r="E39" i="1"/>
  <c r="F39" i="1" s="1"/>
  <c r="H39" i="1" s="1"/>
  <c r="D90" i="1"/>
  <c r="P59" i="1"/>
  <c r="G59" i="1" s="1"/>
  <c r="I46" i="1"/>
  <c r="D93" i="1"/>
  <c r="P58" i="1"/>
  <c r="G58" i="1" s="1"/>
  <c r="C119" i="1" l="1"/>
  <c r="D118" i="1"/>
  <c r="E78" i="1"/>
  <c r="D78" i="1"/>
  <c r="E77" i="1"/>
  <c r="E80" i="1"/>
  <c r="E81" i="1"/>
  <c r="F81" i="1" s="1"/>
  <c r="I55" i="1"/>
  <c r="H55" i="1" s="1"/>
  <c r="H49" i="1"/>
  <c r="I49" i="1" s="1"/>
  <c r="E84" i="1" s="1"/>
  <c r="E83" i="1"/>
  <c r="F83" i="1" s="1"/>
  <c r="I54" i="1"/>
  <c r="H54" i="1" s="1"/>
  <c r="D80" i="1"/>
  <c r="F82" i="1"/>
  <c r="D79" i="1"/>
  <c r="E79" i="1"/>
  <c r="D77" i="1"/>
  <c r="C120" i="1" l="1"/>
  <c r="D119" i="1"/>
  <c r="F80" i="1"/>
  <c r="F78" i="1"/>
  <c r="F79" i="1"/>
  <c r="F77" i="1"/>
  <c r="I56" i="1"/>
  <c r="H56" i="1" s="1"/>
  <c r="F84" i="1"/>
  <c r="C121" i="1" l="1"/>
  <c r="D120" i="1"/>
  <c r="I57" i="1"/>
  <c r="C122" i="1" l="1"/>
  <c r="D121" i="1"/>
  <c r="E85" i="1"/>
  <c r="F85" i="1" s="1"/>
  <c r="H57" i="1"/>
  <c r="I58" i="1" s="1"/>
  <c r="C123" i="1" l="1"/>
  <c r="D122" i="1"/>
  <c r="H58" i="1"/>
  <c r="E86" i="1"/>
  <c r="F86" i="1" s="1"/>
  <c r="I59" i="1"/>
  <c r="H59" i="1" s="1"/>
  <c r="C124" i="1" l="1"/>
  <c r="D123" i="1"/>
  <c r="E87" i="1"/>
  <c r="F87" i="1" s="1"/>
  <c r="C125" i="1" l="1"/>
  <c r="D125" i="1" s="1"/>
  <c r="D124" i="1"/>
  <c r="I60" i="1"/>
  <c r="H60" i="1" s="1"/>
  <c r="E88" i="1" l="1"/>
  <c r="F88" i="1" s="1"/>
  <c r="I61" i="1" l="1"/>
  <c r="H61" i="1" s="1"/>
  <c r="E89" i="1" l="1"/>
  <c r="F89" i="1" s="1"/>
  <c r="I62" i="1" l="1"/>
  <c r="H62" i="1" s="1"/>
  <c r="E90" i="1" l="1"/>
  <c r="F90" i="1" s="1"/>
  <c r="I63" i="1" l="1"/>
  <c r="H63" i="1" s="1"/>
  <c r="E91" i="1" l="1"/>
  <c r="F91" i="1" s="1"/>
  <c r="I64" i="1"/>
  <c r="H64" i="1" s="1"/>
  <c r="E92" i="1" l="1"/>
  <c r="F92" i="1" s="1"/>
  <c r="I65" i="1"/>
  <c r="H65" i="1" s="1"/>
  <c r="E93" i="1" l="1"/>
  <c r="F93" i="1" s="1"/>
  <c r="I66" i="1"/>
  <c r="H66" i="1" s="1"/>
  <c r="E94" i="1" l="1"/>
  <c r="F94" i="1" s="1"/>
  <c r="I67" i="1"/>
  <c r="H67" i="1" s="1"/>
  <c r="E95" i="1" l="1"/>
  <c r="F95" i="1" s="1"/>
  <c r="I68" i="1"/>
  <c r="H68" i="1" s="1"/>
  <c r="E96" i="1" l="1"/>
  <c r="F96" i="1" s="1"/>
  <c r="I69" i="1"/>
  <c r="H69" i="1" l="1"/>
  <c r="E97" i="1"/>
  <c r="F97" i="1" s="1"/>
</calcChain>
</file>

<file path=xl/sharedStrings.xml><?xml version="1.0" encoding="utf-8"?>
<sst xmlns="http://schemas.openxmlformats.org/spreadsheetml/2006/main" count="102" uniqueCount="88">
  <si>
    <t>1Wk</t>
  </si>
  <si>
    <t>FRA</t>
  </si>
  <si>
    <t>From</t>
  </si>
  <si>
    <t>To</t>
  </si>
  <si>
    <t>2Y</t>
  </si>
  <si>
    <t>3Y</t>
  </si>
  <si>
    <t>4Y</t>
  </si>
  <si>
    <t>1Y</t>
  </si>
  <si>
    <t>Tenor</t>
    <phoneticPr fontId="2" type="noConversion"/>
  </si>
  <si>
    <t>Swap Discount Factor</t>
    <phoneticPr fontId="2" type="noConversion"/>
  </si>
  <si>
    <t>CASH</t>
    <phoneticPr fontId="2" type="noConversion"/>
  </si>
  <si>
    <t>FRA</t>
    <phoneticPr fontId="2" type="noConversion"/>
  </si>
  <si>
    <t>SWAP</t>
    <phoneticPr fontId="2" type="noConversion"/>
  </si>
  <si>
    <t>CURVE DEFINITION</t>
    <phoneticPr fontId="2" type="noConversion"/>
  </si>
  <si>
    <t>From</t>
    <phoneticPr fontId="2" type="noConversion"/>
  </si>
  <si>
    <t>To</t>
    <phoneticPr fontId="2" type="noConversion"/>
  </si>
  <si>
    <t>MM</t>
    <phoneticPr fontId="2" type="noConversion"/>
  </si>
  <si>
    <t>Mid Rate</t>
    <phoneticPr fontId="2" type="noConversion"/>
  </si>
  <si>
    <t>Rate (r)</t>
    <phoneticPr fontId="2" type="noConversion"/>
  </si>
  <si>
    <t>Di</t>
    <phoneticPr fontId="2" type="noConversion"/>
  </si>
  <si>
    <t>ti*Di</t>
    <phoneticPr fontId="2" type="noConversion"/>
  </si>
  <si>
    <t>Period</t>
    <phoneticPr fontId="2" type="noConversion"/>
  </si>
  <si>
    <t>ti
(Act/365)</t>
    <phoneticPr fontId="2" type="noConversion"/>
  </si>
  <si>
    <t>Date</t>
    <phoneticPr fontId="2" type="noConversion"/>
  </si>
  <si>
    <t>1Y</t>
    <phoneticPr fontId="2" type="noConversion"/>
  </si>
  <si>
    <t>4M</t>
    <phoneticPr fontId="2" type="noConversion"/>
  </si>
  <si>
    <t>5M</t>
    <phoneticPr fontId="2" type="noConversion"/>
  </si>
  <si>
    <t>6M</t>
    <phoneticPr fontId="2" type="noConversion"/>
  </si>
  <si>
    <t>9M</t>
    <phoneticPr fontId="2" type="noConversion"/>
  </si>
  <si>
    <t>1YR</t>
    <phoneticPr fontId="2" type="noConversion"/>
  </si>
  <si>
    <t>2YR</t>
    <phoneticPr fontId="2" type="noConversion"/>
  </si>
  <si>
    <t>3YR</t>
    <phoneticPr fontId="2" type="noConversion"/>
  </si>
  <si>
    <t>4YR</t>
    <phoneticPr fontId="2" type="noConversion"/>
  </si>
  <si>
    <t>Day to Spot</t>
    <phoneticPr fontId="2" type="noConversion"/>
  </si>
  <si>
    <t>Base Date</t>
    <phoneticPr fontId="2" type="noConversion"/>
  </si>
  <si>
    <t>Spot Date</t>
    <phoneticPr fontId="2" type="noConversion"/>
  </si>
  <si>
    <t>No. of 
Days from Spot</t>
    <phoneticPr fontId="2" type="noConversion"/>
  </si>
  <si>
    <t>1M</t>
    <phoneticPr fontId="2" type="noConversion"/>
  </si>
  <si>
    <t>2M</t>
    <phoneticPr fontId="2" type="noConversion"/>
  </si>
  <si>
    <t>3M</t>
    <phoneticPr fontId="2" type="noConversion"/>
  </si>
  <si>
    <t>SWAP</t>
    <phoneticPr fontId="2" type="noConversion"/>
  </si>
  <si>
    <t>MM Discount Factor</t>
    <phoneticPr fontId="2" type="noConversion"/>
  </si>
  <si>
    <t>Tenor</t>
    <phoneticPr fontId="2" type="noConversion"/>
  </si>
  <si>
    <t>From</t>
    <phoneticPr fontId="2" type="noConversion"/>
  </si>
  <si>
    <t>To</t>
    <phoneticPr fontId="2" type="noConversion"/>
  </si>
  <si>
    <t>Period</t>
    <phoneticPr fontId="2" type="noConversion"/>
  </si>
  <si>
    <t>t
(Act/365)</t>
    <phoneticPr fontId="2" type="noConversion"/>
  </si>
  <si>
    <t>Rate (r)</t>
    <phoneticPr fontId="2" type="noConversion"/>
  </si>
  <si>
    <t>Dt</t>
    <phoneticPr fontId="2" type="noConversion"/>
  </si>
  <si>
    <t>Spot</t>
    <phoneticPr fontId="2" type="noConversion"/>
  </si>
  <si>
    <t>FRA Discount Factor</t>
    <phoneticPr fontId="2" type="noConversion"/>
  </si>
  <si>
    <t>Tenor</t>
    <phoneticPr fontId="2" type="noConversion"/>
  </si>
  <si>
    <t>From</t>
    <phoneticPr fontId="2" type="noConversion"/>
  </si>
  <si>
    <r>
      <t>D</t>
    </r>
    <r>
      <rPr>
        <vertAlign val="subscript"/>
        <sz val="10"/>
        <rFont val="Calibri"/>
        <family val="2"/>
      </rPr>
      <t>S</t>
    </r>
    <phoneticPr fontId="2" type="noConversion"/>
  </si>
  <si>
    <r>
      <t>D</t>
    </r>
    <r>
      <rPr>
        <vertAlign val="subscript"/>
        <sz val="10"/>
        <rFont val="Calibri"/>
        <family val="2"/>
      </rPr>
      <t>E</t>
    </r>
    <phoneticPr fontId="2" type="noConversion"/>
  </si>
  <si>
    <t>CURVE OUTPUT (Spot Discount Curve)</t>
    <phoneticPr fontId="2" type="noConversion"/>
  </si>
  <si>
    <t>HK Dollar Spot Yield Curve</t>
    <phoneticPr fontId="2" type="noConversion"/>
  </si>
  <si>
    <t>SPOT</t>
    <phoneticPr fontId="2" type="noConversion"/>
  </si>
  <si>
    <t>Spot 
DF</t>
    <phoneticPr fontId="2" type="noConversion"/>
  </si>
  <si>
    <t>Spot 
ZC Rate</t>
    <phoneticPr fontId="2" type="noConversion"/>
  </si>
  <si>
    <t>1M</t>
  </si>
  <si>
    <t>2M</t>
  </si>
  <si>
    <t>3M</t>
  </si>
  <si>
    <t>1x4</t>
  </si>
  <si>
    <t>2x5</t>
  </si>
  <si>
    <t>3x6</t>
  </si>
  <si>
    <t>6x9</t>
  </si>
  <si>
    <t>Number of days</t>
  </si>
  <si>
    <t>Linear interpolation</t>
  </si>
  <si>
    <t xml:space="preserve"> </t>
  </si>
  <si>
    <t>Fixed rate instrument valuation</t>
  </si>
  <si>
    <t>Input</t>
  </si>
  <si>
    <t>No. of Years</t>
  </si>
  <si>
    <t>Fixed of Pymet Frq
(No. of Months)</t>
  </si>
  <si>
    <t>Notional</t>
  </si>
  <si>
    <t>Coupon rate</t>
  </si>
  <si>
    <t>Spot Date</t>
  </si>
  <si>
    <t>End Date</t>
  </si>
  <si>
    <t>(quarterly)</t>
  </si>
  <si>
    <t>Output</t>
  </si>
  <si>
    <t>No. Of days</t>
  </si>
  <si>
    <t>Interest Income</t>
  </si>
  <si>
    <t>PV</t>
  </si>
  <si>
    <t>DF From
Yield Curve</t>
  </si>
  <si>
    <t>Redemption</t>
  </si>
  <si>
    <t>Total PV</t>
  </si>
  <si>
    <t>Price Quote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</si>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</sst>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-* #,##0.00_-;\-* #,##0.00_-;_-* &quot;-&quot;??_-;_-@_-"/>
    <numFmt numFmtId="165" formatCode="0.000"/>
    <numFmt numFmtId="166" formatCode="dd/mm/yy;@"/>
    <numFmt numFmtId="167" formatCode="0.000%"/>
    <numFmt numFmtId="168" formatCode="_(* #,##0.00000_);_(* \(#,##0.00000\);_(* &quot;-&quot;??_);_(@_)"/>
    <numFmt numFmtId="169" formatCode="0.000000_ "/>
    <numFmt numFmtId="170" formatCode="0.0000000_ "/>
    <numFmt numFmtId="171" formatCode="_-* #,##0.000000_-;\-* #,##0.000000_-;_-* &quot;-&quot;??_-;_-@_-"/>
    <numFmt numFmtId="172" formatCode="_-* #,##0.0000000_-;\-* #,##0.0000000_-;_-* &quot;-&quot;??_-;_-@_-"/>
    <numFmt numFmtId="173" formatCode="0.0000%"/>
    <numFmt numFmtId="179" formatCode="[$HKD]\ #,##0"/>
    <numFmt numFmtId="181" formatCode="d\-mmm\-yyyy"/>
    <numFmt numFmtId="184" formatCode="dd/mm/yy"/>
  </numFmts>
  <fonts count="12" x14ac:knownFonts="1">
    <font>
      <sz val="10"/>
      <name val="Arial"/>
      <family val="2"/>
    </font>
    <font>
      <sz val="10"/>
      <name val="Arial"/>
      <family val="2"/>
    </font>
    <font>
      <sz val="8"/>
      <name val="Arial"/>
      <family val="2"/>
    </font>
    <font>
      <sz val="10"/>
      <name val="Calibri"/>
      <family val="2"/>
    </font>
    <font>
      <b/>
      <sz val="10"/>
      <name val="Calibri"/>
      <family val="2"/>
    </font>
    <font>
      <b/>
      <u/>
      <sz val="10"/>
      <name val="Calibri"/>
      <family val="2"/>
    </font>
    <font>
      <u/>
      <sz val="10"/>
      <name val="Calibri"/>
      <family val="2"/>
    </font>
    <font>
      <vertAlign val="subscript"/>
      <sz val="10"/>
      <name val="Calibri"/>
      <family val="2"/>
    </font>
    <font>
      <sz val="10"/>
      <color rgb="FFFF0000"/>
      <name val="Calibri"/>
      <family val="2"/>
    </font>
    <font>
      <sz val="10"/>
      <name val="Calibri"/>
      <family val="2"/>
      <scheme val="minor"/>
    </font>
    <font>
      <b/>
      <sz val="10"/>
      <name val="Arial"/>
      <family val="2"/>
    </font>
    <font>
      <b/>
      <sz val="12"/>
      <name val="Calibri"/>
      <family val="2"/>
    </font>
  </fonts>
  <fills count="13">
    <fill>
      <patternFill patternType="none"/>
    </fill>
    <fill>
      <patternFill patternType="gray125"/>
    </fill>
    <fill>
      <patternFill patternType="solid">
        <fgColor indexed="4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C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 style="double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89">
    <xf numFmtId="0" fontId="0" fillId="0" borderId="0" xfId="0"/>
    <xf numFmtId="0" fontId="3" fillId="0" borderId="0" xfId="0" applyFont="1"/>
    <xf numFmtId="0" fontId="4" fillId="0" borderId="0" xfId="0" applyFont="1" applyAlignment="1">
      <alignment horizontal="right"/>
    </xf>
    <xf numFmtId="0" fontId="5" fillId="0" borderId="0" xfId="0" applyFont="1"/>
    <xf numFmtId="0" fontId="3" fillId="0" borderId="0" xfId="0" applyFont="1" applyAlignment="1">
      <alignment horizontal="right"/>
    </xf>
    <xf numFmtId="0" fontId="3" fillId="0" borderId="0" xfId="0" applyFont="1" applyAlignment="1">
      <alignment horizontal="center"/>
    </xf>
    <xf numFmtId="14" fontId="3" fillId="0" borderId="0" xfId="0" applyNumberFormat="1" applyFont="1"/>
    <xf numFmtId="0" fontId="4" fillId="3" borderId="0" xfId="0" applyFont="1" applyFill="1"/>
    <xf numFmtId="0" fontId="4" fillId="4" borderId="1" xfId="0" applyFont="1" applyFill="1" applyBorder="1"/>
    <xf numFmtId="0" fontId="3" fillId="0" borderId="2" xfId="0" applyFont="1" applyBorder="1"/>
    <xf numFmtId="0" fontId="6" fillId="0" borderId="3" xfId="0" applyFont="1" applyBorder="1" applyAlignment="1">
      <alignment horizontal="right"/>
    </xf>
    <xf numFmtId="0" fontId="3" fillId="0" borderId="4" xfId="0" applyFont="1" applyBorder="1"/>
    <xf numFmtId="0" fontId="3" fillId="0" borderId="0" xfId="0" applyFont="1" applyBorder="1"/>
    <xf numFmtId="0" fontId="3" fillId="0" borderId="5" xfId="0" applyFont="1" applyBorder="1"/>
    <xf numFmtId="10" fontId="3" fillId="0" borderId="0" xfId="0" applyNumberFormat="1" applyFont="1" applyBorder="1"/>
    <xf numFmtId="0" fontId="4" fillId="4" borderId="4" xfId="0" applyFont="1" applyFill="1" applyBorder="1"/>
    <xf numFmtId="0" fontId="6" fillId="0" borderId="4" xfId="0" applyFont="1" applyBorder="1"/>
    <xf numFmtId="0" fontId="6" fillId="0" borderId="0" xfId="0" applyFont="1" applyBorder="1"/>
    <xf numFmtId="0" fontId="3" fillId="0" borderId="6" xfId="0" applyFont="1" applyBorder="1"/>
    <xf numFmtId="0" fontId="3" fillId="0" borderId="7" xfId="0" applyFont="1" applyBorder="1"/>
    <xf numFmtId="0" fontId="4" fillId="5" borderId="0" xfId="0" applyFont="1" applyFill="1"/>
    <xf numFmtId="0" fontId="3" fillId="5" borderId="0" xfId="0" applyFont="1" applyFill="1"/>
    <xf numFmtId="0" fontId="3" fillId="6" borderId="9" xfId="0" applyFont="1" applyFill="1" applyBorder="1" applyAlignment="1">
      <alignment horizontal="right"/>
    </xf>
    <xf numFmtId="0" fontId="3" fillId="6" borderId="9" xfId="0" applyFont="1" applyFill="1" applyBorder="1" applyAlignment="1">
      <alignment horizontal="right" wrapText="1"/>
    </xf>
    <xf numFmtId="0" fontId="3" fillId="7" borderId="10" xfId="0" applyFont="1" applyFill="1" applyBorder="1" applyAlignment="1">
      <alignment horizontal="right"/>
    </xf>
    <xf numFmtId="165" fontId="3" fillId="0" borderId="0" xfId="0" applyNumberFormat="1" applyFont="1" applyBorder="1"/>
    <xf numFmtId="166" fontId="3" fillId="0" borderId="0" xfId="0" applyNumberFormat="1" applyFont="1" applyBorder="1"/>
    <xf numFmtId="3" fontId="3" fillId="0" borderId="0" xfId="0" applyNumberFormat="1" applyFont="1" applyBorder="1"/>
    <xf numFmtId="169" fontId="3" fillId="0" borderId="0" xfId="0" applyNumberFormat="1" applyFont="1" applyBorder="1"/>
    <xf numFmtId="169" fontId="3" fillId="8" borderId="0" xfId="0" applyNumberFormat="1" applyFont="1" applyFill="1" applyBorder="1"/>
    <xf numFmtId="170" fontId="3" fillId="0" borderId="0" xfId="0" applyNumberFormat="1" applyFont="1"/>
    <xf numFmtId="172" fontId="3" fillId="0" borderId="0" xfId="0" applyNumberFormat="1" applyFont="1"/>
    <xf numFmtId="165" fontId="3" fillId="6" borderId="9" xfId="0" applyNumberFormat="1" applyFont="1" applyFill="1" applyBorder="1" applyAlignment="1">
      <alignment horizontal="right"/>
    </xf>
    <xf numFmtId="0" fontId="3" fillId="7" borderId="9" xfId="0" applyFont="1" applyFill="1" applyBorder="1" applyAlignment="1">
      <alignment horizontal="right"/>
    </xf>
    <xf numFmtId="165" fontId="3" fillId="0" borderId="0" xfId="0" applyNumberFormat="1" applyFont="1" applyFill="1" applyBorder="1"/>
    <xf numFmtId="171" fontId="3" fillId="8" borderId="0" xfId="1" applyNumberFormat="1" applyFont="1" applyFill="1" applyBorder="1"/>
    <xf numFmtId="171" fontId="3" fillId="0" borderId="0" xfId="2" applyNumberFormat="1" applyFont="1" applyBorder="1"/>
    <xf numFmtId="168" fontId="3" fillId="0" borderId="0" xfId="0" applyNumberFormat="1" applyFont="1"/>
    <xf numFmtId="0" fontId="3" fillId="2" borderId="0" xfId="0" applyFont="1" applyFill="1" applyBorder="1"/>
    <xf numFmtId="10" fontId="3" fillId="0" borderId="0" xfId="2" applyNumberFormat="1" applyFont="1" applyBorder="1"/>
    <xf numFmtId="0" fontId="3" fillId="6" borderId="9" xfId="0" applyFont="1" applyFill="1" applyBorder="1" applyAlignment="1">
      <alignment horizontal="center"/>
    </xf>
    <xf numFmtId="0" fontId="3" fillId="6" borderId="9" xfId="0" applyFont="1" applyFill="1" applyBorder="1" applyAlignment="1">
      <alignment horizontal="center" wrapText="1"/>
    </xf>
    <xf numFmtId="0" fontId="4" fillId="7" borderId="11" xfId="0" applyFont="1" applyFill="1" applyBorder="1" applyAlignment="1">
      <alignment horizontal="center" wrapText="1"/>
    </xf>
    <xf numFmtId="165" fontId="3" fillId="0" borderId="0" xfId="0" applyNumberFormat="1" applyFont="1" applyAlignment="1">
      <alignment horizontal="right"/>
    </xf>
    <xf numFmtId="166" fontId="3" fillId="0" borderId="9" xfId="0" applyNumberFormat="1" applyFont="1" applyBorder="1"/>
    <xf numFmtId="3" fontId="3" fillId="0" borderId="12" xfId="0" applyNumberFormat="1" applyFont="1" applyBorder="1"/>
    <xf numFmtId="166" fontId="3" fillId="0" borderId="0" xfId="0" applyNumberFormat="1" applyFont="1"/>
    <xf numFmtId="0" fontId="4" fillId="3" borderId="0" xfId="0" applyFont="1" applyFill="1" applyAlignment="1">
      <alignment horizontal="left"/>
    </xf>
    <xf numFmtId="0" fontId="3" fillId="3" borderId="0" xfId="0" applyFont="1" applyFill="1"/>
    <xf numFmtId="0" fontId="8" fillId="0" borderId="0" xfId="0" applyFont="1" applyFill="1" applyBorder="1"/>
    <xf numFmtId="167" fontId="3" fillId="9" borderId="0" xfId="2" applyNumberFormat="1" applyFont="1" applyFill="1" applyAlignment="1">
      <alignment horizontal="right"/>
    </xf>
    <xf numFmtId="167" fontId="3" fillId="9" borderId="0" xfId="2" applyNumberFormat="1" applyFont="1" applyFill="1"/>
    <xf numFmtId="0" fontId="4" fillId="10" borderId="11" xfId="0" applyFont="1" applyFill="1" applyBorder="1" applyAlignment="1">
      <alignment horizontal="center" wrapText="1"/>
    </xf>
    <xf numFmtId="0" fontId="4" fillId="11" borderId="0" xfId="0" applyFont="1" applyFill="1" applyAlignment="1">
      <alignment horizontal="right"/>
    </xf>
    <xf numFmtId="15" fontId="3" fillId="11" borderId="0" xfId="0" applyNumberFormat="1" applyFont="1" applyFill="1"/>
    <xf numFmtId="15" fontId="3" fillId="12" borderId="0" xfId="0" applyNumberFormat="1" applyFont="1" applyFill="1"/>
    <xf numFmtId="171" fontId="3" fillId="4" borderId="0" xfId="1" applyNumberFormat="1" applyFont="1" applyFill="1" applyBorder="1"/>
    <xf numFmtId="173" fontId="3" fillId="0" borderId="0" xfId="0" applyNumberFormat="1" applyFont="1"/>
    <xf numFmtId="167" fontId="3" fillId="0" borderId="0" xfId="0" applyNumberFormat="1" applyFont="1" applyBorder="1"/>
    <xf numFmtId="0" fontId="6" fillId="0" borderId="0" xfId="0" applyFont="1" applyBorder="1" applyAlignment="1">
      <alignment horizontal="right"/>
    </xf>
    <xf numFmtId="167" fontId="3" fillId="0" borderId="5" xfId="0" applyNumberFormat="1" applyFont="1" applyBorder="1"/>
    <xf numFmtId="167" fontId="9" fillId="0" borderId="5" xfId="0" applyNumberFormat="1" applyFont="1" applyBorder="1"/>
    <xf numFmtId="167" fontId="9" fillId="0" borderId="8" xfId="0" applyNumberFormat="1" applyFont="1" applyBorder="1"/>
    <xf numFmtId="0" fontId="3" fillId="0" borderId="0" xfId="0" applyFont="1" applyFill="1" applyBorder="1"/>
    <xf numFmtId="166" fontId="3" fillId="0" borderId="0" xfId="0" applyNumberFormat="1" applyFont="1" applyFill="1" applyBorder="1"/>
    <xf numFmtId="3" fontId="3" fillId="0" borderId="0" xfId="0" applyNumberFormat="1" applyFont="1" applyFill="1" applyBorder="1"/>
    <xf numFmtId="169" fontId="3" fillId="0" borderId="0" xfId="0" applyNumberFormat="1" applyFont="1" applyFill="1" applyBorder="1"/>
    <xf numFmtId="10" fontId="3" fillId="0" borderId="0" xfId="2" applyNumberFormat="1" applyFont="1" applyFill="1" applyBorder="1"/>
    <xf numFmtId="167" fontId="3" fillId="2" borderId="0" xfId="0" applyNumberFormat="1" applyFont="1" applyFill="1" applyBorder="1"/>
    <xf numFmtId="167" fontId="3" fillId="0" borderId="0" xfId="2" applyNumberFormat="1" applyFont="1" applyBorder="1"/>
    <xf numFmtId="0" fontId="9" fillId="0" borderId="0" xfId="0" applyFont="1"/>
    <xf numFmtId="166" fontId="0" fillId="0" borderId="0" xfId="0" applyNumberFormat="1"/>
    <xf numFmtId="179" fontId="9" fillId="0" borderId="0" xfId="0" applyNumberFormat="1" applyFont="1"/>
    <xf numFmtId="0" fontId="0" fillId="0" borderId="0" xfId="0" applyAlignment="1">
      <alignment wrapText="1"/>
    </xf>
    <xf numFmtId="3" fontId="0" fillId="0" borderId="0" xfId="0" applyNumberFormat="1"/>
    <xf numFmtId="167" fontId="0" fillId="0" borderId="0" xfId="0" applyNumberFormat="1"/>
    <xf numFmtId="181" fontId="0" fillId="0" borderId="0" xfId="0" applyNumberFormat="1"/>
    <xf numFmtId="0" fontId="10" fillId="3" borderId="0" xfId="0" applyFont="1" applyFill="1"/>
    <xf numFmtId="0" fontId="10" fillId="3" borderId="11" xfId="0" applyFont="1" applyFill="1" applyBorder="1"/>
    <xf numFmtId="0" fontId="10" fillId="0" borderId="0" xfId="0" applyFont="1" applyFill="1" applyBorder="1"/>
    <xf numFmtId="0" fontId="0" fillId="0" borderId="0" xfId="0" applyFill="1" applyBorder="1"/>
    <xf numFmtId="0" fontId="0" fillId="0" borderId="0" xfId="0" applyFill="1" applyBorder="1" applyAlignment="1">
      <alignment wrapText="1"/>
    </xf>
    <xf numFmtId="184" fontId="0" fillId="0" borderId="0" xfId="0" applyNumberFormat="1"/>
    <xf numFmtId="0" fontId="10" fillId="0" borderId="0" xfId="0" applyFont="1" applyAlignment="1">
      <alignment horizontal="right"/>
    </xf>
    <xf numFmtId="166" fontId="10" fillId="0" borderId="0" xfId="0" applyNumberFormat="1" applyFont="1" applyAlignment="1">
      <alignment horizontal="right"/>
    </xf>
    <xf numFmtId="0" fontId="9" fillId="0" borderId="0" xfId="0" applyFont="1" applyAlignment="1">
      <alignment wrapText="1"/>
    </xf>
    <xf numFmtId="3" fontId="9" fillId="0" borderId="0" xfId="0" applyNumberFormat="1" applyFont="1"/>
    <xf numFmtId="3" fontId="11" fillId="0" borderId="13" xfId="0" applyNumberFormat="1" applyFont="1" applyBorder="1"/>
    <xf numFmtId="0" fontId="4" fillId="0" borderId="0" xfId="0" applyFont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'Simplified Swap Curve'!$F$75</c:f>
              <c:strCache>
                <c:ptCount val="1"/>
                <c:pt idx="0">
                  <c:v>Spot 
ZC Rate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'Simplified Swap Curve'!$C$76:$C$97</c:f>
              <c:numCache>
                <c:formatCode>dd/mm/yy;@</c:formatCode>
                <c:ptCount val="22"/>
                <c:pt idx="0">
                  <c:v>44062</c:v>
                </c:pt>
                <c:pt idx="1">
                  <c:v>44069</c:v>
                </c:pt>
                <c:pt idx="2">
                  <c:v>44093</c:v>
                </c:pt>
                <c:pt idx="3">
                  <c:v>44123</c:v>
                </c:pt>
                <c:pt idx="4">
                  <c:v>44154</c:v>
                </c:pt>
                <c:pt idx="5">
                  <c:v>44184</c:v>
                </c:pt>
                <c:pt idx="6">
                  <c:v>44215</c:v>
                </c:pt>
                <c:pt idx="7">
                  <c:v>44246</c:v>
                </c:pt>
                <c:pt idx="8">
                  <c:v>44335</c:v>
                </c:pt>
                <c:pt idx="9">
                  <c:v>44427</c:v>
                </c:pt>
                <c:pt idx="10">
                  <c:v>44519</c:v>
                </c:pt>
                <c:pt idx="11">
                  <c:v>44611</c:v>
                </c:pt>
                <c:pt idx="12">
                  <c:v>44700</c:v>
                </c:pt>
                <c:pt idx="13">
                  <c:v>44792</c:v>
                </c:pt>
                <c:pt idx="14">
                  <c:v>44884</c:v>
                </c:pt>
                <c:pt idx="15">
                  <c:v>44976</c:v>
                </c:pt>
                <c:pt idx="16">
                  <c:v>45065</c:v>
                </c:pt>
                <c:pt idx="17">
                  <c:v>45157</c:v>
                </c:pt>
                <c:pt idx="18">
                  <c:v>45249</c:v>
                </c:pt>
                <c:pt idx="19">
                  <c:v>45341</c:v>
                </c:pt>
                <c:pt idx="20">
                  <c:v>45431</c:v>
                </c:pt>
                <c:pt idx="21">
                  <c:v>45523</c:v>
                </c:pt>
              </c:numCache>
            </c:numRef>
          </c:cat>
          <c:val>
            <c:numRef>
              <c:f>'Simplified Swap Curve'!$F$76:$F$97</c:f>
              <c:numCache>
                <c:formatCode>0.000%</c:formatCode>
                <c:ptCount val="22"/>
                <c:pt idx="1">
                  <c:v>4.6907573083021514E-3</c:v>
                </c:pt>
                <c:pt idx="2">
                  <c:v>3.6761687455075798E-3</c:v>
                </c:pt>
                <c:pt idx="3">
                  <c:v>4.1772481095918579E-3</c:v>
                </c:pt>
                <c:pt idx="4">
                  <c:v>4.1765074557496007E-3</c:v>
                </c:pt>
                <c:pt idx="5">
                  <c:v>4.5207709345600477E-3</c:v>
                </c:pt>
                <c:pt idx="6">
                  <c:v>4.6171836848698522E-3</c:v>
                </c:pt>
                <c:pt idx="7">
                  <c:v>4.5928459417163836E-3</c:v>
                </c:pt>
                <c:pt idx="8">
                  <c:v>4.7940767876160084E-3</c:v>
                </c:pt>
                <c:pt idx="9">
                  <c:v>5.3119090930373591E-3</c:v>
                </c:pt>
                <c:pt idx="10">
                  <c:v>5.5400759434942604E-3</c:v>
                </c:pt>
                <c:pt idx="11">
                  <c:v>5.7684675171896238E-3</c:v>
                </c:pt>
                <c:pt idx="12">
                  <c:v>5.9896490526307744E-3</c:v>
                </c:pt>
                <c:pt idx="13">
                  <c:v>6.2184816602637305E-3</c:v>
                </c:pt>
                <c:pt idx="14">
                  <c:v>6.1237038126311649E-3</c:v>
                </c:pt>
                <c:pt idx="15">
                  <c:v>6.0290389425095015E-3</c:v>
                </c:pt>
                <c:pt idx="16">
                  <c:v>5.937544573241027E-3</c:v>
                </c:pt>
                <c:pt idx="17">
                  <c:v>5.8430062785690406E-3</c:v>
                </c:pt>
                <c:pt idx="18">
                  <c:v>6.0009417319188962E-3</c:v>
                </c:pt>
                <c:pt idx="19">
                  <c:v>6.1589908346082467E-3</c:v>
                </c:pt>
                <c:pt idx="20">
                  <c:v>6.3137377304873787E-3</c:v>
                </c:pt>
                <c:pt idx="21">
                  <c:v>6.4720520029366568E-3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A5-2843-88AD-B8E27BB8CF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65633023"/>
        <c:axId val="519918943"/>
      </c:lineChart>
      <c:dateAx>
        <c:axId val="965633023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519918943"/>
        <c:crosses val="autoZero"/>
        <c:auto val="1"/>
        <c:lblOffset val="100"/>
        <c:baseTimeUnit val="days"/>
      </c:dateAx>
      <c:valAx>
        <c:axId val="519918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96563302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TH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'Simplified Swap Curve'!$E$75</c:f>
              <c:strCache>
                <c:ptCount val="1"/>
                <c:pt idx="0">
                  <c:v>Spot 
DF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'Simplified Swap Curve'!$C$76:$C$97</c:f>
              <c:numCache>
                <c:formatCode>dd/mm/yy;@</c:formatCode>
                <c:ptCount val="22"/>
                <c:pt idx="0">
                  <c:v>44062</c:v>
                </c:pt>
                <c:pt idx="1">
                  <c:v>44069</c:v>
                </c:pt>
                <c:pt idx="2">
                  <c:v>44093</c:v>
                </c:pt>
                <c:pt idx="3">
                  <c:v>44123</c:v>
                </c:pt>
                <c:pt idx="4">
                  <c:v>44154</c:v>
                </c:pt>
                <c:pt idx="5">
                  <c:v>44184</c:v>
                </c:pt>
                <c:pt idx="6">
                  <c:v>44215</c:v>
                </c:pt>
                <c:pt idx="7">
                  <c:v>44246</c:v>
                </c:pt>
                <c:pt idx="8">
                  <c:v>44335</c:v>
                </c:pt>
                <c:pt idx="9">
                  <c:v>44427</c:v>
                </c:pt>
                <c:pt idx="10">
                  <c:v>44519</c:v>
                </c:pt>
                <c:pt idx="11">
                  <c:v>44611</c:v>
                </c:pt>
                <c:pt idx="12">
                  <c:v>44700</c:v>
                </c:pt>
                <c:pt idx="13">
                  <c:v>44792</c:v>
                </c:pt>
                <c:pt idx="14">
                  <c:v>44884</c:v>
                </c:pt>
                <c:pt idx="15">
                  <c:v>44976</c:v>
                </c:pt>
                <c:pt idx="16">
                  <c:v>45065</c:v>
                </c:pt>
                <c:pt idx="17">
                  <c:v>45157</c:v>
                </c:pt>
                <c:pt idx="18">
                  <c:v>45249</c:v>
                </c:pt>
                <c:pt idx="19">
                  <c:v>45341</c:v>
                </c:pt>
                <c:pt idx="20">
                  <c:v>45431</c:v>
                </c:pt>
                <c:pt idx="21">
                  <c:v>45523</c:v>
                </c:pt>
              </c:numCache>
            </c:numRef>
          </c:cat>
          <c:val>
            <c:numRef>
              <c:f>'Simplified Swap Curve'!$E$76:$E$97</c:f>
              <c:numCache>
                <c:formatCode>0.000000_ </c:formatCode>
                <c:ptCount val="22"/>
                <c:pt idx="0">
                  <c:v>1</c:v>
                </c:pt>
                <c:pt idx="1">
                  <c:v>0.9999102546302967</c:v>
                </c:pt>
                <c:pt idx="2">
                  <c:v>0.99968839849562507</c:v>
                </c:pt>
                <c:pt idx="3">
                  <c:v>0.9993035812275155</c:v>
                </c:pt>
                <c:pt idx="4">
                  <c:v>0.99895003509188318</c:v>
                </c:pt>
                <c:pt idx="5">
                  <c:v>0.99849348902711266</c:v>
                </c:pt>
                <c:pt idx="6">
                  <c:v>0.99807089531078652</c:v>
                </c:pt>
                <c:pt idx="7">
                  <c:v>0.99769266898850051</c:v>
                </c:pt>
                <c:pt idx="8">
                  <c:v>0.99642925129671944</c:v>
                </c:pt>
                <c:pt idx="9">
                  <c:v>0.9947161581942966</c:v>
                </c:pt>
                <c:pt idx="10">
                  <c:v>0.99310653468181775</c:v>
                </c:pt>
                <c:pt idx="11">
                  <c:v>0.9913858380055266</c:v>
                </c:pt>
                <c:pt idx="12">
                  <c:v>0.98961594205767844</c:v>
                </c:pt>
                <c:pt idx="13">
                  <c:v>0.98767809078055757</c:v>
                </c:pt>
                <c:pt idx="14">
                  <c:v>0.98634522154770254</c:v>
                </c:pt>
                <c:pt idx="15">
                  <c:v>0.98506067078310744</c:v>
                </c:pt>
                <c:pt idx="16">
                  <c:v>0.98386380663376993</c:v>
                </c:pt>
                <c:pt idx="17">
                  <c:v>0.98267384799588819</c:v>
                </c:pt>
                <c:pt idx="18">
                  <c:v>0.98073099787406071</c:v>
                </c:pt>
                <c:pt idx="19">
                  <c:v>0.97871421969723982</c:v>
                </c:pt>
                <c:pt idx="20">
                  <c:v>0.97667005453255351</c:v>
                </c:pt>
                <c:pt idx="21">
                  <c:v>0.97450808127277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A64-214F-8FC8-07FFE82F0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56623935"/>
        <c:axId val="892030607"/>
      </c:lineChart>
      <c:dateAx>
        <c:axId val="856623935"/>
        <c:scaling>
          <c:orientation val="minMax"/>
        </c:scaling>
        <c:delete val="0"/>
        <c:axPos val="b"/>
        <c:numFmt formatCode="dd/mm/yy;@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92030607"/>
        <c:crosses val="autoZero"/>
        <c:auto val="1"/>
        <c:lblOffset val="100"/>
        <c:baseTimeUnit val="days"/>
      </c:dateAx>
      <c:valAx>
        <c:axId val="89203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00_ 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TH"/>
          </a:p>
        </c:txPr>
        <c:crossAx val="8566239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TH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200025</xdr:colOff>
      <xdr:row>43</xdr:row>
      <xdr:rowOff>76200</xdr:rowOff>
    </xdr:from>
    <xdr:to>
      <xdr:col>13</xdr:col>
      <xdr:colOff>220718</xdr:colOff>
      <xdr:row>45</xdr:row>
      <xdr:rowOff>57150</xdr:rowOff>
    </xdr:to>
    <xdr:pic>
      <xdr:nvPicPr>
        <xdr:cNvPr id="5" name="圖片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276975" y="7219950"/>
          <a:ext cx="2287643" cy="4762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8</xdr:col>
      <xdr:colOff>381000</xdr:colOff>
      <xdr:row>36</xdr:row>
      <xdr:rowOff>28574</xdr:rowOff>
    </xdr:from>
    <xdr:to>
      <xdr:col>12</xdr:col>
      <xdr:colOff>265983</xdr:colOff>
      <xdr:row>38</xdr:row>
      <xdr:rowOff>9525</xdr:rowOff>
    </xdr:to>
    <xdr:pic>
      <xdr:nvPicPr>
        <xdr:cNvPr id="6" name="圖片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753100" y="5876924"/>
          <a:ext cx="2228133" cy="46672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10</xdr:col>
      <xdr:colOff>104775</xdr:colOff>
      <xdr:row>52</xdr:row>
      <xdr:rowOff>25399</xdr:rowOff>
    </xdr:from>
    <xdr:to>
      <xdr:col>13</xdr:col>
      <xdr:colOff>86003</xdr:colOff>
      <xdr:row>57</xdr:row>
      <xdr:rowOff>85725</xdr:rowOff>
    </xdr:to>
    <xdr:pic>
      <xdr:nvPicPr>
        <xdr:cNvPr id="7" name="圖片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6391275" y="8797924"/>
          <a:ext cx="2038628" cy="1031876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 editAs="oneCell">
    <xdr:from>
      <xdr:col>7</xdr:col>
      <xdr:colOff>393701</xdr:colOff>
      <xdr:row>73</xdr:row>
      <xdr:rowOff>146050</xdr:rowOff>
    </xdr:from>
    <xdr:to>
      <xdr:col>10</xdr:col>
      <xdr:colOff>609601</xdr:colOff>
      <xdr:row>76</xdr:row>
      <xdr:rowOff>47625</xdr:rowOff>
    </xdr:to>
    <xdr:pic>
      <xdr:nvPicPr>
        <xdr:cNvPr id="8" name="圖片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5060951" y="16367125"/>
          <a:ext cx="1835150" cy="730250"/>
        </a:xfrm>
        <a:prstGeom prst="rect">
          <a:avLst/>
        </a:prstGeom>
        <a:ln>
          <a:noFill/>
        </a:ln>
        <a:effectLst>
          <a:outerShdw blurRad="190500" algn="tl" rotWithShape="0">
            <a:srgbClr val="000000">
              <a:alpha val="70000"/>
            </a:srgbClr>
          </a:outerShdw>
        </a:effectLst>
      </xdr:spPr>
    </xdr:pic>
    <xdr:clientData/>
  </xdr:twoCellAnchor>
  <xdr:twoCellAnchor>
    <xdr:from>
      <xdr:col>7</xdr:col>
      <xdr:colOff>711200</xdr:colOff>
      <xdr:row>80</xdr:row>
      <xdr:rowOff>121920</xdr:rowOff>
    </xdr:from>
    <xdr:to>
      <xdr:col>14</xdr:col>
      <xdr:colOff>172720</xdr:colOff>
      <xdr:row>95</xdr:row>
      <xdr:rowOff>121920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437D3DF-3884-BA45-9A48-757EFD6BE7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15</xdr:col>
      <xdr:colOff>243840</xdr:colOff>
      <xdr:row>80</xdr:row>
      <xdr:rowOff>132080</xdr:rowOff>
    </xdr:from>
    <xdr:to>
      <xdr:col>19</xdr:col>
      <xdr:colOff>792480</xdr:colOff>
      <xdr:row>95</xdr:row>
      <xdr:rowOff>132080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DD35505-B1FD-0C41-B18A-48CE1CF8B5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S172"/>
  <sheetViews>
    <sheetView tabSelected="1" topLeftCell="A100" zoomScale="125" zoomScaleNormal="125" workbookViewId="0">
      <selection activeCell="G132" sqref="G132"/>
    </sheetView>
  </sheetViews>
  <sheetFormatPr baseColWidth="10" defaultColWidth="9.1640625" defaultRowHeight="14" x14ac:dyDescent="0.2"/>
  <cols>
    <col min="1" max="1" width="17" style="1" customWidth="1"/>
    <col min="2" max="2" width="11.6640625" style="1" bestFit="1" customWidth="1"/>
    <col min="3" max="3" width="13" style="1" customWidth="1"/>
    <col min="4" max="4" width="11.6640625" style="1" customWidth="1"/>
    <col min="5" max="5" width="14.33203125" style="1" customWidth="1"/>
    <col min="6" max="6" width="10" style="1" bestFit="1" customWidth="1"/>
    <col min="7" max="7" width="9.33203125" style="1" bestFit="1" customWidth="1"/>
    <col min="8" max="9" width="10.5" style="1" bestFit="1" customWidth="1"/>
    <col min="10" max="10" width="3.1640625" style="1" customWidth="1"/>
    <col min="11" max="11" width="11.1640625" style="1" bestFit="1" customWidth="1"/>
    <col min="12" max="12" width="10.33203125" style="1" customWidth="1"/>
    <col min="13" max="13" width="9.5" style="1" customWidth="1"/>
    <col min="14" max="15" width="11.6640625" style="1" customWidth="1"/>
    <col min="16" max="16" width="19.1640625" style="1" bestFit="1" customWidth="1"/>
    <col min="17" max="18" width="11" style="1" customWidth="1"/>
    <col min="19" max="19" width="11.5" style="4" customWidth="1"/>
    <col min="20" max="20" width="10.5" style="1" bestFit="1" customWidth="1"/>
    <col min="21" max="21" width="9.5" style="1" bestFit="1" customWidth="1"/>
    <col min="22" max="22" width="10.1640625" style="1" bestFit="1" customWidth="1"/>
    <col min="23" max="23" width="9.83203125" style="1" bestFit="1" customWidth="1"/>
    <col min="24" max="24" width="9.5" style="1" bestFit="1" customWidth="1"/>
    <col min="25" max="16384" width="9.1640625" style="1"/>
  </cols>
  <sheetData>
    <row r="1" spans="1:10" x14ac:dyDescent="0.2">
      <c r="B1" s="2" t="s">
        <v>34</v>
      </c>
      <c r="C1" s="55">
        <v>44060</v>
      </c>
      <c r="E1" s="3" t="s">
        <v>56</v>
      </c>
    </row>
    <row r="2" spans="1:10" x14ac:dyDescent="0.2">
      <c r="B2" s="4" t="s">
        <v>33</v>
      </c>
      <c r="C2" s="5">
        <v>2</v>
      </c>
    </row>
    <row r="3" spans="1:10" x14ac:dyDescent="0.2">
      <c r="B3" s="53" t="s">
        <v>35</v>
      </c>
      <c r="C3" s="54">
        <f>C1+C2</f>
        <v>44062</v>
      </c>
    </row>
    <row r="4" spans="1:10" x14ac:dyDescent="0.2">
      <c r="B4" s="4"/>
      <c r="C4" s="6"/>
    </row>
    <row r="5" spans="1:10" x14ac:dyDescent="0.2">
      <c r="A5" s="7" t="s">
        <v>13</v>
      </c>
      <c r="B5" s="7"/>
    </row>
    <row r="6" spans="1:10" ht="15" thickBot="1" x14ac:dyDescent="0.25"/>
    <row r="7" spans="1:10" x14ac:dyDescent="0.2">
      <c r="B7" s="8" t="s">
        <v>16</v>
      </c>
      <c r="C7" s="9"/>
      <c r="D7" s="10" t="s">
        <v>17</v>
      </c>
      <c r="E7" s="59"/>
      <c r="F7" s="59"/>
    </row>
    <row r="8" spans="1:10" x14ac:dyDescent="0.2">
      <c r="B8" s="11"/>
      <c r="C8" s="12"/>
      <c r="D8" s="13"/>
      <c r="E8" s="12"/>
      <c r="F8" s="12"/>
    </row>
    <row r="9" spans="1:10" x14ac:dyDescent="0.2">
      <c r="B9" s="11" t="s">
        <v>0</v>
      </c>
      <c r="D9" s="60">
        <v>4.6800000000000001E-3</v>
      </c>
      <c r="E9" s="14"/>
      <c r="F9" s="14"/>
    </row>
    <row r="10" spans="1:10" x14ac:dyDescent="0.2">
      <c r="B10" s="11" t="s">
        <v>37</v>
      </c>
      <c r="D10" s="61">
        <v>3.6700000000000001E-3</v>
      </c>
      <c r="E10" s="14"/>
      <c r="F10" s="14"/>
    </row>
    <row r="11" spans="1:10" x14ac:dyDescent="0.2">
      <c r="B11" s="11" t="s">
        <v>38</v>
      </c>
      <c r="D11" s="61">
        <v>4.1700000000000001E-3</v>
      </c>
      <c r="E11" s="14"/>
      <c r="F11" s="14"/>
    </row>
    <row r="12" spans="1:10" x14ac:dyDescent="0.2">
      <c r="B12" s="11" t="s">
        <v>39</v>
      </c>
      <c r="D12" s="61">
        <v>4.1700000000000001E-3</v>
      </c>
      <c r="E12" s="14"/>
      <c r="F12" s="14"/>
    </row>
    <row r="13" spans="1:10" x14ac:dyDescent="0.2">
      <c r="B13" s="11"/>
      <c r="C13" s="12"/>
      <c r="D13" s="61"/>
      <c r="E13" s="12"/>
      <c r="F13" s="12"/>
    </row>
    <row r="14" spans="1:10" x14ac:dyDescent="0.2">
      <c r="B14" s="15" t="s">
        <v>1</v>
      </c>
      <c r="C14" s="12"/>
      <c r="D14" s="61"/>
      <c r="E14" s="12"/>
      <c r="F14" s="12"/>
    </row>
    <row r="15" spans="1:10" x14ac:dyDescent="0.2">
      <c r="B15" s="11"/>
      <c r="C15" s="12"/>
      <c r="D15" s="61"/>
      <c r="E15" s="12"/>
      <c r="F15" s="12"/>
    </row>
    <row r="16" spans="1:10" x14ac:dyDescent="0.2">
      <c r="B16" s="16" t="s">
        <v>2</v>
      </c>
      <c r="C16" s="17" t="s">
        <v>3</v>
      </c>
      <c r="D16" s="61"/>
      <c r="E16" s="17"/>
      <c r="F16" s="12"/>
      <c r="I16" s="12"/>
      <c r="J16" s="12"/>
    </row>
    <row r="17" spans="2:10" x14ac:dyDescent="0.2">
      <c r="B17" s="11">
        <v>1</v>
      </c>
      <c r="C17" s="12">
        <v>4</v>
      </c>
      <c r="D17" s="61">
        <v>4.7999999999999996E-3</v>
      </c>
      <c r="E17" s="14"/>
      <c r="F17" s="14"/>
      <c r="I17" s="12"/>
      <c r="J17" s="12"/>
    </row>
    <row r="18" spans="2:10" x14ac:dyDescent="0.2">
      <c r="B18" s="11">
        <v>2</v>
      </c>
      <c r="C18" s="12">
        <v>5</v>
      </c>
      <c r="D18" s="61">
        <v>4.8999999999999998E-3</v>
      </c>
      <c r="E18" s="14"/>
      <c r="F18" s="14"/>
      <c r="I18" s="12"/>
      <c r="J18" s="12"/>
    </row>
    <row r="19" spans="2:10" x14ac:dyDescent="0.2">
      <c r="B19" s="11">
        <v>3</v>
      </c>
      <c r="C19" s="12">
        <v>6</v>
      </c>
      <c r="D19" s="61">
        <v>5.0000000000000001E-3</v>
      </c>
      <c r="E19" s="14"/>
      <c r="F19" s="14"/>
      <c r="I19" s="12"/>
      <c r="J19" s="12"/>
    </row>
    <row r="20" spans="2:10" x14ac:dyDescent="0.2">
      <c r="B20" s="11">
        <v>6</v>
      </c>
      <c r="C20" s="12">
        <v>9</v>
      </c>
      <c r="D20" s="61">
        <v>5.1999999999999998E-3</v>
      </c>
      <c r="E20" s="14"/>
      <c r="F20" s="14"/>
      <c r="I20" s="12"/>
      <c r="J20" s="12"/>
    </row>
    <row r="21" spans="2:10" x14ac:dyDescent="0.2">
      <c r="B21" s="11"/>
      <c r="C21" s="12"/>
      <c r="D21" s="61"/>
      <c r="E21" s="14"/>
      <c r="F21" s="12"/>
      <c r="I21" s="12"/>
      <c r="J21" s="12"/>
    </row>
    <row r="22" spans="2:10" x14ac:dyDescent="0.2">
      <c r="B22" s="15" t="s">
        <v>40</v>
      </c>
      <c r="C22" s="12"/>
      <c r="D22" s="61"/>
      <c r="E22" s="12"/>
      <c r="F22" s="12"/>
      <c r="I22" s="12"/>
      <c r="J22" s="12"/>
    </row>
    <row r="23" spans="2:10" x14ac:dyDescent="0.2">
      <c r="B23" s="11"/>
      <c r="C23" s="12"/>
      <c r="D23" s="61"/>
      <c r="E23" s="12"/>
      <c r="F23" s="12"/>
      <c r="I23" s="12"/>
      <c r="J23" s="12"/>
    </row>
    <row r="24" spans="2:10" x14ac:dyDescent="0.2">
      <c r="B24" s="11" t="s">
        <v>7</v>
      </c>
      <c r="D24" s="61">
        <v>5.3E-3</v>
      </c>
      <c r="E24" s="14"/>
      <c r="F24" s="14"/>
      <c r="I24" s="12"/>
      <c r="J24" s="12"/>
    </row>
    <row r="25" spans="2:10" x14ac:dyDescent="0.2">
      <c r="B25" s="11" t="s">
        <v>4</v>
      </c>
      <c r="D25" s="61">
        <v>6.1999999999999998E-3</v>
      </c>
      <c r="E25" s="14"/>
      <c r="F25" s="14"/>
      <c r="I25" s="12"/>
      <c r="J25" s="12"/>
    </row>
    <row r="26" spans="2:10" x14ac:dyDescent="0.2">
      <c r="B26" s="11" t="s">
        <v>5</v>
      </c>
      <c r="D26" s="61">
        <v>5.8300000000000001E-3</v>
      </c>
      <c r="E26" s="14"/>
      <c r="F26" s="14"/>
      <c r="I26" s="12"/>
      <c r="J26" s="12"/>
    </row>
    <row r="27" spans="2:10" ht="15" thickBot="1" x14ac:dyDescent="0.25">
      <c r="B27" s="18" t="s">
        <v>6</v>
      </c>
      <c r="C27" s="19"/>
      <c r="D27" s="62">
        <v>6.45E-3</v>
      </c>
      <c r="E27" s="14"/>
      <c r="F27" s="14"/>
      <c r="I27" s="12"/>
      <c r="J27" s="12"/>
    </row>
    <row r="28" spans="2:10" x14ac:dyDescent="0.2">
      <c r="B28" s="12"/>
      <c r="C28" s="12"/>
      <c r="D28" s="58"/>
      <c r="E28" s="14"/>
      <c r="F28" s="14"/>
      <c r="I28" s="12"/>
      <c r="J28" s="12"/>
    </row>
    <row r="29" spans="2:10" x14ac:dyDescent="0.2">
      <c r="B29" s="12"/>
      <c r="C29" s="12"/>
      <c r="D29" s="58"/>
      <c r="E29" s="14"/>
      <c r="F29" s="14"/>
      <c r="I29" s="12"/>
      <c r="J29" s="12"/>
    </row>
    <row r="30" spans="2:10" x14ac:dyDescent="0.2">
      <c r="B30" s="12"/>
      <c r="C30" s="12"/>
      <c r="D30" s="58"/>
      <c r="E30" s="14"/>
      <c r="F30" s="14"/>
      <c r="I30" s="12"/>
      <c r="J30" s="12"/>
    </row>
    <row r="31" spans="2:10" x14ac:dyDescent="0.2">
      <c r="F31" s="12"/>
      <c r="I31" s="12"/>
      <c r="J31" s="12"/>
    </row>
    <row r="32" spans="2:10" x14ac:dyDescent="0.2">
      <c r="I32" s="49"/>
      <c r="J32" s="49"/>
    </row>
    <row r="33" spans="1:17" x14ac:dyDescent="0.2">
      <c r="I33" s="12"/>
      <c r="J33" s="12"/>
    </row>
    <row r="34" spans="1:17" x14ac:dyDescent="0.2">
      <c r="I34" s="12"/>
      <c r="J34" s="12"/>
    </row>
    <row r="35" spans="1:17" x14ac:dyDescent="0.2">
      <c r="I35" s="12"/>
      <c r="J35" s="12"/>
      <c r="L35" s="6"/>
    </row>
    <row r="36" spans="1:17" x14ac:dyDescent="0.2">
      <c r="A36" s="20" t="s">
        <v>41</v>
      </c>
      <c r="B36" s="21"/>
      <c r="I36" s="12"/>
      <c r="J36" s="12"/>
      <c r="L36" s="6"/>
    </row>
    <row r="37" spans="1:17" ht="30" x14ac:dyDescent="0.2">
      <c r="B37" s="22" t="s">
        <v>42</v>
      </c>
      <c r="C37" s="22" t="s">
        <v>43</v>
      </c>
      <c r="D37" s="22" t="s">
        <v>44</v>
      </c>
      <c r="E37" s="22" t="s">
        <v>45</v>
      </c>
      <c r="F37" s="23" t="s">
        <v>46</v>
      </c>
      <c r="G37" s="22" t="s">
        <v>47</v>
      </c>
      <c r="H37" s="24" t="s">
        <v>48</v>
      </c>
      <c r="L37" s="6"/>
    </row>
    <row r="38" spans="1:17" x14ac:dyDescent="0.2">
      <c r="B38" s="25" t="s">
        <v>49</v>
      </c>
      <c r="C38" s="26">
        <f>C3</f>
        <v>44062</v>
      </c>
      <c r="D38" s="26">
        <f>C38</f>
        <v>44062</v>
      </c>
      <c r="E38" s="27">
        <f>D38-C38</f>
        <v>0</v>
      </c>
      <c r="F38" s="28">
        <v>0</v>
      </c>
      <c r="G38" s="14"/>
      <c r="H38" s="29">
        <v>1</v>
      </c>
      <c r="L38" s="6"/>
      <c r="N38" s="30"/>
      <c r="O38" s="30"/>
    </row>
    <row r="39" spans="1:17" x14ac:dyDescent="0.2">
      <c r="B39" s="25" t="s">
        <v>0</v>
      </c>
      <c r="C39" s="26">
        <f>C38</f>
        <v>44062</v>
      </c>
      <c r="D39" s="26">
        <f>C39+7</f>
        <v>44069</v>
      </c>
      <c r="E39" s="27">
        <f>D39-C39</f>
        <v>7</v>
      </c>
      <c r="F39" s="28">
        <f>E39/365</f>
        <v>1.9178082191780823E-2</v>
      </c>
      <c r="G39" s="58">
        <f>D9</f>
        <v>4.6800000000000001E-3</v>
      </c>
      <c r="H39" s="29">
        <f>1/(1 + (G39*F39))</f>
        <v>0.9999102546302967</v>
      </c>
      <c r="L39" s="6"/>
      <c r="M39" s="30"/>
      <c r="N39" s="30"/>
      <c r="O39" s="30"/>
    </row>
    <row r="40" spans="1:17" x14ac:dyDescent="0.2">
      <c r="B40" s="25" t="s">
        <v>60</v>
      </c>
      <c r="C40" s="26">
        <f>C38</f>
        <v>44062</v>
      </c>
      <c r="D40" s="26">
        <f>EDATE(C40,1)</f>
        <v>44093</v>
      </c>
      <c r="E40" s="27">
        <f t="shared" ref="E40:E42" si="0">D40-C40</f>
        <v>31</v>
      </c>
      <c r="F40" s="28">
        <f t="shared" ref="F40:F42" si="1">E40/365</f>
        <v>8.4931506849315067E-2</v>
      </c>
      <c r="G40" s="58">
        <f>D10</f>
        <v>3.6700000000000001E-3</v>
      </c>
      <c r="H40" s="29">
        <f t="shared" ref="H40:H42" si="2">1/(1 + (G40*F40))</f>
        <v>0.99968839849562507</v>
      </c>
      <c r="L40" s="6"/>
      <c r="M40" s="30"/>
      <c r="N40" s="30"/>
      <c r="O40" s="30"/>
      <c r="P40" s="31"/>
    </row>
    <row r="41" spans="1:17" x14ac:dyDescent="0.2">
      <c r="B41" s="25" t="s">
        <v>61</v>
      </c>
      <c r="C41" s="26">
        <f>C38</f>
        <v>44062</v>
      </c>
      <c r="D41" s="26">
        <f>EDATE(C41,2)</f>
        <v>44123</v>
      </c>
      <c r="E41" s="27">
        <f t="shared" si="0"/>
        <v>61</v>
      </c>
      <c r="F41" s="28">
        <f t="shared" si="1"/>
        <v>0.16712328767123288</v>
      </c>
      <c r="G41" s="58">
        <f>D11</f>
        <v>4.1700000000000001E-3</v>
      </c>
      <c r="H41" s="29">
        <f t="shared" si="2"/>
        <v>0.9993035812275155</v>
      </c>
      <c r="L41" s="6"/>
      <c r="M41" s="30"/>
      <c r="O41" s="30"/>
      <c r="P41" s="31"/>
    </row>
    <row r="42" spans="1:17" x14ac:dyDescent="0.2">
      <c r="B42" s="25" t="s">
        <v>62</v>
      </c>
      <c r="C42" s="26">
        <f>C38</f>
        <v>44062</v>
      </c>
      <c r="D42" s="26">
        <f>EDATE(C42,3)</f>
        <v>44154</v>
      </c>
      <c r="E42" s="27">
        <f t="shared" si="0"/>
        <v>92</v>
      </c>
      <c r="F42" s="28">
        <f t="shared" si="1"/>
        <v>0.25205479452054796</v>
      </c>
      <c r="G42" s="58">
        <f>D12</f>
        <v>4.1700000000000001E-3</v>
      </c>
      <c r="H42" s="29">
        <f t="shared" si="2"/>
        <v>0.99895003509188318</v>
      </c>
      <c r="L42" s="6"/>
      <c r="M42" s="30"/>
      <c r="O42" s="30"/>
      <c r="P42" s="31"/>
    </row>
    <row r="43" spans="1:17" x14ac:dyDescent="0.2">
      <c r="I43" s="12"/>
      <c r="L43" s="6"/>
      <c r="M43" s="30"/>
      <c r="O43" s="30"/>
    </row>
    <row r="44" spans="1:17" x14ac:dyDescent="0.2">
      <c r="A44" s="20" t="s">
        <v>50</v>
      </c>
      <c r="B44" s="21"/>
      <c r="L44" s="6"/>
      <c r="M44" s="30"/>
      <c r="O44" s="30"/>
    </row>
    <row r="45" spans="1:17" ht="31" x14ac:dyDescent="0.25">
      <c r="B45" s="32" t="s">
        <v>51</v>
      </c>
      <c r="C45" s="22" t="s">
        <v>52</v>
      </c>
      <c r="D45" s="22" t="s">
        <v>44</v>
      </c>
      <c r="E45" s="22" t="s">
        <v>45</v>
      </c>
      <c r="F45" s="23" t="s">
        <v>46</v>
      </c>
      <c r="G45" s="22" t="s">
        <v>47</v>
      </c>
      <c r="H45" s="22" t="s">
        <v>53</v>
      </c>
      <c r="I45" s="33" t="s">
        <v>54</v>
      </c>
      <c r="L45" s="6"/>
      <c r="M45" s="30"/>
      <c r="O45" s="30"/>
    </row>
    <row r="46" spans="1:17" x14ac:dyDescent="0.2">
      <c r="A46" s="1" t="s">
        <v>25</v>
      </c>
      <c r="B46" s="34" t="str">
        <f>B17&amp;"x"&amp;C17</f>
        <v>1x4</v>
      </c>
      <c r="C46" s="26">
        <f>EDATE($C$3, B17)</f>
        <v>44093</v>
      </c>
      <c r="D46" s="26">
        <f>EDATE($C$3,C17)</f>
        <v>44184</v>
      </c>
      <c r="E46" s="27">
        <f>D46-C46</f>
        <v>91</v>
      </c>
      <c r="F46" s="28">
        <f t="shared" ref="F46:F49" si="3">E46/365</f>
        <v>0.24931506849315069</v>
      </c>
      <c r="G46" s="58">
        <f>D17</f>
        <v>4.7999999999999996E-3</v>
      </c>
      <c r="H46" s="35">
        <f>VLOOKUP(C46,$D$38:$H$42,5,FALSE)</f>
        <v>0.99968839849562507</v>
      </c>
      <c r="I46" s="36">
        <f>H46 / (1+G46*F46)</f>
        <v>0.99849348902711266</v>
      </c>
    </row>
    <row r="47" spans="1:17" x14ac:dyDescent="0.2">
      <c r="A47" s="1" t="s">
        <v>26</v>
      </c>
      <c r="B47" s="34" t="str">
        <f t="shared" ref="B47:B49" si="4">B18&amp;"x"&amp;C18</f>
        <v>2x5</v>
      </c>
      <c r="C47" s="26">
        <f>EDATE($C$3, B18)</f>
        <v>44123</v>
      </c>
      <c r="D47" s="26">
        <f t="shared" ref="D47:D49" si="5">EDATE($C$3,C18)</f>
        <v>44215</v>
      </c>
      <c r="E47" s="27">
        <f t="shared" ref="E47:E49" si="6">D47-C47</f>
        <v>92</v>
      </c>
      <c r="F47" s="28">
        <f t="shared" si="3"/>
        <v>0.25205479452054796</v>
      </c>
      <c r="G47" s="58">
        <f t="shared" ref="G47:G49" si="7">D18</f>
        <v>4.8999999999999998E-3</v>
      </c>
      <c r="H47" s="35">
        <f t="shared" ref="H47:H48" si="8">VLOOKUP(C47,$D$38:$H$42,5,FALSE)</f>
        <v>0.9993035812275155</v>
      </c>
      <c r="I47" s="36">
        <f t="shared" ref="I47:I49" si="9">H47 / (1+G47*F47)</f>
        <v>0.99807089531078652</v>
      </c>
    </row>
    <row r="48" spans="1:17" x14ac:dyDescent="0.2">
      <c r="A48" s="1" t="s">
        <v>27</v>
      </c>
      <c r="B48" s="34" t="str">
        <f t="shared" si="4"/>
        <v>3x6</v>
      </c>
      <c r="C48" s="26">
        <f t="shared" ref="C48:C49" si="10">EDATE($C$3, B19)</f>
        <v>44154</v>
      </c>
      <c r="D48" s="26">
        <f t="shared" si="5"/>
        <v>44246</v>
      </c>
      <c r="E48" s="27">
        <f t="shared" si="6"/>
        <v>92</v>
      </c>
      <c r="F48" s="28">
        <f t="shared" si="3"/>
        <v>0.25205479452054796</v>
      </c>
      <c r="G48" s="58">
        <f t="shared" si="7"/>
        <v>5.0000000000000001E-3</v>
      </c>
      <c r="H48" s="35">
        <f t="shared" si="8"/>
        <v>0.99895003509188318</v>
      </c>
      <c r="I48" s="36">
        <f t="shared" si="9"/>
        <v>0.99769266898850051</v>
      </c>
      <c r="Q48" s="37"/>
    </row>
    <row r="49" spans="1:17" x14ac:dyDescent="0.2">
      <c r="A49" s="1" t="s">
        <v>28</v>
      </c>
      <c r="B49" s="34" t="str">
        <f t="shared" si="4"/>
        <v>6x9</v>
      </c>
      <c r="C49" s="26">
        <f t="shared" si="10"/>
        <v>44246</v>
      </c>
      <c r="D49" s="26">
        <f t="shared" si="5"/>
        <v>44335</v>
      </c>
      <c r="E49" s="27">
        <f t="shared" si="6"/>
        <v>89</v>
      </c>
      <c r="F49" s="28">
        <f t="shared" si="3"/>
        <v>0.24383561643835616</v>
      </c>
      <c r="G49" s="58">
        <f t="shared" si="7"/>
        <v>5.1999999999999998E-3</v>
      </c>
      <c r="H49" s="56">
        <f>VLOOKUP(C49,$D$46:$I$48,6,FALSE)</f>
        <v>0.99769266898850051</v>
      </c>
      <c r="I49" s="36">
        <f t="shared" si="9"/>
        <v>0.99642925129671944</v>
      </c>
      <c r="Q49" s="37"/>
    </row>
    <row r="52" spans="1:17" x14ac:dyDescent="0.2">
      <c r="A52" s="20" t="s">
        <v>9</v>
      </c>
      <c r="B52" s="21"/>
    </row>
    <row r="53" spans="1:17" ht="30" x14ac:dyDescent="0.2">
      <c r="B53" s="22" t="s">
        <v>8</v>
      </c>
      <c r="C53" s="22" t="s">
        <v>14</v>
      </c>
      <c r="D53" s="22" t="s">
        <v>15</v>
      </c>
      <c r="E53" s="22" t="s">
        <v>21</v>
      </c>
      <c r="F53" s="23" t="s">
        <v>22</v>
      </c>
      <c r="G53" s="22" t="s">
        <v>18</v>
      </c>
      <c r="H53" s="22" t="s">
        <v>20</v>
      </c>
      <c r="I53" s="33" t="s">
        <v>19</v>
      </c>
      <c r="O53" s="1" t="s">
        <v>67</v>
      </c>
      <c r="P53" s="1" t="s">
        <v>68</v>
      </c>
    </row>
    <row r="54" spans="1:17" x14ac:dyDescent="0.2">
      <c r="B54" s="12">
        <v>3</v>
      </c>
      <c r="C54" s="26">
        <f>EDATE($C$3,0)</f>
        <v>44062</v>
      </c>
      <c r="D54" s="26">
        <f>EDATE($C$3,B54)</f>
        <v>44154</v>
      </c>
      <c r="E54" s="27">
        <f t="shared" ref="E54:E69" si="11">D54-C54</f>
        <v>92</v>
      </c>
      <c r="F54" s="28">
        <f t="shared" ref="F54:F69" si="12">E54/365</f>
        <v>0.25205479452054796</v>
      </c>
      <c r="G54" s="12"/>
      <c r="H54" s="28">
        <f>I54*F54</f>
        <v>0.25179014583137882</v>
      </c>
      <c r="I54" s="29">
        <f>VLOOKUP(D54,$D$38:$H$42,5,FALSE)</f>
        <v>0.99895003509188318</v>
      </c>
      <c r="O54" s="1">
        <f>D54-$C$3</f>
        <v>92</v>
      </c>
    </row>
    <row r="55" spans="1:17" x14ac:dyDescent="0.2">
      <c r="B55" s="12">
        <f>B54+3</f>
        <v>6</v>
      </c>
      <c r="C55" s="26">
        <f>EDATE($C$3,B54)</f>
        <v>44154</v>
      </c>
      <c r="D55" s="26">
        <f t="shared" ref="D55:D69" si="13">EDATE($C$3,B55)</f>
        <v>44246</v>
      </c>
      <c r="E55" s="27">
        <f t="shared" si="11"/>
        <v>92</v>
      </c>
      <c r="F55" s="28">
        <f t="shared" si="12"/>
        <v>0.25205479452054796</v>
      </c>
      <c r="G55" s="12"/>
      <c r="H55" s="28">
        <f t="shared" ref="H55:H69" si="14">I55*F55</f>
        <v>0.25147322067655359</v>
      </c>
      <c r="I55" s="29">
        <f>VLOOKUP(D55,$D$46:$I$49,6,FALSE)</f>
        <v>0.99769266898850051</v>
      </c>
      <c r="O55" s="1">
        <f t="shared" ref="O55:O69" si="15">D55-$C$3</f>
        <v>184</v>
      </c>
    </row>
    <row r="56" spans="1:17" x14ac:dyDescent="0.2">
      <c r="B56" s="12">
        <f t="shared" ref="B56:B69" si="16">B55+3</f>
        <v>9</v>
      </c>
      <c r="C56" s="26">
        <f t="shared" ref="C56:C69" si="17">EDATE($C$3,B55)</f>
        <v>44246</v>
      </c>
      <c r="D56" s="26">
        <f t="shared" si="13"/>
        <v>44335</v>
      </c>
      <c r="E56" s="27">
        <f t="shared" si="11"/>
        <v>89</v>
      </c>
      <c r="F56" s="28">
        <f t="shared" si="12"/>
        <v>0.24383561643835616</v>
      </c>
      <c r="G56" s="12"/>
      <c r="H56" s="28">
        <f t="shared" si="14"/>
        <v>0.24296494072714528</v>
      </c>
      <c r="I56" s="29">
        <f>VLOOKUP(D56,$D$46:$I$49,6,FALSE)</f>
        <v>0.99642925129671944</v>
      </c>
      <c r="O56" s="1">
        <f t="shared" si="15"/>
        <v>273</v>
      </c>
    </row>
    <row r="57" spans="1:17" x14ac:dyDescent="0.2">
      <c r="A57" s="1" t="s">
        <v>29</v>
      </c>
      <c r="B57" s="38">
        <f t="shared" si="16"/>
        <v>12</v>
      </c>
      <c r="C57" s="26">
        <f t="shared" si="17"/>
        <v>44335</v>
      </c>
      <c r="D57" s="26">
        <f t="shared" si="13"/>
        <v>44427</v>
      </c>
      <c r="E57" s="27">
        <f t="shared" si="11"/>
        <v>92</v>
      </c>
      <c r="F57" s="28">
        <f t="shared" si="12"/>
        <v>0.25205479452054796</v>
      </c>
      <c r="G57" s="68">
        <f>D24</f>
        <v>5.3E-3</v>
      </c>
      <c r="H57" s="28">
        <f t="shared" si="14"/>
        <v>0.25072297685993233</v>
      </c>
      <c r="I57" s="28">
        <f>(1 - G57 * SUM($H$54:H56)) / (1 + (G57*F57))</f>
        <v>0.9947161581942966</v>
      </c>
      <c r="O57" s="1">
        <f t="shared" si="15"/>
        <v>365</v>
      </c>
    </row>
    <row r="58" spans="1:17" x14ac:dyDescent="0.2">
      <c r="B58" s="12">
        <f t="shared" si="16"/>
        <v>15</v>
      </c>
      <c r="C58" s="26">
        <f t="shared" si="17"/>
        <v>44427</v>
      </c>
      <c r="D58" s="26">
        <f t="shared" si="13"/>
        <v>44519</v>
      </c>
      <c r="E58" s="27">
        <f t="shared" si="11"/>
        <v>92</v>
      </c>
      <c r="F58" s="28">
        <f t="shared" si="12"/>
        <v>0.25205479452054796</v>
      </c>
      <c r="G58" s="69">
        <f>P58</f>
        <v>5.5268493150684933E-3</v>
      </c>
      <c r="H58" s="28">
        <f t="shared" si="14"/>
        <v>0.25031726353623901</v>
      </c>
      <c r="I58" s="28">
        <f>(1 - G58 * SUM($H$54:H57)) / (1 + (G58*F58))</f>
        <v>0.99310653468181775</v>
      </c>
      <c r="O58" s="1">
        <f t="shared" si="15"/>
        <v>457</v>
      </c>
      <c r="P58" s="57">
        <f>$G$57 + (($G$61 -$G$57) * (O58 - $O$57) / ($O$61 - $O$57))</f>
        <v>5.5268493150684933E-3</v>
      </c>
      <c r="Q58" s="1" t="s">
        <v>69</v>
      </c>
    </row>
    <row r="59" spans="1:17" x14ac:dyDescent="0.2">
      <c r="B59" s="12">
        <f t="shared" si="16"/>
        <v>18</v>
      </c>
      <c r="C59" s="26">
        <f t="shared" si="17"/>
        <v>44519</v>
      </c>
      <c r="D59" s="26">
        <f t="shared" si="13"/>
        <v>44611</v>
      </c>
      <c r="E59" s="27">
        <f t="shared" si="11"/>
        <v>92</v>
      </c>
      <c r="F59" s="28">
        <f t="shared" si="12"/>
        <v>0.25205479452054796</v>
      </c>
      <c r="G59" s="69">
        <f>P59</f>
        <v>5.7536986301369858E-3</v>
      </c>
      <c r="H59" s="28">
        <f t="shared" si="14"/>
        <v>0.24988355368906426</v>
      </c>
      <c r="I59" s="28">
        <f>(1 - G59 * SUM($H$54:H58)) / (1 + (G59*F59))</f>
        <v>0.9913858380055266</v>
      </c>
      <c r="O59" s="1">
        <f t="shared" si="15"/>
        <v>549</v>
      </c>
      <c r="P59" s="57">
        <f>$G$57 + (($G$61 -$G$57) * (O59 - $O$57) / ($O$61 - $O$57))</f>
        <v>5.7536986301369858E-3</v>
      </c>
    </row>
    <row r="60" spans="1:17" x14ac:dyDescent="0.2">
      <c r="B60" s="12">
        <f t="shared" si="16"/>
        <v>21</v>
      </c>
      <c r="C60" s="26">
        <f t="shared" si="17"/>
        <v>44611</v>
      </c>
      <c r="D60" s="26">
        <f t="shared" si="13"/>
        <v>44700</v>
      </c>
      <c r="E60" s="27">
        <f t="shared" si="11"/>
        <v>89</v>
      </c>
      <c r="F60" s="28">
        <f t="shared" si="12"/>
        <v>0.24383561643835616</v>
      </c>
      <c r="G60" s="69">
        <f>P60</f>
        <v>5.9731506849315065E-3</v>
      </c>
      <c r="H60" s="28">
        <f t="shared" si="14"/>
        <v>0.24130361326885857</v>
      </c>
      <c r="I60" s="28">
        <f>(1 - G60 * SUM($H$54:H59)) / (1 + (G60*F60))</f>
        <v>0.98961594205767844</v>
      </c>
      <c r="J60" s="28"/>
      <c r="O60" s="1">
        <f t="shared" si="15"/>
        <v>638</v>
      </c>
      <c r="P60" s="57">
        <f>$G$57 + (($G$61 -$G$57) * (O60 - $O$57) / ($O$61 - $O$57))</f>
        <v>5.9731506849315065E-3</v>
      </c>
    </row>
    <row r="61" spans="1:17" x14ac:dyDescent="0.2">
      <c r="A61" s="1" t="s">
        <v>30</v>
      </c>
      <c r="B61" s="38">
        <f t="shared" si="16"/>
        <v>24</v>
      </c>
      <c r="C61" s="26">
        <f t="shared" si="17"/>
        <v>44700</v>
      </c>
      <c r="D61" s="26">
        <f t="shared" si="13"/>
        <v>44792</v>
      </c>
      <c r="E61" s="27">
        <f t="shared" si="11"/>
        <v>92</v>
      </c>
      <c r="F61" s="28">
        <f t="shared" si="12"/>
        <v>0.25205479452054796</v>
      </c>
      <c r="G61" s="68">
        <f>D25</f>
        <v>6.1999999999999998E-3</v>
      </c>
      <c r="H61" s="28">
        <f t="shared" si="14"/>
        <v>0.24894899822414054</v>
      </c>
      <c r="I61" s="28">
        <f>(1 - G61 * SUM($H$54:H60)) / (1 + (G61*F61))</f>
        <v>0.98767809078055757</v>
      </c>
      <c r="J61" s="28"/>
      <c r="O61" s="1">
        <f t="shared" si="15"/>
        <v>730</v>
      </c>
    </row>
    <row r="62" spans="1:17" x14ac:dyDescent="0.2">
      <c r="B62" s="12">
        <f t="shared" si="16"/>
        <v>27</v>
      </c>
      <c r="C62" s="26">
        <f t="shared" si="17"/>
        <v>44792</v>
      </c>
      <c r="D62" s="26">
        <f t="shared" si="13"/>
        <v>44884</v>
      </c>
      <c r="E62" s="27">
        <f t="shared" si="11"/>
        <v>92</v>
      </c>
      <c r="F62" s="28">
        <f t="shared" si="12"/>
        <v>0.25205479452054796</v>
      </c>
      <c r="G62" s="69">
        <f>P62</f>
        <v>6.106739726027397E-3</v>
      </c>
      <c r="H62" s="28">
        <f t="shared" si="14"/>
        <v>0.24861304214353053</v>
      </c>
      <c r="I62" s="28">
        <f>(1 - G62 * SUM($H$54:H61)) / (1 + (G62*F62))</f>
        <v>0.98634522154770254</v>
      </c>
      <c r="J62" s="28"/>
      <c r="O62" s="1">
        <f t="shared" si="15"/>
        <v>822</v>
      </c>
      <c r="P62" s="57">
        <f>$G$61 + (($G$65 -$G$61) * (O62 - $O$61) / ($O$65 - $O$61))</f>
        <v>6.106739726027397E-3</v>
      </c>
    </row>
    <row r="63" spans="1:17" x14ac:dyDescent="0.2">
      <c r="B63" s="12">
        <f t="shared" si="16"/>
        <v>30</v>
      </c>
      <c r="C63" s="26">
        <f t="shared" si="17"/>
        <v>44884</v>
      </c>
      <c r="D63" s="26">
        <f t="shared" si="13"/>
        <v>44976</v>
      </c>
      <c r="E63" s="27">
        <f t="shared" si="11"/>
        <v>92</v>
      </c>
      <c r="F63" s="28">
        <f t="shared" si="12"/>
        <v>0.25205479452054796</v>
      </c>
      <c r="G63" s="69">
        <f>P63</f>
        <v>6.0134794520547942E-3</v>
      </c>
      <c r="H63" s="28">
        <f t="shared" si="14"/>
        <v>0.24828926496450929</v>
      </c>
      <c r="I63" s="28">
        <f>(1 - G63 * SUM($H$54:H62)) / (1 + (G63*F63))</f>
        <v>0.98506067078310744</v>
      </c>
      <c r="J63" s="28"/>
      <c r="O63" s="1">
        <f t="shared" si="15"/>
        <v>914</v>
      </c>
      <c r="P63" s="57">
        <f>$G$61 + (($G$65 -$G$61) * (O63 - $O$61) / ($O$65 - $O$61))</f>
        <v>6.0134794520547942E-3</v>
      </c>
    </row>
    <row r="64" spans="1:17" x14ac:dyDescent="0.2">
      <c r="B64" s="12">
        <f t="shared" si="16"/>
        <v>33</v>
      </c>
      <c r="C64" s="26">
        <f t="shared" si="17"/>
        <v>44976</v>
      </c>
      <c r="D64" s="26">
        <f t="shared" si="13"/>
        <v>45065</v>
      </c>
      <c r="E64" s="27">
        <f t="shared" si="11"/>
        <v>89</v>
      </c>
      <c r="F64" s="28">
        <f t="shared" si="12"/>
        <v>0.24383561643835616</v>
      </c>
      <c r="G64" s="69">
        <f>P64</f>
        <v>5.9232602739726029E-3</v>
      </c>
      <c r="H64" s="28">
        <f t="shared" si="14"/>
        <v>0.23990103778193295</v>
      </c>
      <c r="I64" s="28">
        <f>(1 - G64 * SUM($H$54:H63)) / (1 + (G64*F64))</f>
        <v>0.98386380663376993</v>
      </c>
      <c r="J64" s="28"/>
      <c r="O64" s="1">
        <f t="shared" si="15"/>
        <v>1003</v>
      </c>
      <c r="P64" s="57">
        <f>$G$61 + (($G$65 -$G$61) * (O64 - $O$61) / ($O$65 - $O$61))</f>
        <v>5.9232602739726029E-3</v>
      </c>
    </row>
    <row r="65" spans="1:16" x14ac:dyDescent="0.2">
      <c r="A65" s="1" t="s">
        <v>31</v>
      </c>
      <c r="B65" s="38">
        <f t="shared" si="16"/>
        <v>36</v>
      </c>
      <c r="C65" s="26">
        <f t="shared" si="17"/>
        <v>45065</v>
      </c>
      <c r="D65" s="26">
        <f t="shared" si="13"/>
        <v>45157</v>
      </c>
      <c r="E65" s="27">
        <f t="shared" si="11"/>
        <v>92</v>
      </c>
      <c r="F65" s="28">
        <f t="shared" si="12"/>
        <v>0.25205479452054796</v>
      </c>
      <c r="G65" s="68">
        <f>D26</f>
        <v>5.8300000000000001E-3</v>
      </c>
      <c r="H65" s="28">
        <f t="shared" si="14"/>
        <v>0.24768765483731978</v>
      </c>
      <c r="I65" s="28">
        <f>(1 - G65 * SUM($H$54:H64)) / (1 + (G65*F65))</f>
        <v>0.98267384799588819</v>
      </c>
      <c r="J65" s="28"/>
      <c r="O65" s="1">
        <f t="shared" si="15"/>
        <v>1095</v>
      </c>
    </row>
    <row r="66" spans="1:16" x14ac:dyDescent="0.2">
      <c r="B66" s="12">
        <f t="shared" si="16"/>
        <v>39</v>
      </c>
      <c r="C66" s="26">
        <f t="shared" si="17"/>
        <v>45157</v>
      </c>
      <c r="D66" s="26">
        <f t="shared" si="13"/>
        <v>45249</v>
      </c>
      <c r="E66" s="27">
        <f t="shared" si="11"/>
        <v>92</v>
      </c>
      <c r="F66" s="28">
        <f t="shared" si="12"/>
        <v>0.25205479452054796</v>
      </c>
      <c r="G66" s="69">
        <f t="shared" ref="G66:G68" si="18">P66</f>
        <v>5.9858469945355194E-3</v>
      </c>
      <c r="H66" s="28">
        <f t="shared" si="14"/>
        <v>0.24719795014907833</v>
      </c>
      <c r="I66" s="28">
        <f>(1 - G66 * SUM($H$54:H65)) / (1 + (G66*F66))</f>
        <v>0.98073099787406071</v>
      </c>
      <c r="J66" s="28"/>
      <c r="O66" s="1">
        <f t="shared" si="15"/>
        <v>1187</v>
      </c>
      <c r="P66" s="57">
        <f>$G$65 + (($G$69 -$G$65) * (O66 - $O$65) / ($O$69 - $O$65))</f>
        <v>5.9858469945355194E-3</v>
      </c>
    </row>
    <row r="67" spans="1:16" x14ac:dyDescent="0.2">
      <c r="B67" s="12">
        <f t="shared" si="16"/>
        <v>42</v>
      </c>
      <c r="C67" s="26">
        <f t="shared" si="17"/>
        <v>45249</v>
      </c>
      <c r="D67" s="26">
        <f t="shared" si="13"/>
        <v>45341</v>
      </c>
      <c r="E67" s="27">
        <f t="shared" si="11"/>
        <v>92</v>
      </c>
      <c r="F67" s="28">
        <f t="shared" si="12"/>
        <v>0.25205479452054796</v>
      </c>
      <c r="G67" s="69">
        <f t="shared" si="18"/>
        <v>6.1416939890710388E-3</v>
      </c>
      <c r="H67" s="28">
        <f t="shared" si="14"/>
        <v>0.24668961154012622</v>
      </c>
      <c r="I67" s="28">
        <f>(1 - G67 * SUM($H$54:H66)) / (1 + (G67*F67))</f>
        <v>0.97871421969723982</v>
      </c>
      <c r="J67" s="28"/>
      <c r="O67" s="1">
        <f t="shared" si="15"/>
        <v>1279</v>
      </c>
      <c r="P67" s="57">
        <f>$G$65 + (($G$69 -$G$65) * (O67 - $O$65) / ($O$69 - $O$65))</f>
        <v>6.1416939890710388E-3</v>
      </c>
    </row>
    <row r="68" spans="1:16" x14ac:dyDescent="0.2">
      <c r="B68" s="12">
        <f t="shared" si="16"/>
        <v>45</v>
      </c>
      <c r="C68" s="26">
        <f t="shared" si="17"/>
        <v>45341</v>
      </c>
      <c r="D68" s="26">
        <f t="shared" si="13"/>
        <v>45431</v>
      </c>
      <c r="E68" s="27">
        <f t="shared" si="11"/>
        <v>90</v>
      </c>
      <c r="F68" s="28">
        <f t="shared" si="12"/>
        <v>0.24657534246575341</v>
      </c>
      <c r="G68" s="69">
        <f t="shared" si="18"/>
        <v>6.2941530054644807E-3</v>
      </c>
      <c r="H68" s="28">
        <f t="shared" si="14"/>
        <v>0.24082275317241045</v>
      </c>
      <c r="I68" s="28">
        <f>(1 - G68 * SUM($H$54:H67)) / (1 + (G68*F68))</f>
        <v>0.97667005453255351</v>
      </c>
      <c r="J68" s="28"/>
      <c r="O68" s="1">
        <f t="shared" si="15"/>
        <v>1369</v>
      </c>
      <c r="P68" s="57">
        <f>$G$65 + (($G$69 -$G$65) * (O68 - $O$65) / ($O$69 - $O$65))</f>
        <v>6.2941530054644807E-3</v>
      </c>
    </row>
    <row r="69" spans="1:16" x14ac:dyDescent="0.2">
      <c r="A69" s="1" t="s">
        <v>32</v>
      </c>
      <c r="B69" s="38">
        <f t="shared" si="16"/>
        <v>48</v>
      </c>
      <c r="C69" s="26">
        <f t="shared" si="17"/>
        <v>45431</v>
      </c>
      <c r="D69" s="26">
        <f t="shared" si="13"/>
        <v>45523</v>
      </c>
      <c r="E69" s="27">
        <f t="shared" si="11"/>
        <v>92</v>
      </c>
      <c r="F69" s="28">
        <f t="shared" si="12"/>
        <v>0.25205479452054796</v>
      </c>
      <c r="G69" s="68">
        <f>D27</f>
        <v>6.45E-3</v>
      </c>
      <c r="H69" s="28">
        <f t="shared" si="14"/>
        <v>0.24562943418382149</v>
      </c>
      <c r="I69" s="28">
        <f>(1 - G69 * SUM($H$54:H68)) / (1 + (G69*F69))</f>
        <v>0.97450808127277</v>
      </c>
      <c r="J69" s="28"/>
      <c r="O69" s="1">
        <f t="shared" si="15"/>
        <v>1461</v>
      </c>
    </row>
    <row r="70" spans="1:16" x14ac:dyDescent="0.2">
      <c r="B70" s="12"/>
      <c r="C70" s="26"/>
      <c r="D70" s="26"/>
      <c r="E70" s="27"/>
      <c r="F70" s="28"/>
      <c r="G70" s="39"/>
      <c r="H70" s="28"/>
      <c r="I70" s="28"/>
      <c r="J70" s="28"/>
      <c r="P70" s="57"/>
    </row>
    <row r="71" spans="1:16" x14ac:dyDescent="0.2">
      <c r="B71" s="63"/>
      <c r="C71" s="64"/>
      <c r="D71" s="64"/>
      <c r="E71" s="65"/>
      <c r="F71" s="66"/>
      <c r="G71" s="67"/>
      <c r="H71" s="28"/>
      <c r="I71" s="28"/>
      <c r="J71" s="28"/>
      <c r="P71" s="57"/>
    </row>
    <row r="72" spans="1:16" x14ac:dyDescent="0.2">
      <c r="B72" s="63"/>
      <c r="C72" s="64"/>
      <c r="D72" s="64"/>
      <c r="E72" s="65"/>
      <c r="F72" s="66"/>
      <c r="G72" s="67"/>
      <c r="H72" s="28"/>
      <c r="I72" s="28"/>
      <c r="J72" s="28"/>
      <c r="P72" s="57"/>
    </row>
    <row r="73" spans="1:16" x14ac:dyDescent="0.2">
      <c r="A73" s="47" t="s">
        <v>55</v>
      </c>
      <c r="B73" s="47"/>
      <c r="C73" s="48"/>
    </row>
    <row r="74" spans="1:16" ht="15" thickBot="1" x14ac:dyDescent="0.25">
      <c r="A74" s="4"/>
      <c r="B74" s="4"/>
      <c r="C74" s="12"/>
      <c r="D74" s="12"/>
      <c r="E74" s="12"/>
      <c r="F74" s="12"/>
    </row>
    <row r="75" spans="1:16" ht="46" thickBot="1" x14ac:dyDescent="0.25">
      <c r="A75" s="4"/>
      <c r="B75" s="4"/>
      <c r="C75" s="40" t="s">
        <v>23</v>
      </c>
      <c r="D75" s="41" t="s">
        <v>36</v>
      </c>
      <c r="E75" s="42" t="s">
        <v>58</v>
      </c>
      <c r="F75" s="52" t="s">
        <v>59</v>
      </c>
    </row>
    <row r="76" spans="1:16" x14ac:dyDescent="0.2">
      <c r="A76" s="4" t="s">
        <v>10</v>
      </c>
      <c r="B76" s="43" t="s">
        <v>57</v>
      </c>
      <c r="C76" s="44">
        <f>C3</f>
        <v>44062</v>
      </c>
      <c r="D76" s="45">
        <f>C76 - $C$3</f>
        <v>0</v>
      </c>
      <c r="E76" s="29">
        <f>VLOOKUP(C76,$D$38:$H$42,5,FALSE)</f>
        <v>1</v>
      </c>
      <c r="F76" s="50"/>
    </row>
    <row r="77" spans="1:16" x14ac:dyDescent="0.2">
      <c r="A77" s="4"/>
      <c r="B77" s="43" t="s">
        <v>0</v>
      </c>
      <c r="C77" s="44">
        <f>D39</f>
        <v>44069</v>
      </c>
      <c r="D77" s="45">
        <f t="shared" ref="D77:D97" si="19">C77 - $C$3</f>
        <v>7</v>
      </c>
      <c r="E77" s="29">
        <f>VLOOKUP(C77,$D$38:$H$42,5,FALSE)</f>
        <v>0.9999102546302967</v>
      </c>
      <c r="F77" s="51">
        <f t="shared" ref="F77:F97" si="20">((1 / E77)^(1/(D77/365))) - 1</f>
        <v>4.6907573083021514E-3</v>
      </c>
    </row>
    <row r="78" spans="1:16" x14ac:dyDescent="0.2">
      <c r="A78" s="4"/>
      <c r="B78" s="43" t="s">
        <v>60</v>
      </c>
      <c r="C78" s="44">
        <f>D40</f>
        <v>44093</v>
      </c>
      <c r="D78" s="45">
        <f t="shared" si="19"/>
        <v>31</v>
      </c>
      <c r="E78" s="29">
        <f>VLOOKUP(C78,$D$38:$H$42,5,FALSE)</f>
        <v>0.99968839849562507</v>
      </c>
      <c r="F78" s="51">
        <f t="shared" si="20"/>
        <v>3.6761687455075798E-3</v>
      </c>
    </row>
    <row r="79" spans="1:16" x14ac:dyDescent="0.2">
      <c r="A79" s="4"/>
      <c r="B79" s="43" t="s">
        <v>61</v>
      </c>
      <c r="C79" s="44">
        <f>D41</f>
        <v>44123</v>
      </c>
      <c r="D79" s="45">
        <f t="shared" si="19"/>
        <v>61</v>
      </c>
      <c r="E79" s="29">
        <f t="shared" ref="E79" si="21">VLOOKUP(C79,$D$38:$H$42,5,FALSE)</f>
        <v>0.9993035812275155</v>
      </c>
      <c r="F79" s="51">
        <f t="shared" si="20"/>
        <v>4.1772481095918579E-3</v>
      </c>
    </row>
    <row r="80" spans="1:16" x14ac:dyDescent="0.2">
      <c r="A80" s="4"/>
      <c r="B80" s="43" t="s">
        <v>62</v>
      </c>
      <c r="C80" s="44">
        <f>D42</f>
        <v>44154</v>
      </c>
      <c r="D80" s="45">
        <f t="shared" si="19"/>
        <v>92</v>
      </c>
      <c r="E80" s="29">
        <f>VLOOKUP(C80,$D$38:$H$42,5,FALSE)</f>
        <v>0.99895003509188318</v>
      </c>
      <c r="F80" s="51">
        <f t="shared" si="20"/>
        <v>4.1765074557496007E-3</v>
      </c>
    </row>
    <row r="81" spans="1:6" x14ac:dyDescent="0.2">
      <c r="A81" s="4" t="s">
        <v>11</v>
      </c>
      <c r="B81" s="43" t="s">
        <v>63</v>
      </c>
      <c r="C81" s="44">
        <f>D46</f>
        <v>44184</v>
      </c>
      <c r="D81" s="45">
        <f t="shared" si="19"/>
        <v>122</v>
      </c>
      <c r="E81" s="29">
        <f>VLOOKUP(C81,$D$46:$I$49,6,FALSE)</f>
        <v>0.99849348902711266</v>
      </c>
      <c r="F81" s="51">
        <f t="shared" si="20"/>
        <v>4.5207709345600477E-3</v>
      </c>
    </row>
    <row r="82" spans="1:6" x14ac:dyDescent="0.2">
      <c r="A82" s="4"/>
      <c r="B82" s="43" t="s">
        <v>64</v>
      </c>
      <c r="C82" s="44">
        <f>D47</f>
        <v>44215</v>
      </c>
      <c r="D82" s="45">
        <f t="shared" si="19"/>
        <v>153</v>
      </c>
      <c r="E82" s="29">
        <f t="shared" ref="E82:E83" si="22">VLOOKUP(C82,$D$46:$I$49,6,FALSE)</f>
        <v>0.99807089531078652</v>
      </c>
      <c r="F82" s="51">
        <f t="shared" si="20"/>
        <v>4.6171836848698522E-3</v>
      </c>
    </row>
    <row r="83" spans="1:6" x14ac:dyDescent="0.2">
      <c r="A83" s="4"/>
      <c r="B83" s="43" t="s">
        <v>65</v>
      </c>
      <c r="C83" s="44">
        <f>D48</f>
        <v>44246</v>
      </c>
      <c r="D83" s="45">
        <f t="shared" si="19"/>
        <v>184</v>
      </c>
      <c r="E83" s="29">
        <f t="shared" si="22"/>
        <v>0.99769266898850051</v>
      </c>
      <c r="F83" s="51">
        <f t="shared" si="20"/>
        <v>4.5928459417163836E-3</v>
      </c>
    </row>
    <row r="84" spans="1:6" x14ac:dyDescent="0.2">
      <c r="A84" s="4"/>
      <c r="B84" s="43" t="s">
        <v>66</v>
      </c>
      <c r="C84" s="44">
        <f>D49</f>
        <v>44335</v>
      </c>
      <c r="D84" s="45">
        <f t="shared" si="19"/>
        <v>273</v>
      </c>
      <c r="E84" s="29">
        <f>VLOOKUP(C84,$D$46:$I$49,6,FALSE)</f>
        <v>0.99642925129671944</v>
      </c>
      <c r="F84" s="51">
        <f t="shared" si="20"/>
        <v>4.7940767876160084E-3</v>
      </c>
    </row>
    <row r="85" spans="1:6" x14ac:dyDescent="0.2">
      <c r="A85" s="4" t="s">
        <v>12</v>
      </c>
      <c r="B85" s="4" t="s">
        <v>24</v>
      </c>
      <c r="C85" s="44">
        <f t="shared" ref="C85:C97" si="23">D57</f>
        <v>44427</v>
      </c>
      <c r="D85" s="45">
        <f t="shared" si="19"/>
        <v>365</v>
      </c>
      <c r="E85" s="29">
        <f t="shared" ref="E85:E97" si="24">VLOOKUP(C85,$D$54:$I$72,6,FALSE)</f>
        <v>0.9947161581942966</v>
      </c>
      <c r="F85" s="51">
        <f t="shared" si="20"/>
        <v>5.3119090930373591E-3</v>
      </c>
    </row>
    <row r="86" spans="1:6" x14ac:dyDescent="0.2">
      <c r="A86" s="4"/>
      <c r="B86" s="4"/>
      <c r="C86" s="44">
        <f t="shared" si="23"/>
        <v>44519</v>
      </c>
      <c r="D86" s="45">
        <f t="shared" si="19"/>
        <v>457</v>
      </c>
      <c r="E86" s="29">
        <f t="shared" si="24"/>
        <v>0.99310653468181775</v>
      </c>
      <c r="F86" s="51">
        <f t="shared" si="20"/>
        <v>5.5400759434942604E-3</v>
      </c>
    </row>
    <row r="87" spans="1:6" x14ac:dyDescent="0.2">
      <c r="A87" s="4"/>
      <c r="B87" s="4"/>
      <c r="C87" s="44">
        <f t="shared" si="23"/>
        <v>44611</v>
      </c>
      <c r="D87" s="45">
        <f t="shared" si="19"/>
        <v>549</v>
      </c>
      <c r="E87" s="29">
        <f t="shared" si="24"/>
        <v>0.9913858380055266</v>
      </c>
      <c r="F87" s="51">
        <f t="shared" si="20"/>
        <v>5.7684675171896238E-3</v>
      </c>
    </row>
    <row r="88" spans="1:6" x14ac:dyDescent="0.2">
      <c r="A88" s="4"/>
      <c r="B88" s="4"/>
      <c r="C88" s="44">
        <f t="shared" si="23"/>
        <v>44700</v>
      </c>
      <c r="D88" s="45">
        <f t="shared" si="19"/>
        <v>638</v>
      </c>
      <c r="E88" s="29">
        <f t="shared" si="24"/>
        <v>0.98961594205767844</v>
      </c>
      <c r="F88" s="51">
        <f t="shared" si="20"/>
        <v>5.9896490526307744E-3</v>
      </c>
    </row>
    <row r="89" spans="1:6" x14ac:dyDescent="0.2">
      <c r="A89" s="4"/>
      <c r="B89" s="4" t="s">
        <v>30</v>
      </c>
      <c r="C89" s="44">
        <f t="shared" si="23"/>
        <v>44792</v>
      </c>
      <c r="D89" s="45">
        <f t="shared" si="19"/>
        <v>730</v>
      </c>
      <c r="E89" s="29">
        <f t="shared" si="24"/>
        <v>0.98767809078055757</v>
      </c>
      <c r="F89" s="51">
        <f t="shared" si="20"/>
        <v>6.2184816602637305E-3</v>
      </c>
    </row>
    <row r="90" spans="1:6" x14ac:dyDescent="0.2">
      <c r="A90" s="4"/>
      <c r="B90" s="4"/>
      <c r="C90" s="44">
        <f t="shared" si="23"/>
        <v>44884</v>
      </c>
      <c r="D90" s="45">
        <f t="shared" si="19"/>
        <v>822</v>
      </c>
      <c r="E90" s="29">
        <f t="shared" si="24"/>
        <v>0.98634522154770254</v>
      </c>
      <c r="F90" s="51">
        <f t="shared" si="20"/>
        <v>6.1237038126311649E-3</v>
      </c>
    </row>
    <row r="91" spans="1:6" x14ac:dyDescent="0.2">
      <c r="A91" s="4"/>
      <c r="B91" s="4"/>
      <c r="C91" s="44">
        <f t="shared" si="23"/>
        <v>44976</v>
      </c>
      <c r="D91" s="45">
        <f t="shared" si="19"/>
        <v>914</v>
      </c>
      <c r="E91" s="29">
        <f t="shared" si="24"/>
        <v>0.98506067078310744</v>
      </c>
      <c r="F91" s="51">
        <f t="shared" si="20"/>
        <v>6.0290389425095015E-3</v>
      </c>
    </row>
    <row r="92" spans="1:6" x14ac:dyDescent="0.2">
      <c r="A92" s="4"/>
      <c r="B92" s="4"/>
      <c r="C92" s="44">
        <f t="shared" si="23"/>
        <v>45065</v>
      </c>
      <c r="D92" s="45">
        <f t="shared" si="19"/>
        <v>1003</v>
      </c>
      <c r="E92" s="29">
        <f t="shared" si="24"/>
        <v>0.98386380663376993</v>
      </c>
      <c r="F92" s="51">
        <f t="shared" si="20"/>
        <v>5.937544573241027E-3</v>
      </c>
    </row>
    <row r="93" spans="1:6" x14ac:dyDescent="0.2">
      <c r="A93" s="4"/>
      <c r="B93" s="4" t="s">
        <v>31</v>
      </c>
      <c r="C93" s="44">
        <f t="shared" si="23"/>
        <v>45157</v>
      </c>
      <c r="D93" s="45">
        <f t="shared" si="19"/>
        <v>1095</v>
      </c>
      <c r="E93" s="29">
        <f t="shared" si="24"/>
        <v>0.98267384799588819</v>
      </c>
      <c r="F93" s="51">
        <f t="shared" si="20"/>
        <v>5.8430062785690406E-3</v>
      </c>
    </row>
    <row r="94" spans="1:6" x14ac:dyDescent="0.2">
      <c r="A94" s="4"/>
      <c r="B94" s="4"/>
      <c r="C94" s="44">
        <f t="shared" si="23"/>
        <v>45249</v>
      </c>
      <c r="D94" s="45">
        <f t="shared" si="19"/>
        <v>1187</v>
      </c>
      <c r="E94" s="29">
        <f t="shared" si="24"/>
        <v>0.98073099787406071</v>
      </c>
      <c r="F94" s="51">
        <f t="shared" si="20"/>
        <v>6.0009417319188962E-3</v>
      </c>
    </row>
    <row r="95" spans="1:6" x14ac:dyDescent="0.2">
      <c r="A95" s="4"/>
      <c r="B95" s="4"/>
      <c r="C95" s="44">
        <f t="shared" si="23"/>
        <v>45341</v>
      </c>
      <c r="D95" s="45">
        <f t="shared" si="19"/>
        <v>1279</v>
      </c>
      <c r="E95" s="29">
        <f t="shared" si="24"/>
        <v>0.97871421969723982</v>
      </c>
      <c r="F95" s="51">
        <f t="shared" si="20"/>
        <v>6.1589908346082467E-3</v>
      </c>
    </row>
    <row r="96" spans="1:6" x14ac:dyDescent="0.2">
      <c r="A96" s="4"/>
      <c r="B96" s="4"/>
      <c r="C96" s="44">
        <f t="shared" si="23"/>
        <v>45431</v>
      </c>
      <c r="D96" s="45">
        <f t="shared" si="19"/>
        <v>1369</v>
      </c>
      <c r="E96" s="29">
        <f t="shared" si="24"/>
        <v>0.97667005453255351</v>
      </c>
      <c r="F96" s="51">
        <f t="shared" si="20"/>
        <v>6.3137377304873787E-3</v>
      </c>
    </row>
    <row r="97" spans="1:6" x14ac:dyDescent="0.2">
      <c r="A97" s="4"/>
      <c r="B97" s="4" t="s">
        <v>32</v>
      </c>
      <c r="C97" s="44">
        <f t="shared" si="23"/>
        <v>45523</v>
      </c>
      <c r="D97" s="45">
        <f t="shared" si="19"/>
        <v>1461</v>
      </c>
      <c r="E97" s="29">
        <f t="shared" si="24"/>
        <v>0.97450808127277</v>
      </c>
      <c r="F97" s="51">
        <f t="shared" si="20"/>
        <v>6.4720520029366568E-3</v>
      </c>
    </row>
    <row r="98" spans="1:6" customFormat="1" ht="13" x14ac:dyDescent="0.15"/>
    <row r="99" spans="1:6" customFormat="1" ht="13" x14ac:dyDescent="0.15"/>
    <row r="100" spans="1:6" customFormat="1" ht="13" x14ac:dyDescent="0.15"/>
    <row r="101" spans="1:6" customFormat="1" x14ac:dyDescent="0.2">
      <c r="A101" s="77" t="s">
        <v>70</v>
      </c>
      <c r="B101" s="77"/>
      <c r="C101" s="70"/>
    </row>
    <row r="102" spans="1:6" customFormat="1" ht="15" thickBot="1" x14ac:dyDescent="0.25">
      <c r="C102" s="70"/>
      <c r="D102" s="72"/>
    </row>
    <row r="103" spans="1:6" customFormat="1" ht="15" thickBot="1" x14ac:dyDescent="0.25">
      <c r="A103" s="79"/>
      <c r="B103" s="78" t="s">
        <v>71</v>
      </c>
      <c r="D103" s="70"/>
    </row>
    <row r="104" spans="1:6" customFormat="1" x14ac:dyDescent="0.2">
      <c r="A104" s="80"/>
      <c r="B104" t="s">
        <v>72</v>
      </c>
      <c r="C104" s="70">
        <v>3</v>
      </c>
    </row>
    <row r="105" spans="1:6" customFormat="1" ht="57" x14ac:dyDescent="0.2">
      <c r="A105" s="81"/>
      <c r="B105" s="73" t="s">
        <v>73</v>
      </c>
      <c r="C105">
        <v>3</v>
      </c>
      <c r="D105" t="s">
        <v>78</v>
      </c>
      <c r="E105" s="70"/>
      <c r="F105" s="70"/>
    </row>
    <row r="106" spans="1:6" customFormat="1" x14ac:dyDescent="0.2">
      <c r="A106" s="80"/>
      <c r="B106" t="s">
        <v>74</v>
      </c>
      <c r="C106" s="74">
        <v>1000000</v>
      </c>
      <c r="D106" s="71"/>
      <c r="E106" s="70"/>
      <c r="F106" s="70"/>
    </row>
    <row r="107" spans="1:6" customFormat="1" x14ac:dyDescent="0.2">
      <c r="A107" s="80"/>
      <c r="B107" t="s">
        <v>75</v>
      </c>
      <c r="C107" s="75">
        <v>5.8300000000000001E-3</v>
      </c>
      <c r="D107" s="71"/>
      <c r="E107" s="70"/>
      <c r="F107" s="70"/>
    </row>
    <row r="108" spans="1:6" customFormat="1" x14ac:dyDescent="0.2">
      <c r="A108" s="80"/>
      <c r="B108" t="s">
        <v>76</v>
      </c>
      <c r="C108" s="76">
        <v>44062</v>
      </c>
      <c r="D108" s="71"/>
      <c r="E108" s="70"/>
      <c r="F108" s="70"/>
    </row>
    <row r="109" spans="1:6" customFormat="1" x14ac:dyDescent="0.2">
      <c r="A109" s="80"/>
      <c r="B109" t="s">
        <v>77</v>
      </c>
      <c r="C109" s="76">
        <v>45157</v>
      </c>
      <c r="D109" s="71"/>
      <c r="E109" s="70"/>
      <c r="F109" s="70"/>
    </row>
    <row r="110" spans="1:6" customFormat="1" ht="15" thickBot="1" x14ac:dyDescent="0.25">
      <c r="A110" s="80"/>
      <c r="D110" s="71"/>
      <c r="E110" s="70"/>
      <c r="F110" s="70"/>
    </row>
    <row r="111" spans="1:6" customFormat="1" ht="15" thickBot="1" x14ac:dyDescent="0.25">
      <c r="A111" s="79"/>
      <c r="B111" s="78" t="s">
        <v>79</v>
      </c>
      <c r="D111" s="71"/>
      <c r="E111" s="70"/>
      <c r="F111" s="70"/>
    </row>
    <row r="112" spans="1:6" customFormat="1" x14ac:dyDescent="0.2">
      <c r="C112" s="71"/>
      <c r="D112" s="70"/>
      <c r="E112" s="70"/>
      <c r="F112" s="70"/>
    </row>
    <row r="113" spans="1:7" customFormat="1" ht="30" x14ac:dyDescent="0.2">
      <c r="B113" s="83" t="s">
        <v>2</v>
      </c>
      <c r="C113" s="84" t="s">
        <v>3</v>
      </c>
      <c r="D113" s="70" t="s">
        <v>80</v>
      </c>
      <c r="E113" s="70" t="s">
        <v>81</v>
      </c>
      <c r="F113" s="85" t="s">
        <v>83</v>
      </c>
      <c r="G113" s="70" t="s">
        <v>82</v>
      </c>
    </row>
    <row r="114" spans="1:7" customFormat="1" x14ac:dyDescent="0.2">
      <c r="A114" s="76"/>
      <c r="B114" s="82">
        <f>C108</f>
        <v>44062</v>
      </c>
      <c r="C114" s="82">
        <f>EDATE(B114,$C$105)</f>
        <v>44154</v>
      </c>
      <c r="D114" s="70">
        <f>C114-B114</f>
        <v>92</v>
      </c>
      <c r="E114">
        <f>($C$107 / 365) * D114 * $C$106</f>
        <v>1469.4794520547946</v>
      </c>
      <c r="F114" s="29">
        <f>VLOOKUP(C114,$C$76:$F$97,3,FALSE)</f>
        <v>0.99895003509188318</v>
      </c>
      <c r="G114">
        <f>E114 * F114</f>
        <v>1467.9365501969382</v>
      </c>
    </row>
    <row r="115" spans="1:7" customFormat="1" x14ac:dyDescent="0.2">
      <c r="B115" s="82">
        <f>EDATE(B114,$C$105)</f>
        <v>44154</v>
      </c>
      <c r="C115" s="82">
        <f>EDATE(C114,$C$105)</f>
        <v>44246</v>
      </c>
      <c r="D115" s="70">
        <f t="shared" ref="D115:D125" si="25">C115-B115</f>
        <v>92</v>
      </c>
      <c r="E115">
        <f t="shared" ref="E115:E125" si="26">($C$107 / 365) * D115 * $C$106</f>
        <v>1469.4794520547946</v>
      </c>
      <c r="F115" s="29">
        <f t="shared" ref="F115:F125" si="27">VLOOKUP(C115,$C$76:$F$97,3,FALSE)</f>
        <v>0.99769266898850051</v>
      </c>
      <c r="G115">
        <f t="shared" ref="G115:G125" si="28">E115 * F115</f>
        <v>1466.0888765443074</v>
      </c>
    </row>
    <row r="116" spans="1:7" customFormat="1" x14ac:dyDescent="0.2">
      <c r="B116" s="82">
        <f t="shared" ref="B116:B125" si="29">EDATE(B115,$C$105)</f>
        <v>44246</v>
      </c>
      <c r="C116" s="82">
        <f t="shared" ref="C116:C125" si="30">EDATE(C115,$C$105)</f>
        <v>44335</v>
      </c>
      <c r="D116" s="70">
        <f t="shared" si="25"/>
        <v>89</v>
      </c>
      <c r="E116">
        <f t="shared" si="26"/>
        <v>1421.5616438356165</v>
      </c>
      <c r="F116" s="29">
        <f t="shared" si="27"/>
        <v>0.99642925129671944</v>
      </c>
      <c r="G116">
        <f t="shared" si="28"/>
        <v>1416.485604439257</v>
      </c>
    </row>
    <row r="117" spans="1:7" customFormat="1" x14ac:dyDescent="0.2">
      <c r="B117" s="82">
        <f t="shared" si="29"/>
        <v>44335</v>
      </c>
      <c r="C117" s="82">
        <f t="shared" si="30"/>
        <v>44427</v>
      </c>
      <c r="D117" s="70">
        <f t="shared" si="25"/>
        <v>92</v>
      </c>
      <c r="E117">
        <f t="shared" si="26"/>
        <v>1469.4794520547946</v>
      </c>
      <c r="F117" s="29">
        <f t="shared" si="27"/>
        <v>0.9947161581942966</v>
      </c>
      <c r="G117">
        <f t="shared" si="28"/>
        <v>1461.7149550934053</v>
      </c>
    </row>
    <row r="118" spans="1:7" customFormat="1" x14ac:dyDescent="0.2">
      <c r="B118" s="82">
        <f t="shared" si="29"/>
        <v>44427</v>
      </c>
      <c r="C118" s="82">
        <f t="shared" si="30"/>
        <v>44519</v>
      </c>
      <c r="D118" s="70">
        <f t="shared" si="25"/>
        <v>92</v>
      </c>
      <c r="E118">
        <f t="shared" si="26"/>
        <v>1469.4794520547946</v>
      </c>
      <c r="F118" s="29">
        <f t="shared" si="27"/>
        <v>0.99310653468181775</v>
      </c>
      <c r="G118">
        <f t="shared" si="28"/>
        <v>1459.3496464162733</v>
      </c>
    </row>
    <row r="119" spans="1:7" customFormat="1" x14ac:dyDescent="0.2">
      <c r="B119" s="82">
        <f t="shared" si="29"/>
        <v>44519</v>
      </c>
      <c r="C119" s="82">
        <f t="shared" si="30"/>
        <v>44611</v>
      </c>
      <c r="D119" s="70">
        <f t="shared" si="25"/>
        <v>92</v>
      </c>
      <c r="E119">
        <f t="shared" si="26"/>
        <v>1469.4794520547946</v>
      </c>
      <c r="F119" s="29">
        <f t="shared" si="27"/>
        <v>0.9913858380055266</v>
      </c>
      <c r="G119">
        <f t="shared" si="28"/>
        <v>1456.8211180072446</v>
      </c>
    </row>
    <row r="120" spans="1:7" customFormat="1" x14ac:dyDescent="0.2">
      <c r="B120" s="82">
        <f t="shared" si="29"/>
        <v>44611</v>
      </c>
      <c r="C120" s="82">
        <f t="shared" si="30"/>
        <v>44700</v>
      </c>
      <c r="D120" s="70">
        <f t="shared" si="25"/>
        <v>89</v>
      </c>
      <c r="E120">
        <f t="shared" si="26"/>
        <v>1421.5616438356165</v>
      </c>
      <c r="F120" s="29">
        <f t="shared" si="27"/>
        <v>0.98961594205767844</v>
      </c>
      <c r="G120">
        <f t="shared" si="28"/>
        <v>1406.8000653574454</v>
      </c>
    </row>
    <row r="121" spans="1:7" customFormat="1" x14ac:dyDescent="0.2">
      <c r="B121" s="82">
        <f t="shared" si="29"/>
        <v>44700</v>
      </c>
      <c r="C121" s="82">
        <f t="shared" si="30"/>
        <v>44792</v>
      </c>
      <c r="D121" s="70">
        <f t="shared" si="25"/>
        <v>92</v>
      </c>
      <c r="E121">
        <f t="shared" si="26"/>
        <v>1469.4794520547946</v>
      </c>
      <c r="F121" s="29">
        <f t="shared" si="27"/>
        <v>0.98767809078055757</v>
      </c>
      <c r="G121">
        <f t="shared" si="28"/>
        <v>1451.3726596467395</v>
      </c>
    </row>
    <row r="122" spans="1:7" customFormat="1" x14ac:dyDescent="0.2">
      <c r="B122" s="82">
        <f t="shared" si="29"/>
        <v>44792</v>
      </c>
      <c r="C122" s="82">
        <f t="shared" si="30"/>
        <v>44884</v>
      </c>
      <c r="D122" s="70">
        <f t="shared" si="25"/>
        <v>92</v>
      </c>
      <c r="E122">
        <f t="shared" si="26"/>
        <v>1469.4794520547946</v>
      </c>
      <c r="F122" s="29">
        <f t="shared" si="27"/>
        <v>0.98634522154770254</v>
      </c>
      <c r="G122">
        <f t="shared" si="28"/>
        <v>1449.414035696783</v>
      </c>
    </row>
    <row r="123" spans="1:7" customFormat="1" x14ac:dyDescent="0.2">
      <c r="B123" s="82">
        <f t="shared" si="29"/>
        <v>44884</v>
      </c>
      <c r="C123" s="82">
        <f t="shared" si="30"/>
        <v>44976</v>
      </c>
      <c r="D123" s="70">
        <f t="shared" si="25"/>
        <v>92</v>
      </c>
      <c r="E123">
        <f t="shared" si="26"/>
        <v>1469.4794520547946</v>
      </c>
      <c r="F123" s="29">
        <f t="shared" si="27"/>
        <v>0.98506067078310744</v>
      </c>
      <c r="G123">
        <f t="shared" si="28"/>
        <v>1447.5264147430892</v>
      </c>
    </row>
    <row r="124" spans="1:7" x14ac:dyDescent="0.2">
      <c r="A124" s="4"/>
      <c r="B124" s="82">
        <f t="shared" si="29"/>
        <v>44976</v>
      </c>
      <c r="C124" s="82">
        <f t="shared" si="30"/>
        <v>45065</v>
      </c>
      <c r="D124" s="70">
        <f t="shared" si="25"/>
        <v>89</v>
      </c>
      <c r="E124">
        <f t="shared" si="26"/>
        <v>1421.5616438356165</v>
      </c>
      <c r="F124" s="29">
        <f t="shared" si="27"/>
        <v>0.98386380663376993</v>
      </c>
      <c r="G124">
        <f t="shared" si="28"/>
        <v>1398.623050268669</v>
      </c>
    </row>
    <row r="125" spans="1:7" x14ac:dyDescent="0.2">
      <c r="A125" s="4"/>
      <c r="B125" s="82">
        <f t="shared" si="29"/>
        <v>45065</v>
      </c>
      <c r="C125" s="82">
        <f t="shared" si="30"/>
        <v>45157</v>
      </c>
      <c r="D125" s="70">
        <f t="shared" si="25"/>
        <v>92</v>
      </c>
      <c r="E125">
        <f t="shared" si="26"/>
        <v>1469.4794520547946</v>
      </c>
      <c r="F125" s="29">
        <f t="shared" si="27"/>
        <v>0.98267384799588819</v>
      </c>
      <c r="G125">
        <f t="shared" si="28"/>
        <v>1444.0190277015743</v>
      </c>
    </row>
    <row r="126" spans="1:7" x14ac:dyDescent="0.2">
      <c r="B126" s="82"/>
      <c r="C126" s="82"/>
      <c r="D126" s="70"/>
      <c r="E126" s="70"/>
      <c r="F126" s="70"/>
    </row>
    <row r="127" spans="1:7" x14ac:dyDescent="0.2">
      <c r="B127" s="82"/>
      <c r="C127" s="82"/>
      <c r="D127" s="70"/>
      <c r="E127" s="70" t="s">
        <v>84</v>
      </c>
      <c r="F127" s="70"/>
    </row>
    <row r="128" spans="1:7" x14ac:dyDescent="0.2">
      <c r="B128" s="82">
        <f>B125</f>
        <v>45065</v>
      </c>
      <c r="C128" s="71">
        <f>C125</f>
        <v>45157</v>
      </c>
      <c r="D128" s="70"/>
      <c r="E128" s="86">
        <f>C106</f>
        <v>1000000</v>
      </c>
      <c r="F128" s="29">
        <f>VLOOKUP(C128,$C$76:$F$97,3,FALSE)</f>
        <v>0.98267384799588819</v>
      </c>
      <c r="G128">
        <f t="shared" ref="G128" si="31">E128 * F128</f>
        <v>982673.84799588821</v>
      </c>
    </row>
    <row r="129" spans="2:8" x14ac:dyDescent="0.2">
      <c r="B129" s="82"/>
      <c r="C129" s="71"/>
      <c r="D129" s="70"/>
      <c r="E129" s="70"/>
      <c r="F129" s="70"/>
    </row>
    <row r="130" spans="2:8" ht="17" thickBot="1" x14ac:dyDescent="0.25">
      <c r="C130" s="71"/>
      <c r="F130" s="88" t="s">
        <v>85</v>
      </c>
      <c r="G130" s="87">
        <f>SUM(G114:G128)</f>
        <v>999999.99999999988</v>
      </c>
    </row>
    <row r="131" spans="2:8" ht="15" thickTop="1" x14ac:dyDescent="0.2">
      <c r="C131" s="71"/>
      <c r="F131" s="88"/>
    </row>
    <row r="132" spans="2:8" x14ac:dyDescent="0.2">
      <c r="C132" s="71"/>
      <c r="F132" s="1" t="s">
        <v>86</v>
      </c>
      <c r="G132" s="1">
        <f>(G130 / C106) * 100</f>
        <v>99.999999999999986</v>
      </c>
      <c r="H132" s="1" t="s">
        <v>87</v>
      </c>
    </row>
    <row r="133" spans="2:8" x14ac:dyDescent="0.2">
      <c r="C133" s="71"/>
    </row>
    <row r="134" spans="2:8" x14ac:dyDescent="0.2">
      <c r="C134" s="71"/>
    </row>
    <row r="135" spans="2:8" x14ac:dyDescent="0.2">
      <c r="C135" s="71"/>
    </row>
    <row r="136" spans="2:8" x14ac:dyDescent="0.2">
      <c r="C136" s="71"/>
    </row>
    <row r="137" spans="2:8" x14ac:dyDescent="0.2">
      <c r="C137" s="71"/>
    </row>
    <row r="138" spans="2:8" x14ac:dyDescent="0.2">
      <c r="C138" s="71"/>
    </row>
    <row r="139" spans="2:8" x14ac:dyDescent="0.2">
      <c r="C139" s="71"/>
    </row>
    <row r="140" spans="2:8" x14ac:dyDescent="0.2">
      <c r="C140" s="71"/>
    </row>
    <row r="141" spans="2:8" x14ac:dyDescent="0.2">
      <c r="C141" s="71"/>
    </row>
    <row r="142" spans="2:8" x14ac:dyDescent="0.2">
      <c r="C142" s="71"/>
    </row>
    <row r="143" spans="2:8" x14ac:dyDescent="0.2">
      <c r="C143" s="71"/>
    </row>
    <row r="144" spans="2:8" x14ac:dyDescent="0.2">
      <c r="C144" s="46"/>
    </row>
    <row r="145" spans="3:3" x14ac:dyDescent="0.2">
      <c r="C145" s="46"/>
    </row>
    <row r="146" spans="3:3" x14ac:dyDescent="0.2">
      <c r="C146" s="46"/>
    </row>
    <row r="147" spans="3:3" x14ac:dyDescent="0.2">
      <c r="C147" s="46"/>
    </row>
    <row r="148" spans="3:3" x14ac:dyDescent="0.2">
      <c r="C148" s="46"/>
    </row>
    <row r="149" spans="3:3" x14ac:dyDescent="0.2">
      <c r="C149" s="46"/>
    </row>
    <row r="150" spans="3:3" x14ac:dyDescent="0.2">
      <c r="C150" s="46"/>
    </row>
    <row r="151" spans="3:3" x14ac:dyDescent="0.2">
      <c r="C151" s="46"/>
    </row>
    <row r="152" spans="3:3" x14ac:dyDescent="0.2">
      <c r="C152" s="46"/>
    </row>
    <row r="153" spans="3:3" x14ac:dyDescent="0.2">
      <c r="C153" s="46"/>
    </row>
    <row r="154" spans="3:3" x14ac:dyDescent="0.2">
      <c r="C154" s="46"/>
    </row>
    <row r="155" spans="3:3" x14ac:dyDescent="0.2">
      <c r="C155" s="46"/>
    </row>
    <row r="156" spans="3:3" x14ac:dyDescent="0.2">
      <c r="C156" s="46"/>
    </row>
    <row r="157" spans="3:3" x14ac:dyDescent="0.2">
      <c r="C157" s="46"/>
    </row>
    <row r="158" spans="3:3" x14ac:dyDescent="0.2">
      <c r="C158" s="46"/>
    </row>
    <row r="159" spans="3:3" x14ac:dyDescent="0.2">
      <c r="C159" s="46"/>
    </row>
    <row r="160" spans="3:3" x14ac:dyDescent="0.2">
      <c r="C160" s="46"/>
    </row>
    <row r="161" spans="3:3" x14ac:dyDescent="0.2">
      <c r="C161" s="46"/>
    </row>
    <row r="162" spans="3:3" x14ac:dyDescent="0.2">
      <c r="C162" s="46"/>
    </row>
    <row r="163" spans="3:3" x14ac:dyDescent="0.2">
      <c r="C163" s="46"/>
    </row>
    <row r="164" spans="3:3" x14ac:dyDescent="0.2">
      <c r="C164" s="46"/>
    </row>
    <row r="165" spans="3:3" x14ac:dyDescent="0.2">
      <c r="C165" s="46"/>
    </row>
    <row r="166" spans="3:3" x14ac:dyDescent="0.2">
      <c r="C166" s="46"/>
    </row>
    <row r="167" spans="3:3" x14ac:dyDescent="0.2">
      <c r="C167" s="46"/>
    </row>
    <row r="168" spans="3:3" x14ac:dyDescent="0.2">
      <c r="C168" s="46"/>
    </row>
    <row r="169" spans="3:3" x14ac:dyDescent="0.2">
      <c r="C169" s="46"/>
    </row>
    <row r="170" spans="3:3" x14ac:dyDescent="0.2">
      <c r="C170" s="46"/>
    </row>
    <row r="171" spans="3:3" x14ac:dyDescent="0.2">
      <c r="C171" s="46"/>
    </row>
    <row r="172" spans="3:3" x14ac:dyDescent="0.2">
      <c r="C172" s="46"/>
    </row>
  </sheetData>
  <phoneticPr fontId="2" type="noConversion"/>
  <pageMargins left="0.27559055118110237" right="0.15748031496062992" top="0.78740157480314965" bottom="0.6" header="0.51181102362204722" footer="0.23"/>
  <pageSetup paperSize="9" scale="72" fitToHeight="4" orientation="landscape" horizontalDpi="300" verticalDpi="300" r:id="rId1"/>
  <headerFooter alignWithMargins="0">
    <oddHeader>&amp;C&amp;F&amp;RPage &amp;P of &amp;N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Simplified Swap Curve</vt:lpstr>
      <vt:lpstr>'Simplified Swap Curve'!Print_Area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NTL</dc:creator>
  <cp:lastModifiedBy>Varis Darasirikul</cp:lastModifiedBy>
  <cp:lastPrinted>2014-11-26T16:36:20Z</cp:lastPrinted>
  <dcterms:created xsi:type="dcterms:W3CDTF">2005-06-22T01:44:35Z</dcterms:created>
  <dcterms:modified xsi:type="dcterms:W3CDTF">2020-10-25T21:02:53Z</dcterms:modified>
</cp:coreProperties>
</file>