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admin/Documents/Illustrations/"/>
    </mc:Choice>
  </mc:AlternateContent>
  <xr:revisionPtr revIDLastSave="0" documentId="13_ncr:1_{6709C964-2A46-0D4B-BE74-56099AB790FC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Whole Life Illustration" sheetId="13" r:id="rId1"/>
    <sheet name="IUL Illustration" sheetId="9" r:id="rId2"/>
    <sheet name="Sean Sample CSV" sheetId="2" r:id="rId3"/>
    <sheet name="M 35 WL" sheetId="12" r:id="rId4"/>
  </sheets>
  <definedNames>
    <definedName name="ActualNumberOfPayments">IFERROR(IF(LoanIsGood,IF(PaymentsPerYear=1,1,MATCH(0.01,End_Bal,-1)+1)),"")</definedName>
    <definedName name="ColumnTitle1">#REF!</definedName>
    <definedName name="End_Bal">#REF!</definedName>
    <definedName name="ExtraPayments">#REF!</definedName>
    <definedName name="InterestRate">#REF!</definedName>
    <definedName name="LastCol">MATCH(REPT("z",255),#REF!)</definedName>
    <definedName name="LastRow">MATCH(9.99E+307,#REF!)</definedName>
    <definedName name="LenderName">#REF!</definedName>
    <definedName name="Loan_Amount">#REF!</definedName>
    <definedName name="LoanAmount">#REF!</definedName>
    <definedName name="LoanIsGood">(#REF!*#REF!*#REF!*#REF!)&gt;0</definedName>
    <definedName name="LoanPeriod">#REF!</definedName>
    <definedName name="LoanStartDate">#REF!</definedName>
    <definedName name="PaymentsPerYear">#REF!</definedName>
    <definedName name="PrintArea_SET">OFFSET(#REF!,,,LastRow,LastCol)</definedName>
    <definedName name="RowTitleRegion1..E9">#REF!</definedName>
    <definedName name="RowTitleRegion2..I7">#REF!</definedName>
    <definedName name="RowTitleRegion3..E9">#REF!</definedName>
    <definedName name="RowTitleRegion4..H9">#REF!</definedName>
    <definedName name="ScheduledNumberOfPayments">#REF!</definedName>
    <definedName name="ScheduledPayment">#REF!</definedName>
    <definedName name="TotalEarlyPayments">SUM(#REF!)</definedName>
    <definedName name="TotalInterest">SUM(#REF!)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L3" i="13"/>
  <c r="F2" i="13" a="1"/>
  <c r="F2" i="13" s="1"/>
  <c r="F8" i="13"/>
  <c r="E8" i="13"/>
  <c r="C7" i="13"/>
  <c r="G5" i="13"/>
  <c r="G4" i="13"/>
  <c r="G3" i="13"/>
  <c r="G2" i="13"/>
  <c r="F9" i="13" l="1"/>
  <c r="L5" i="13"/>
  <c r="J5" i="13" s="1"/>
  <c r="K5" i="13" s="1"/>
  <c r="H5" i="13" s="1"/>
  <c r="L4" i="13"/>
  <c r="N4" i="13" s="1"/>
  <c r="E9" i="13"/>
  <c r="N5" i="13"/>
  <c r="N3" i="13"/>
  <c r="J3" i="13"/>
  <c r="K3" i="13" s="1"/>
  <c r="H3" i="13" s="1"/>
  <c r="L2" i="13"/>
  <c r="C7" i="9"/>
  <c r="E8" i="9"/>
  <c r="F8" i="9"/>
  <c r="G5" i="9"/>
  <c r="F9" i="9" s="1"/>
  <c r="F4" i="9"/>
  <c r="G4" i="9"/>
  <c r="G2" i="9"/>
  <c r="F2" i="9"/>
  <c r="G3" i="9"/>
  <c r="F3" i="9"/>
  <c r="M5" i="2"/>
  <c r="L4" i="9" l="1"/>
  <c r="J4" i="13"/>
  <c r="K4" i="13" s="1"/>
  <c r="H4" i="13" s="1"/>
  <c r="N2" i="13"/>
  <c r="E10" i="13" s="1"/>
  <c r="J2" i="13"/>
  <c r="K2" i="13" s="1"/>
  <c r="H2" i="13" s="1"/>
  <c r="L5" i="9"/>
  <c r="J5" i="9" s="1"/>
  <c r="K5" i="9" s="1"/>
  <c r="H5" i="9" s="1"/>
  <c r="E9" i="9"/>
  <c r="L2" i="9"/>
  <c r="L3" i="9"/>
  <c r="R25" i="2"/>
  <c r="R26" i="2" s="1"/>
  <c r="R27" i="2" s="1"/>
  <c r="R28" i="2" s="1"/>
  <c r="P5" i="2"/>
  <c r="P6" i="2" s="1"/>
  <c r="J2" i="9" l="1"/>
  <c r="K2" i="9" s="1"/>
  <c r="H2" i="9" s="1"/>
  <c r="N2" i="9"/>
  <c r="J3" i="9"/>
  <c r="K3" i="9" s="1"/>
  <c r="H3" i="9" s="1"/>
  <c r="N3" i="9"/>
  <c r="J4" i="9"/>
  <c r="K4" i="9" s="1"/>
  <c r="H4" i="9" s="1"/>
  <c r="N4" i="9"/>
  <c r="H8" i="13"/>
  <c r="F10" i="13" s="1"/>
  <c r="N5" i="9"/>
  <c r="E10" i="9" s="1"/>
  <c r="Q5" i="2"/>
  <c r="R5" i="2" s="1"/>
  <c r="Q6" i="2"/>
  <c r="R6" i="2" s="1"/>
  <c r="P7" i="2"/>
  <c r="H8" i="9" l="1"/>
  <c r="F10" i="9"/>
  <c r="P8" i="2"/>
  <c r="Q7" i="2"/>
  <c r="R7" i="2" s="1"/>
  <c r="P9" i="2" l="1"/>
  <c r="Q8" i="2"/>
  <c r="R8" i="2" s="1"/>
  <c r="P10" i="2" l="1"/>
  <c r="Q9" i="2"/>
  <c r="R9" i="2" s="1"/>
  <c r="P11" i="2" l="1"/>
  <c r="Q10" i="2"/>
  <c r="R10" i="2" s="1"/>
  <c r="P12" i="2" l="1"/>
  <c r="Q11" i="2"/>
  <c r="R11" i="2" s="1"/>
  <c r="P13" i="2" l="1"/>
  <c r="Q12" i="2"/>
  <c r="R12" i="2" s="1"/>
  <c r="P14" i="2" l="1"/>
  <c r="Q13" i="2"/>
  <c r="R13" i="2" s="1"/>
  <c r="P15" i="2" l="1"/>
  <c r="Q14" i="2"/>
  <c r="R14" i="2" s="1"/>
  <c r="P16" i="2" l="1"/>
  <c r="Q15" i="2"/>
  <c r="R15" i="2" s="1"/>
  <c r="P17" i="2" l="1"/>
  <c r="Q16" i="2"/>
  <c r="R16" i="2" s="1"/>
  <c r="P18" i="2" l="1"/>
  <c r="Q17" i="2"/>
  <c r="R17" i="2" s="1"/>
  <c r="P19" i="2" l="1"/>
  <c r="Q18" i="2"/>
  <c r="R18" i="2" s="1"/>
  <c r="P20" i="2" l="1"/>
  <c r="Q19" i="2"/>
  <c r="R19" i="2" s="1"/>
  <c r="P21" i="2" l="1"/>
  <c r="Q20" i="2"/>
  <c r="R20" i="2" s="1"/>
  <c r="P22" i="2" l="1"/>
  <c r="Q21" i="2"/>
  <c r="R21" i="2" s="1"/>
  <c r="P23" i="2" l="1"/>
  <c r="Q22" i="2"/>
  <c r="R22" i="2" s="1"/>
  <c r="P24" i="2" l="1"/>
  <c r="Q24" i="2" s="1"/>
  <c r="R24" i="2" s="1"/>
  <c r="Q23" i="2"/>
  <c r="R23" i="2" s="1"/>
  <c r="L62" i="2" l="1"/>
  <c r="L70" i="2"/>
  <c r="L52" i="2"/>
  <c r="L63" i="2"/>
  <c r="L89" i="2"/>
  <c r="L49" i="2"/>
  <c r="L75" i="2"/>
  <c r="L58" i="2"/>
  <c r="L80" i="2"/>
  <c r="L84" i="2"/>
  <c r="L60" i="2"/>
  <c r="L48" i="2"/>
  <c r="L76" i="2"/>
  <c r="L47" i="2"/>
  <c r="L59" i="2"/>
  <c r="L55" i="2"/>
  <c r="L51" i="2"/>
  <c r="L83" i="2"/>
  <c r="L71" i="2"/>
  <c r="L77" i="2"/>
  <c r="L85" i="2"/>
  <c r="L78" i="2"/>
  <c r="L64" i="2"/>
  <c r="L79" i="2"/>
  <c r="L65" i="2"/>
  <c r="L61" i="2"/>
  <c r="L68" i="2"/>
  <c r="L46" i="2"/>
  <c r="L67" i="2"/>
  <c r="L56" i="2"/>
  <c r="L72" i="2"/>
  <c r="L90" i="2"/>
  <c r="L74" i="2"/>
  <c r="L86" i="2"/>
  <c r="L66" i="2"/>
  <c r="L50" i="2"/>
  <c r="L54" i="2"/>
  <c r="L87" i="2"/>
  <c r="L53" i="2"/>
  <c r="L88" i="2"/>
  <c r="L82" i="2"/>
  <c r="L69" i="2"/>
  <c r="L81" i="2"/>
  <c r="L73" i="2"/>
  <c r="L57" i="2"/>
  <c r="L6" i="2"/>
  <c r="L24" i="2"/>
  <c r="L20" i="2"/>
  <c r="L29" i="2"/>
  <c r="L21" i="2"/>
  <c r="L23" i="2"/>
  <c r="L9" i="2"/>
  <c r="L10" i="2"/>
  <c r="L38" i="2"/>
  <c r="L44" i="2"/>
  <c r="L8" i="2"/>
  <c r="L19" i="2"/>
  <c r="L45" i="2"/>
  <c r="L33" i="2"/>
  <c r="L42" i="2"/>
  <c r="L41" i="2"/>
  <c r="L30" i="2"/>
  <c r="L26" i="2"/>
  <c r="L31" i="2"/>
  <c r="L32" i="2"/>
  <c r="L27" i="2"/>
  <c r="L36" i="2"/>
  <c r="L39" i="2"/>
  <c r="L37" i="2"/>
  <c r="L34" i="2"/>
  <c r="L13" i="2"/>
  <c r="L16" i="2"/>
  <c r="L18" i="2"/>
  <c r="L28" i="2"/>
  <c r="L11" i="2"/>
  <c r="L7" i="2"/>
  <c r="L40" i="2"/>
  <c r="L12" i="2"/>
  <c r="L25" i="2"/>
  <c r="L22" i="2"/>
  <c r="L17" i="2"/>
  <c r="L35" i="2"/>
  <c r="L14" i="2"/>
  <c r="L43" i="2"/>
  <c r="L15" i="2"/>
  <c r="L5" i="2" l="1"/>
  <c r="M9" i="2" s="1"/>
  <c r="M11" i="2" l="1"/>
  <c r="L9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<sst xmlns="http://schemas.openxmlformats.org/spreadsheetml/2006/main" count="96" uniqueCount="63">
  <si>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FOR AGENT USE ONLY - NOT FOR USE WITH THE PUBLIC</t>
  </si>
  <si>
    <t>Net Death Benefit</t>
  </si>
  <si>
    <t>Surrender Value</t>
  </si>
  <si>
    <t>Accumulated Value</t>
  </si>
  <si>
    <t>Annual Income</t>
  </si>
  <si>
    <t>Loan Repayment</t>
  </si>
  <si>
    <t>Loan</t>
  </si>
  <si>
    <t>Withdrawal</t>
  </si>
  <si>
    <t>Planned Premium</t>
  </si>
  <si>
    <t>Age</t>
  </si>
  <si>
    <t>Policy Year</t>
  </si>
  <si>
    <t>Guideline Single Premium</t>
  </si>
  <si>
    <t>Guideline Level Premium</t>
  </si>
  <si>
    <t>MEC Premium</t>
  </si>
  <si>
    <t>Target Premium</t>
  </si>
  <si>
    <t>Minimum Premium</t>
  </si>
  <si>
    <t>Modal Premium</t>
  </si>
  <si>
    <t>MEC Year</t>
  </si>
  <si>
    <t>Lapse Year</t>
  </si>
  <si>
    <t>Initial Face Amount</t>
  </si>
  <si>
    <t>Column1</t>
  </si>
  <si>
    <t>Interest Saved</t>
  </si>
  <si>
    <t>Paid in amount</t>
  </si>
  <si>
    <t>Gain/Loss</t>
  </si>
  <si>
    <t>20 year ROI</t>
  </si>
  <si>
    <t>Straight line appreciation</t>
  </si>
  <si>
    <t>Cost of Insurance over 20 years</t>
  </si>
  <si>
    <t>Annaul Cost</t>
  </si>
  <si>
    <t>Monthly Cost</t>
  </si>
  <si>
    <t>Balance</t>
  </si>
  <si>
    <t>Adjusted Death Benefit</t>
  </si>
  <si>
    <t>remianing</t>
  </si>
  <si>
    <t>Company</t>
  </si>
  <si>
    <t>Debt Category</t>
  </si>
  <si>
    <t>Ineterest Rate</t>
  </si>
  <si>
    <t>Min Payment</t>
  </si>
  <si>
    <t>Year Funds Available for Payoff</t>
  </si>
  <si>
    <t>Consumer Loan</t>
  </si>
  <si>
    <t>Bank of America</t>
  </si>
  <si>
    <t>Years To Payoff</t>
  </si>
  <si>
    <t>Principal Paid off until payoff</t>
  </si>
  <si>
    <t>Principal Remaining at payoff</t>
  </si>
  <si>
    <t>years remaining at payoff</t>
  </si>
  <si>
    <t>Chase</t>
  </si>
  <si>
    <t>Consumer loan</t>
  </si>
  <si>
    <t>Mercedes Financing</t>
  </si>
  <si>
    <t>Student Laoan</t>
  </si>
  <si>
    <t>Salie Mae</t>
  </si>
  <si>
    <t>New</t>
  </si>
  <si>
    <t>Old</t>
  </si>
  <si>
    <t>Monthly Pmnt</t>
  </si>
  <si>
    <t>Payoff Years</t>
  </si>
  <si>
    <t>Interest Paid</t>
  </si>
  <si>
    <t>Total Interest On loan if to term</t>
  </si>
  <si>
    <t>Death Benefit</t>
  </si>
  <si>
    <t>Cash Value</t>
  </si>
  <si>
    <t>Investment Earning Interest</t>
  </si>
  <si>
    <t>Year</t>
  </si>
  <si>
    <t>Contribution</t>
  </si>
  <si>
    <t>Cash</t>
  </si>
  <si>
    <t>Death</t>
  </si>
  <si>
    <t>Column2</t>
  </si>
  <si>
    <t>Interest paid until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</si>
</sst>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$&quot;#,##0.00_);[Red]\(&quot;$&quot;#,##0.00\)"/>
    <numFmt numFmtId="164" formatCode="_ * #,##0_ ;_ * \-#,##0_ ;_ * &quot;-&quot;_ ;_ @_ 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&quot;$&quot;#,##0"/>
    <numFmt numFmtId="168" formatCode="_([$$-409]* #,##0.00_);_([$$-409]* \(#,##0.00\);_([$$-409]* &quot;-&quot;??_);_(@_)"/>
    <numFmt numFmtId="169" formatCode="&quot;$&quot;#,##0.00"/>
  </numFmts>
  <fonts count="19" x14ac:knownFonts="1">
    <font>
      <sz val="11"/>
      <color theme="1" tint="0.34998626667073579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 tint="0.34998626667073579"/>
      <name val="Trebuchet MS"/>
      <family val="2"/>
      <scheme val="minor"/>
    </font>
    <font>
      <b/>
      <sz val="34"/>
      <color theme="0"/>
      <name val="Trebuchet MS"/>
      <family val="2"/>
      <scheme val="major"/>
    </font>
    <font>
      <sz val="18"/>
      <color theme="1" tint="0.34998626667073579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theme="1" tint="0.499984740745262"/>
      <name val="Trebuchet MS"/>
      <family val="2"/>
      <scheme val="minor"/>
    </font>
    <font>
      <sz val="11"/>
      <name val="Trebuchet MS"/>
      <family val="2"/>
      <scheme val="minor"/>
    </font>
    <font>
      <sz val="11"/>
      <color theme="1" tint="0.24994659260841701"/>
      <name val="Trebuchet MS"/>
      <family val="2"/>
      <scheme val="minor"/>
    </font>
    <font>
      <b/>
      <sz val="12"/>
      <color theme="1" tint="0.249977111117893"/>
      <name val="Calibri"/>
      <family val="2"/>
    </font>
    <font>
      <i/>
      <sz val="11"/>
      <color theme="1" tint="0.34998626667073579"/>
      <name val="Trebuchet MS"/>
      <family val="2"/>
      <scheme val="minor"/>
    </font>
    <font>
      <b/>
      <sz val="14"/>
      <color theme="1" tint="0.24994659260841701"/>
      <name val="Calibri"/>
      <family val="2"/>
    </font>
    <font>
      <b/>
      <sz val="16"/>
      <color rgb="FF0070C0"/>
      <name val="Calibri"/>
      <family val="2"/>
    </font>
    <font>
      <sz val="8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theme="1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-0.499984740745262"/>
      </bottom>
      <diagonal/>
    </border>
  </borders>
  <cellStyleXfs count="28">
    <xf numFmtId="0" fontId="0" fillId="0" borderId="0">
      <alignment vertical="center" wrapText="1"/>
    </xf>
    <xf numFmtId="0" fontId="5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6" fillId="2" borderId="1" applyNumberFormat="0" applyFill="0" applyBorder="0" applyProtection="0">
      <alignment horizontal="right" vertical="center"/>
    </xf>
    <xf numFmtId="0" fontId="11" fillId="3" borderId="0" applyNumberFormat="0" applyBorder="0" applyAlignment="0" applyProtection="0">
      <alignment vertical="center"/>
    </xf>
    <xf numFmtId="0" fontId="7" fillId="2" borderId="0" applyNumberFormat="0" applyFill="0" applyBorder="0" applyProtection="0">
      <alignment horizontal="left" vertical="center"/>
    </xf>
    <xf numFmtId="166" fontId="4" fillId="0" borderId="0" applyFill="0" applyBorder="0" applyAlignment="0" applyProtection="0"/>
    <xf numFmtId="164" fontId="4" fillId="0" borderId="0" applyFill="0" applyBorder="0" applyAlignment="0" applyProtection="0"/>
    <xf numFmtId="165" fontId="4" fillId="0" borderId="0" applyFill="0" applyBorder="0" applyAlignment="0" applyProtection="0"/>
    <xf numFmtId="9" fontId="4" fillId="0" borderId="0" applyFill="0" applyBorder="0" applyAlignment="0" applyProtection="0"/>
    <xf numFmtId="0" fontId="8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4" fillId="4" borderId="2" applyNumberFormat="0" applyAlignment="0" applyProtection="0"/>
    <xf numFmtId="0" fontId="3" fillId="0" borderId="0"/>
    <xf numFmtId="0" fontId="12" fillId="0" borderId="0"/>
    <xf numFmtId="169" fontId="13" fillId="6" borderId="0" applyFont="0" applyFill="0" applyBorder="0" applyProtection="0">
      <alignment horizontal="right" indent="2"/>
    </xf>
    <xf numFmtId="14" fontId="13" fillId="0" borderId="0" applyFont="0" applyFill="0" applyBorder="0" applyAlignment="0"/>
    <xf numFmtId="1" fontId="13" fillId="5" borderId="0" applyFont="0" applyFill="0" applyBorder="0" applyAlignment="0"/>
    <xf numFmtId="0" fontId="14" fillId="7" borderId="0" applyFill="0" applyProtection="0">
      <alignment horizontal="center" vertical="center" wrapText="1"/>
    </xf>
    <xf numFmtId="0" fontId="10" fillId="0" borderId="5" applyNumberFormat="0" applyFill="0" applyProtection="0">
      <alignment vertical="center"/>
    </xf>
    <xf numFmtId="169" fontId="13" fillId="6" borderId="0" applyFont="0" applyFill="0" applyBorder="0" applyAlignment="0" applyProtection="0"/>
    <xf numFmtId="0" fontId="15" fillId="0" borderId="6" applyNumberFormat="0" applyProtection="0">
      <alignment vertical="center"/>
    </xf>
    <xf numFmtId="0" fontId="13" fillId="5" borderId="0" applyNumberFormat="0" applyFont="0" applyAlignment="0">
      <alignment horizontal="center" vertical="center" wrapText="1"/>
    </xf>
    <xf numFmtId="10" fontId="12" fillId="0" borderId="0" applyFont="0" applyFill="0" applyBorder="0" applyAlignment="0" applyProtection="0"/>
    <xf numFmtId="0" fontId="16" fillId="0" borderId="7" applyNumberFormat="0" applyFill="0" applyProtection="0">
      <alignment vertical="center"/>
    </xf>
    <xf numFmtId="0" fontId="17" fillId="8" borderId="0" applyFill="0" applyBorder="0" applyProtection="0">
      <alignment horizontal="left" vertical="center" wrapText="1" indent="1"/>
    </xf>
    <xf numFmtId="0" fontId="1" fillId="0" borderId="0"/>
  </cellStyleXfs>
  <cellXfs count="17">
    <xf numFmtId="0" fontId="0" fillId="0" borderId="0" xfId="0">
      <alignment vertical="center" wrapText="1"/>
    </xf>
    <xf numFmtId="168" fontId="4" fillId="0" borderId="0" xfId="8" applyNumberFormat="1" applyAlignment="1">
      <alignment vertical="center" wrapText="1"/>
    </xf>
    <xf numFmtId="168" fontId="0" fillId="0" borderId="0" xfId="0" applyNumberForma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4"/>
    <xf numFmtId="168" fontId="3" fillId="0" borderId="0" xfId="14" applyNumberFormat="1"/>
    <xf numFmtId="168" fontId="4" fillId="0" borderId="0" xfId="8" applyNumberFormat="1"/>
    <xf numFmtId="9" fontId="4" fillId="0" borderId="0" xfId="9"/>
    <xf numFmtId="8" fontId="3" fillId="0" borderId="0" xfId="14" applyNumberFormat="1"/>
    <xf numFmtId="0" fontId="2" fillId="0" borderId="0" xfId="14" applyFont="1"/>
    <xf numFmtId="168" fontId="3" fillId="0" borderId="0" xfId="14" applyNumberFormat="1" applyFill="1"/>
    <xf numFmtId="10" fontId="4" fillId="0" borderId="0" xfId="9" applyNumberFormat="1" applyAlignment="1">
      <alignment vertical="center" wrapText="1"/>
    </xf>
    <xf numFmtId="168" fontId="0" fillId="0" borderId="0" xfId="0" applyNumberFormat="1" applyAlignment="1">
      <alignment horizontal="center" vertical="center" wrapText="1"/>
    </xf>
    <xf numFmtId="0" fontId="1" fillId="0" borderId="0" xfId="27"/>
    <xf numFmtId="3" fontId="1" fillId="0" borderId="0" xfId="27" applyNumberFormat="1"/>
    <xf numFmtId="4" fontId="1" fillId="0" borderId="0" xfId="27" applyNumberFormat="1"/>
    <xf numFmtId="0" fontId="1" fillId="0" borderId="0" xfId="27" applyFill="1"/>
  </cellXfs>
  <cellStyles count="28">
    <cellStyle name="Amount" xfId="21" xr:uid="{A13BF766-50F7-434A-8D04-33080A6482B0}"/>
    <cellStyle name="Comma" xfId="6" builtinId="3" customBuiltin="1"/>
    <cellStyle name="Comma [0]" xfId="7" builtinId="6" customBuiltin="1"/>
    <cellStyle name="Contrast Background" xfId="4" xr:uid="{00000000-0005-0000-0000-000002000000}"/>
    <cellStyle name="Currency" xfId="8" builtinId="4" customBuiltin="1"/>
    <cellStyle name="Currency [0]" xfId="2" builtinId="7" customBuiltin="1"/>
    <cellStyle name="Date" xfId="17" xr:uid="{A9B35877-7A6F-B44C-8E5D-59B76BB15371}"/>
    <cellStyle name="Explanatory Text 2" xfId="22" xr:uid="{FFB2C9A8-C4AA-6F47-A766-7B0296675F34}"/>
    <cellStyle name="Heading 1" xfId="10" builtinId="16" customBuiltin="1"/>
    <cellStyle name="Heading 2" xfId="11" builtinId="17" customBuiltin="1"/>
    <cellStyle name="Heading 2 2" xfId="25" xr:uid="{670C457E-6C1F-094A-BA8C-7ED88338F889}"/>
    <cellStyle name="Heading 3" xfId="12" builtinId="18" customBuiltin="1"/>
    <cellStyle name="Heading 3 2" xfId="20" xr:uid="{670B683A-C20F-854C-852E-48AC94AD84B2}"/>
    <cellStyle name="Heading 4 Right aligned" xfId="26" xr:uid="{D5C8BDD0-7237-3E47-9C9D-C6DCBBC454D4}"/>
    <cellStyle name="Input" xfId="3" builtinId="20" customBuiltin="1"/>
    <cellStyle name="Input Labels" xfId="5" xr:uid="{00000000-0005-0000-0000-000009000000}"/>
    <cellStyle name="Loan Summary" xfId="23" xr:uid="{D62A2051-9FF5-364A-A1DA-08EC2C4BB4D8}"/>
    <cellStyle name="Normal" xfId="0" builtinId="0" customBuiltin="1"/>
    <cellStyle name="Normal 2" xfId="14" xr:uid="{2C3B7C1B-A87A-AB4D-A096-E493BCD423B8}"/>
    <cellStyle name="Normal 3" xfId="15" xr:uid="{2C9E0429-D0FE-4043-8BE4-E1E3592AE98F}"/>
    <cellStyle name="Normal 4" xfId="27" xr:uid="{CD7B4F26-EA0C-7E43-B69D-BFA12E86CE9C}"/>
    <cellStyle name="Note" xfId="13" builtinId="10" customBuiltin="1"/>
    <cellStyle name="Number" xfId="18" xr:uid="{E52FAC76-5450-D443-BA40-AFE0F86B5780}"/>
    <cellStyle name="Percent" xfId="9" builtinId="5" customBuiltin="1"/>
    <cellStyle name="Percent 2" xfId="24" xr:uid="{E6724D20-B144-EA4D-80E4-EC2D0B863237}"/>
    <cellStyle name="Style 6" xfId="19" xr:uid="{0A7E6374-D335-4D43-9EEC-EB15E72394C4}"/>
    <cellStyle name="Table Amount" xfId="16" xr:uid="{E6622CED-2223-134C-A6CA-9976431CD7D4}"/>
    <cellStyle name="Title" xfId="1" builtinId="15" customBuiltin="1"/>
  </cellStyles>
  <dxfs count="37">
    <dxf>
      <numFmt numFmtId="0" formatCode="General"/>
    </dxf>
    <dxf>
      <numFmt numFmtId="3" formatCode="#,##0"/>
    </dxf>
    <dxf>
      <numFmt numFmtId="3" formatCode="#,##0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0" formatCode="General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([$$-409]* #,##0.00_);_([$$-409]* \(#,##0.00\);_([$$-409]* &quot;-&quot;??_);_(@_)"/>
    </dxf>
    <dxf>
      <numFmt numFmtId="14" formatCode="0.00%"/>
      <alignment horizontal="general" vertical="center" textRotation="0" wrapText="1" indent="0" justifyLastLine="0" shrinkToFit="0" readingOrder="0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0" formatCode="General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([$$-409]* #,##0.00_);_([$$-409]* \(#,##0.00\);_([$$-409]* &quot;-&quot;??_);_(@_)"/>
    </dxf>
    <dxf>
      <numFmt numFmtId="14" formatCode="0.00%"/>
      <alignment horizontal="general" vertical="center" textRotation="0" wrapText="1" indent="0" justifyLastLine="0" shrinkToFit="0" readingOrder="0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1" tint="0.34998626667073579"/>
      </font>
      <fill>
        <patternFill patternType="none">
          <fgColor indexed="64"/>
          <bgColor auto="1"/>
        </patternFill>
      </fill>
      <border>
        <left/>
        <right/>
        <top/>
        <bottom style="thin">
          <color auto="1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color theme="1" tint="0.24994659260841701"/>
      </font>
      <border>
        <left/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i val="0"/>
        <color theme="1"/>
      </font>
      <border>
        <bottom style="thin">
          <color theme="8" tint="-0.499984740745262"/>
        </bottom>
      </border>
    </dxf>
    <dxf>
      <font>
        <color theme="1" tint="0.34998626667073579"/>
      </font>
      <border diagonalUp="0" diagonalDown="0">
        <left/>
        <right/>
        <top/>
        <bottom/>
        <vertical style="thin">
          <color theme="8" tint="-0.499984740745262"/>
        </vertical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Custom Slicer Style" pivot="0" table="0" count="10" xr9:uid="{00000000-0011-0000-FFFF-FFFF00000000}">
      <tableStyleElement type="wholeTable" dxfId="36"/>
      <tableStyleElement type="headerRow" dxfId="35"/>
    </tableStyle>
    <tableStyle name="Home Loan Comparison" pivot="0" count="2" xr9:uid="{00000000-0011-0000-FFFF-FFFF01000000}">
      <tableStyleElement type="wholeTable" dxfId="34"/>
      <tableStyleElement type="headerRow" dxfId="33"/>
    </tableStyle>
    <tableStyle name="Loan Amortization Schedule" pivot="0" count="3" xr9:uid="{26355D84-E980-DF4E-98B3-D4E909D52B30}">
      <tableStyleElement type="wholeTable" dxfId="32"/>
      <tableStyleElement type="headerRow" dxfId="31"/>
      <tableStyleElement type="totalRow" dxfId="3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Custom Slicer Style">
        <x14:slicerStyle name="Custom Slicer 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'Whole Life Illustration'!$D$9</c:f>
              <c:strCache>
                <c:ptCount val="1"/>
                <c:pt idx="0">
                  <c:v>Payoff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577405857740585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9C9-0F4B-B554-5559DFCEF337}"/>
                </c:ext>
              </c:extLst>
            </c:dLbl>
            <c:dLbl>
              <c:idx val="1"/>
              <c:layout>
                <c:manualLayout>
                  <c:x val="-0.3744769874476987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C9-0F4B-B554-5559DFCEF3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'Whole Life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'Whole Life Illustration'!$E$9:$F$9</c:f>
              <c:numCache>
                <c:formatCode>General</c:formatCode>
                <c:ptCount val="2"/>
                <c:pt idx="0">
                  <c:v>8</c:v>
                </c:pt>
                <c:pt idx="1">
                  <c:v>15.98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C9-0F4B-B554-5559DFCE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989231"/>
        <c:axId val="274990879"/>
      </c:barChart>
      <c:catAx>
        <c:axId val="274989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90879"/>
        <c:crosses val="autoZero"/>
        <c:auto val="1"/>
        <c:lblAlgn val="ctr"/>
        <c:lblOffset val="100"/>
        <c:noMultiLvlLbl val="0"/>
      </c:catAx>
      <c:valAx>
        <c:axId val="27499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8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Interest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'Whole Life Illustration'!$D$10</c:f>
              <c:strCache>
                <c:ptCount val="1"/>
                <c:pt idx="0">
                  <c:v>Interest Paid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9256751491735305"/>
                  <c:y val="-2.60695591325411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C7-294C-A332-F0846B1825A0}"/>
                </c:ext>
              </c:extLst>
            </c:dLbl>
            <c:dLbl>
              <c:idx val="1"/>
              <c:layout>
                <c:manualLayout>
                  <c:x val="-0.19528509549618553"/>
                  <c:y val="-2.91135914337269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C7-294C-A332-F0846B1825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'Whole Life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'Whole Life Illustration'!$E$10:$F$10</c:f>
              <c:numCache>
                <c:formatCode>_([$$-409]* #,##0.00_);_([$$-409]* \(#,##0.00\);_([$$-409]* "-"??_);_(@_)</c:formatCode>
                <c:ptCount val="2"/>
                <c:pt idx="0">
                  <c:v>15225.634414211592</c:v>
                </c:pt>
                <c:pt idx="1">
                  <c:v>23900.162006586237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7-294C-A332-F0846B18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927935"/>
        <c:axId val="247082639"/>
      </c:barChart>
      <c:catAx>
        <c:axId val="2469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82639"/>
        <c:crosses val="autoZero"/>
        <c:auto val="1"/>
        <c:lblAlgn val="ctr"/>
        <c:lblOffset val="100"/>
        <c:noMultiLvlLbl val="0"/>
      </c:catAx>
      <c:valAx>
        <c:axId val="247082639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'Whole Life Illustration'!$D$8</c:f>
              <c:strCache>
                <c:ptCount val="1"/>
                <c:pt idx="0">
                  <c:v>Monthly Pmnt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7408906882591108"/>
                  <c:y val="-3.03490136570561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FE-DB44-B82B-2CD1D73E23E5}"/>
                </c:ext>
              </c:extLst>
            </c:dLbl>
            <c:dLbl>
              <c:idx val="1"/>
              <c:layout>
                <c:manualLayout>
                  <c:x val="-0.20040485829959517"/>
                  <c:y val="-6.06980273141122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FE-DB44-B82B-2CD1D73E2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'Whole Life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'Whole Life Illustration'!$E$8:$F$8</c:f>
              <c:numCache>
                <c:formatCode>_([$$-409]* #,##0.00_);_([$$-409]* \(#,##0.00\);_([$$-409]* "-"??_);_(@_)</c:formatCode>
                <c:ptCount val="2"/>
                <c:pt idx="0">
                  <c:v>833.33</c:v>
                </c:pt>
                <c:pt idx="1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E-DB44-B82B-2CD1D73E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419327"/>
        <c:axId val="329131103"/>
      </c:barChart>
      <c:catAx>
        <c:axId val="27441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31103"/>
        <c:crosses val="autoZero"/>
        <c:auto val="1"/>
        <c:lblAlgn val="ctr"/>
        <c:lblOffset val="100"/>
        <c:noMultiLvlLbl val="0"/>
      </c:catAx>
      <c:valAx>
        <c:axId val="329131103"/>
        <c:scaling>
          <c:orientation val="minMax"/>
          <c:max val="85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19327"/>
        <c:crosses val="autoZero"/>
        <c:crossBetween val="between"/>
        <c:majorUnit val="1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'IUL Illustration'!$D$9</c:f>
              <c:strCache>
                <c:ptCount val="1"/>
                <c:pt idx="0">
                  <c:v>Payoff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577405857740585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3A-814F-8BB0-3A91F058D1F2}"/>
                </c:ext>
              </c:extLst>
            </c:dLbl>
            <c:dLbl>
              <c:idx val="1"/>
              <c:layout>
                <c:manualLayout>
                  <c:x val="-0.3744769874476987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3A-814F-8BB0-3A91F058D1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'IUL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'IUL Illustration'!$E$9:$F$9</c:f>
              <c:numCache>
                <c:formatCode>General</c:formatCode>
                <c:ptCount val="2"/>
                <c:pt idx="0">
                  <c:v>8</c:v>
                </c:pt>
                <c:pt idx="1">
                  <c:v>15.98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A-814F-8BB0-3A91F058D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989231"/>
        <c:axId val="274990879"/>
      </c:barChart>
      <c:catAx>
        <c:axId val="274989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90879"/>
        <c:crosses val="autoZero"/>
        <c:auto val="1"/>
        <c:lblAlgn val="ctr"/>
        <c:lblOffset val="100"/>
        <c:noMultiLvlLbl val="0"/>
      </c:catAx>
      <c:valAx>
        <c:axId val="27499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8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Interest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'IUL Illustration'!$D$10</c:f>
              <c:strCache>
                <c:ptCount val="1"/>
                <c:pt idx="0">
                  <c:v>Interest Paid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9256756756756757"/>
                  <c:y val="3.044140030441400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56-7349-ABF5-03F588535384}"/>
                </c:ext>
              </c:extLst>
            </c:dLbl>
            <c:dLbl>
              <c:idx val="1"/>
              <c:layout>
                <c:manualLayout>
                  <c:x val="-0.19932432432432431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56-7349-ABF5-03F5885353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'IUL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'IUL Illustration'!$E$10:$F$10</c:f>
              <c:numCache>
                <c:formatCode>_([$$-409]* #,##0.00_);_([$$-409]* \(#,##0.00\);_([$$-409]* "-"??_);_(@_)</c:formatCode>
                <c:ptCount val="2"/>
                <c:pt idx="0">
                  <c:v>18888.776554832129</c:v>
                </c:pt>
                <c:pt idx="1">
                  <c:v>31468.855565094233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6-7349-ABF5-03F58853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927935"/>
        <c:axId val="247082639"/>
      </c:barChart>
      <c:catAx>
        <c:axId val="2469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82639"/>
        <c:crosses val="autoZero"/>
        <c:auto val="1"/>
        <c:lblAlgn val="ctr"/>
        <c:lblOffset val="100"/>
        <c:noMultiLvlLbl val="0"/>
      </c:catAx>
      <c:valAx>
        <c:axId val="247082639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'IUL Illustration'!$D$8</c:f>
              <c:strCache>
                <c:ptCount val="1"/>
                <c:pt idx="0">
                  <c:v>Monthly Pmnt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7408906882591108"/>
                  <c:y val="-3.03490136570561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9E-8E46-8910-9A57C6DFE20A}"/>
                </c:ext>
              </c:extLst>
            </c:dLbl>
            <c:dLbl>
              <c:idx val="1"/>
              <c:layout>
                <c:manualLayout>
                  <c:x val="-0.20040485829959517"/>
                  <c:y val="-6.06980273141122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9E-8E46-8910-9A57C6DFE2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'IUL Illustration'!$E$7:$F$7</c:f>
              <c:strCache>
                <c:ptCount val="2"/>
                <c:pt idx="0">
                  <c:v> New </c:v>
                </c:pt>
                <c:pt idx="1">
                  <c:v>Old</c:v>
                </c:pt>
              </c:strCache>
            </c:strRef>
          </c:cat>
          <c:val>
            <c:numRef>
              <c:f>'IUL Illustration'!$E$8:$F$8</c:f>
              <c:numCache>
                <c:formatCode>_([$$-409]* #,##0.00_);_([$$-409]* \(#,##0.00\);_([$$-409]* "-"??_);_(@_)</c:formatCode>
                <c:ptCount val="2"/>
                <c:pt idx="0">
                  <c:v>833.33</c:v>
                </c:pt>
                <c:pt idx="1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E-8E46-8910-9A57C6DFE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419327"/>
        <c:axId val="329131103"/>
      </c:barChart>
      <c:catAx>
        <c:axId val="27441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31103"/>
        <c:crosses val="autoZero"/>
        <c:auto val="1"/>
        <c:lblAlgn val="ctr"/>
        <c:lblOffset val="100"/>
        <c:noMultiLvlLbl val="0"/>
      </c:catAx>
      <c:valAx>
        <c:axId val="329131103"/>
        <c:scaling>
          <c:orientation val="minMax"/>
          <c:max val="8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1932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798285</xdr:colOff>
      <xdr:row>14</xdr:row>
      <xdr:rowOff>80736</xdr:rowOff>
    </xdr:from>
    <xdr:to>
      <xdr:col>15</xdr:col>
      <xdr:colOff>146957</xdr:colOff>
      <xdr:row>37</xdr:row>
      <xdr:rowOff>90715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36F1D-6860-914B-BD8C-E4C009F9C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290286</xdr:colOff>
      <xdr:row>14</xdr:row>
      <xdr:rowOff>81642</xdr:rowOff>
    </xdr:from>
    <xdr:to>
      <xdr:col>6</xdr:col>
      <xdr:colOff>156028</xdr:colOff>
      <xdr:row>33</xdr:row>
      <xdr:rowOff>124278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77750-FC46-E248-A61E-7A56E06EE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752929</xdr:colOff>
      <xdr:row>14</xdr:row>
      <xdr:rowOff>63499</xdr:rowOff>
    </xdr:from>
    <xdr:to>
      <xdr:col>10</xdr:col>
      <xdr:colOff>192314</xdr:colOff>
      <xdr:row>34</xdr:row>
      <xdr:rowOff>34470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8F6A27-33BA-AF4C-A44F-2CBE4CEFD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267369</xdr:colOff>
      <xdr:row>15</xdr:row>
      <xdr:rowOff>124661</xdr:rowOff>
    </xdr:from>
    <xdr:to>
      <xdr:col>14</xdr:col>
      <xdr:colOff>485943</xdr:colOff>
      <xdr:row>33</xdr:row>
      <xdr:rowOff>113631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DC8DA6-9EE4-9643-91F3-7FD2D3FBF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340895</xdr:colOff>
      <xdr:row>14</xdr:row>
      <xdr:rowOff>40106</xdr:rowOff>
    </xdr:from>
    <xdr:to>
      <xdr:col>4</xdr:col>
      <xdr:colOff>900364</xdr:colOff>
      <xdr:row>33</xdr:row>
      <xdr:rowOff>119982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4EFB27-5676-3446-9A24-2843BB33E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140368</xdr:colOff>
      <xdr:row>14</xdr:row>
      <xdr:rowOff>67845</xdr:rowOff>
    </xdr:from>
    <xdr:to>
      <xdr:col>9</xdr:col>
      <xdr:colOff>1685759</xdr:colOff>
      <xdr:row>33</xdr:row>
      <xdr:rowOff>160421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B2C8B2-1863-6449-B2C4-D593F0997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0657A-BFD1-3D47-B466-314E6575D7BF}" name="Table83" displayName="Table83" ref="A1:L5" totalsRowShown="0" headerRowDxfId="29">
  <autoFilter ref="A1:L5" xr:uid="{097045C9-006F-5A41-967C-AFB1674CA936}"/>
  <sortState xmlns:xlrd2="http://schemas.microsoft.com/office/spreadsheetml/2017/richdata2" ref="A2:L5">
    <sortCondition ref="F2:F5"/>
    <sortCondition ref="C2:C5"/>
  </sortState>
  <tableColumns count="12">
    <tableColumn id="1" xr3:uid="{F7ADB9B1-49A1-694C-9747-F9FD4B75265F}" name="Debt Category"/>
    <tableColumn id="2" xr3:uid="{64670FF8-7831-CC40-9182-15EEB70FD6B3}" name="Company"/>
    <tableColumn id="3" xr3:uid="{83A61DA7-EA80-234B-9368-1A1D54C31B90}" name="Balance" dataDxfId="28"/>
    <tableColumn id="4" xr3:uid="{3EA5DD82-5AA3-6C41-B2EC-C8E9D48EE76E}" name="Ineterest Rate" dataDxfId="27" dataCellStyle="Percent"/>
    <tableColumn id="5" xr3:uid="{B4CAB632-85D7-224B-8B53-7C2C6CB51030}" name="Min Payment" dataDxfId="26"/>
    <tableColumn id="6" xr3:uid="{0D9213BC-03F9-1F4B-99F7-2F93B9EA8522}" name="Year Funds Available for Payoff" dataDxfId="25">
      <calculatedColumnFormula>_xlfn.XLOOKUP(C2,Policy_Amounts[Accumulated Value],Policy_Amounts[Policy Year],"oops",1)</calculatedColumnFormula>
    </tableColumn>
    <tableColumn id="7" xr3:uid="{4BD07800-AEF0-104E-906B-D6D1A4F365B2}" name="Years To Payoff" dataDxfId="24">
      <calculatedColumnFormula>ROUND(SUM(ABS(NPER(D2/12,E2*-1,C2*-1,0,1))/12),2)</calculatedColumnFormula>
    </tableColumn>
    <tableColumn id="8" xr3:uid="{584DCA72-7DFD-4A45-BEBB-FFD8804D7D4E}" name="Interest Saved" dataDxfId="23">
      <calculatedColumnFormula>IF(L2=0,0,CUMIPMT(D2/12,L2*12,K2,1,L2*12,1))</calculatedColumnFormula>
    </tableColumn>
    <tableColumn id="9" xr3:uid="{E185D8B4-5BC2-2549-8F11-0A38E5689672}" name="Column1"/>
    <tableColumn id="10" xr3:uid="{A5439A40-0E51-D748-A2BB-B9B58D9BC781}" name="Principal Paid off until payoff" dataDxfId="22">
      <calculatedColumnFormula>IF(L2=0,"N/A",CUMPRINC(D2/12,G2*12,C2,1,F2*12,1))</calculatedColumnFormula>
    </tableColumn>
    <tableColumn id="11" xr3:uid="{57D374B3-2C09-604A-A0ED-848062438ED0}" name="Principal Remaining at payoff" dataDxfId="21">
      <calculatedColumnFormula>SUM(C2+J2)</calculatedColumnFormula>
    </tableColumn>
    <tableColumn id="12" xr3:uid="{CDE4D54C-B821-C04F-BB7A-25E16B082F8F}" name="years remaining at payoff" dataDxfId="20">
      <calculatedColumnFormula>IF(SUM(G2-F2)&lt;0,0,SUM(G2-F2))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FFA338-6C5C-6F45-992D-4C293A5E2BB3}" name="Table8" displayName="Table8" ref="A1:M5" totalsRowShown="0" headerRowDxfId="19">
  <autoFilter ref="A1:M5" xr:uid="{097045C9-006F-5A41-967C-AFB1674CA936}"/>
  <sortState xmlns:xlrd2="http://schemas.microsoft.com/office/spreadsheetml/2017/richdata2" ref="A2:L5">
    <sortCondition ref="F2:F5"/>
    <sortCondition ref="C2:C5"/>
  </sortState>
  <tableColumns count="13">
    <tableColumn id="1" xr3:uid="{D22673E5-3F11-5F45-A08C-40EFEE087F54}" name="Debt Category"/>
    <tableColumn id="2" xr3:uid="{6F95667B-63B9-6B44-B9C1-4ED7F806A555}" name="Company"/>
    <tableColumn id="3" xr3:uid="{B2B1E23B-657E-DB49-A9D0-FEA490A430D9}" name="Balance" dataDxfId="18"/>
    <tableColumn id="4" xr3:uid="{FB27AAA9-B3F6-DA40-972B-5757F7EDC4BE}" name="Ineterest Rate" dataDxfId="17" dataCellStyle="Percent"/>
    <tableColumn id="5" xr3:uid="{AE8AD7F5-8B2E-B541-8DA9-2C2D6704C9CF}" name="Min Payment" dataDxfId="16"/>
    <tableColumn id="6" xr3:uid="{748145A2-642E-A64D-AB3A-B3F81B3EAB25}" name="Year Funds Available for Payoff" dataDxfId="15">
      <calculatedColumnFormula>_xlfn.XLOOKUP(C2,Policy_Amounts[Accumulated Value],Policy_Amounts[Policy Year],"oops",1)</calculatedColumnFormula>
    </tableColumn>
    <tableColumn id="7" xr3:uid="{217AEF4D-7656-2B49-B70D-0DFB38ECBC9A}" name="Years To Payoff" dataDxfId="14">
      <calculatedColumnFormula>ROUND(SUM(ABS(NPER(D2/12,E2*-1,C2*-1,0,1))/12),2)</calculatedColumnFormula>
    </tableColumn>
    <tableColumn id="8" xr3:uid="{BFD37F3B-875F-CC41-8EE6-4ACD9F9990FA}" name="Interest Saved" dataDxfId="13">
      <calculatedColumnFormula>IF(L2=0,0,CUMIPMT(D2/12,L2*12,K2,1,L2*12,1))</calculatedColumnFormula>
    </tableColumn>
    <tableColumn id="9" xr3:uid="{07E67E76-E545-9A40-9663-5ED4D2DB057D}" name="Column1"/>
    <tableColumn id="10" xr3:uid="{7087F1C8-DCB0-244B-A4AB-03A6C9DC7E57}" name="Principal Paid off until payoff" dataDxfId="12">
      <calculatedColumnFormula>IF(L2=0,"N/A",CUMPRINC(D2/12,G2*12,C2,1,F2*12,1))</calculatedColumnFormula>
    </tableColumn>
    <tableColumn id="11" xr3:uid="{24A75117-5A06-BA40-A190-30A304726493}" name="Principal Remaining at payoff" dataDxfId="11">
      <calculatedColumnFormula>SUM(C2+J2)</calculatedColumnFormula>
    </tableColumn>
    <tableColumn id="12" xr3:uid="{08ECC6F6-41C2-2742-909D-15D233302215}" name="years remaining at payoff" dataDxfId="10">
      <calculatedColumnFormula>IF(SUM(G2-F2)&lt;0,0,SUM(G2-F2))</calculatedColumnFormula>
    </tableColumn>
    <tableColumn id="13" xr3:uid="{1B7489B2-341F-ED4A-ADD1-669DC50DAB01}" name="Interest paid until payoff" dataDxfId="9">
      <calculatedColumnFormula>CUMIPMT(Table8[[#This Row],[Ineterest Rate]]/12,Table8[[#This Row],[Year Funds Available for Payoff]]*12,Table8[[#This Row],[Balance]],1,Table8[[#This Row],[Year Funds Available for Payoff]]*12,1)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99433D-C313-9F40-A16F-F5BCBE40BADE}" name="Policy_Amounts" displayName="Policy_Amounts" ref="A4:L90" totalsRowShown="0" headerRowDxfId="8" headerRowCellStyle="Normal 2" dataCellStyle="Normal 2">
  <autoFilter ref="A4:L90" xr:uid="{7B5DCC7C-05EF-FD48-A0AB-C4BC2B2FF960}"/>
  <tableColumns count="12">
    <tableColumn id="1" xr3:uid="{8E5052A2-C4A5-AC48-B6D7-3EC84535BB26}" name="Policy Year" dataCellStyle="Normal 2"/>
    <tableColumn id="2" xr3:uid="{CFD41711-EA06-4949-94F0-E90D53AA3D6D}" name="Age" dataCellStyle="Normal 2"/>
    <tableColumn id="3" xr3:uid="{AE7BEC57-4218-EB4B-92D5-A7A0D2E9FE69}" name="Planned Premium" dataCellStyle="Normal 2"/>
    <tableColumn id="4" xr3:uid="{B5E90E56-FE25-2D41-AC30-88E9EE6A809C}" name="Withdrawal" dataCellStyle="Normal 2"/>
    <tableColumn id="5" xr3:uid="{28C4E83A-DED1-3C4B-BEFE-E1CCDD24BC8A}" name="Loan" dataCellStyle="Normal 2"/>
    <tableColumn id="6" xr3:uid="{A081F7D5-BB87-0743-8310-F798A708300D}" name="Loan Repayment" dataCellStyle="Normal 2"/>
    <tableColumn id="7" xr3:uid="{9F1DAD49-500B-1A40-8F03-554D54E5471E}" name="Annual Income" dataCellStyle="Normal 2"/>
    <tableColumn id="8" xr3:uid="{5F1BB6DA-FDAE-9648-B919-33B1A448CFB6}" name="Accumulated Value" dataDxfId="7" dataCellStyle="Normal 2"/>
    <tableColumn id="9" xr3:uid="{3C5A12D7-AD19-AC49-AE78-B1D3BDCF3307}" name="Surrender Value" dataDxfId="6" dataCellStyle="Normal 2"/>
    <tableColumn id="10" xr3:uid="{A1AA54B6-B1F1-E243-B048-183062D15957}" name="Net Death Benefit" dataDxfId="5" dataCellStyle="Normal 2"/>
    <tableColumn id="11" xr3:uid="{D545B477-2539-4B47-B96F-AEC42B4AC87A}" name="Column1" dataDxfId="4" dataCellStyle="Normal 2">
      <calculatedColumnFormula>_xlfn.SINGLE(_xlfn.XLOOKUP(Policy_Amounts[[#This Row],[Policy Year]],#REF!,#REF!,0,1))</calculatedColumnFormula>
    </tableColumn>
    <tableColumn id="12" xr3:uid="{7D09DDE3-0CD3-D545-8152-4D8ACA44CA99}" name="remianing" dataDxfId="3" dataCellStyle="Normal 2">
      <calculatedColumnFormula>SUM(Policy_Amounts[[#This Row],[Accumulated Value]]-Policy_Amounts[[#This Row],[Column1]])</calculatedColumnFormula>
    </tableColumn>
  </tableColumns>
  <tableStyleInfo name="Home Loan Comparison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58FF9C-484B-B04A-B0CF-588C8EA21BD0}" name="Table9" displayName="Table9" ref="A1:G87" totalsRowShown="0" headerRowCellStyle="Normal 4" dataCellStyle="Normal 4">
  <autoFilter ref="A1:G87" xr:uid="{396050B3-E6ED-014E-A467-48C6249F27A8}"/>
  <tableColumns count="7">
    <tableColumn id="1" xr3:uid="{DA9A9FBB-1648-E946-BA1F-E6EC01744C07}" name="Age" dataCellStyle="Normal 4"/>
    <tableColumn id="2" xr3:uid="{09CA700C-2B6B-2B43-8B75-2F9F1B7BBEE9}" name="Year" dataCellStyle="Normal 4"/>
    <tableColumn id="3" xr3:uid="{8D94FEB3-DD18-664D-9F8E-79960CCEB9E3}" name="Contribution" dataCellStyle="Normal 4"/>
    <tableColumn id="4" xr3:uid="{D5F1C74B-D4AB-B942-838F-00DB0ED1625B}" name="Cash" dataDxfId="2" dataCellStyle="Normal 4"/>
    <tableColumn id="5" xr3:uid="{620C2B56-EF0E-F141-8EBF-F87C1E5FBDE0}" name="Death" dataDxfId="1" dataCellStyle="Normal 4"/>
    <tableColumn id="6" xr3:uid="{C707A805-2738-E14B-99A7-2D5BFED2DE36}" name="Column1" dataCellStyle="Normal 4"/>
    <tableColumn id="7" xr3:uid="{3FB41555-5700-E546-B9FA-179FDA976F09}" name="Column2" dataDxfId="0" dataCellStyle="Normal 4">
      <calculatedColumnFormula>SUM(Table9[[#This Row],[Cash]]-Table9[[#This Row],[Column1]])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me Loan Comparison">
      <a:dk1>
        <a:sysClr val="windowText" lastClr="000000"/>
      </a:dk1>
      <a:lt1>
        <a:sysClr val="window" lastClr="FFFFFF"/>
      </a:lt1>
      <a:dk2>
        <a:srgbClr val="37081B"/>
      </a:dk2>
      <a:lt2>
        <a:srgbClr val="EBF8FD"/>
      </a:lt2>
      <a:accent1>
        <a:srgbClr val="00A6E3"/>
      </a:accent1>
      <a:accent2>
        <a:srgbClr val="C8D459"/>
      </a:accent2>
      <a:accent3>
        <a:srgbClr val="DC1F6E"/>
      </a:accent3>
      <a:accent4>
        <a:srgbClr val="F28224"/>
      </a:accent4>
      <a:accent5>
        <a:srgbClr val="F0D642"/>
      </a:accent5>
      <a:accent6>
        <a:srgbClr val="9E4F99"/>
      </a:accent6>
      <a:hlink>
        <a:srgbClr val="00A6E3"/>
      </a:hlink>
      <a:folHlink>
        <a:srgbClr val="9E4F99"/>
      </a:folHlink>
    </a:clrScheme>
    <a:fontScheme name="Home Loan Comparison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901-4252-454D-BCE4-D732B41FF1E7}">
  <dimension ref="A1:N13"/>
  <sheetViews>
    <sheetView tabSelected="1" zoomScale="140" zoomScaleNormal="140" workbookViewId="0">
      <selection activeCell="B8" sqref="B8"/>
    </sheetView>
  </sheetViews>
  <sheetFormatPr baseColWidth="10" defaultRowHeight="14" x14ac:dyDescent="0.15"/>
  <cols>
    <col min="1" max="1" width="17" customWidth="1"/>
    <col min="2" max="2" width="19.83203125" customWidth="1"/>
    <col min="3" max="3" width="16.1640625" style="2" customWidth="1"/>
    <col min="4" max="4" width="15.33203125" style="11" customWidth="1"/>
    <col min="5" max="5" width="16.5" style="2" customWidth="1"/>
    <col min="6" max="6" width="16.33203125" style="3" customWidth="1"/>
    <col min="7" max="7" width="17" style="3" customWidth="1"/>
    <col min="8" max="8" width="16.1640625" style="2" bestFit="1" customWidth="1"/>
    <col min="10" max="10" width="28.6640625" style="2" customWidth="1"/>
    <col min="11" max="11" width="29" style="2" customWidth="1"/>
    <col min="12" max="12" width="25" customWidth="1"/>
    <col min="14" max="14" width="12.5" style="1" bestFit="1" customWidth="1"/>
  </cols>
  <sheetData>
    <row r="1" spans="1:14" ht="55" customHeight="1" x14ac:dyDescent="0.15">
      <c r="A1" t="s">
        <v>33</v>
      </c>
      <c r="B1" t="s">
        <v>32</v>
      </c>
      <c r="C1" s="2" t="s">
        <v>29</v>
      </c>
      <c r="D1" s="11" t="s">
        <v>34</v>
      </c>
      <c r="E1" s="2" t="s">
        <v>35</v>
      </c>
      <c r="F1" s="3" t="s">
        <v>36</v>
      </c>
      <c r="G1" s="3" t="s">
        <v>39</v>
      </c>
      <c r="H1" s="2" t="s">
        <v>21</v>
      </c>
      <c r="I1" t="s">
        <v>20</v>
      </c>
      <c r="J1" s="2" t="s">
        <v>40</v>
      </c>
      <c r="K1" s="2" t="s">
        <v>41</v>
      </c>
      <c r="L1" t="s">
        <v>42</v>
      </c>
      <c r="N1" s="1" t="s">
        <v>53</v>
      </c>
    </row>
    <row r="2" spans="1:14" ht="15" x14ac:dyDescent="0.15">
      <c r="A2" t="s">
        <v>44</v>
      </c>
      <c r="B2" t="s">
        <v>43</v>
      </c>
      <c r="C2" s="2">
        <v>8000</v>
      </c>
      <c r="D2" s="11">
        <v>0.22</v>
      </c>
      <c r="E2" s="2">
        <v>95</v>
      </c>
      <c r="F2" s="3" cm="1">
        <f t="array" ref="F2">_xlfn.XLOOKUP(Table83[[#This Row],[Balance]],Table9[[#All],[Cash]],Table9[[#All],[Year]],"oops",1,1)</f>
        <v>2</v>
      </c>
      <c r="G2" s="3">
        <f>ROUND(SUM(ABS(NPER(D2/12,E2*-1,C2*-1,0,1))/12),2)</f>
        <v>4.2300000000000004</v>
      </c>
      <c r="H2" s="2">
        <f>IF(L2=0,0,CUMIPMT(D2/12,L2*12,K2,1,L2*12,1))</f>
        <v>-1259.0478655108391</v>
      </c>
      <c r="J2" s="2">
        <f>IF(L2=0,"N/A",CUMPRINC(D2/12,G2*12,C2,1,F2*12,1))</f>
        <v>-2978.5216892825515</v>
      </c>
      <c r="K2" s="2">
        <f>SUM(C2+J2)</f>
        <v>5021.478310717448</v>
      </c>
      <c r="L2">
        <f>IF(SUM(G2-F2)&lt;0,0,SUM(G2-F2))</f>
        <v>2.2300000000000004</v>
      </c>
      <c r="N2" s="1">
        <f>CUMIPMT(Table83[[#This Row],[Ineterest Rate]]/12,Table83[[#This Row],[years remaining at payoff]]*12,Table83[[#This Row],[Balance]],1,Table83[[#This Row],[years remaining at payoff]]*12,1)</f>
        <v>-2005.8600875740131</v>
      </c>
    </row>
    <row r="3" spans="1:14" ht="15" x14ac:dyDescent="0.15">
      <c r="A3" t="s">
        <v>37</v>
      </c>
      <c r="B3" t="s">
        <v>38</v>
      </c>
      <c r="C3" s="2">
        <v>10000</v>
      </c>
      <c r="D3" s="11">
        <v>0.18</v>
      </c>
      <c r="E3" s="2">
        <v>100</v>
      </c>
      <c r="F3" s="3">
        <v>3</v>
      </c>
      <c r="G3" s="3">
        <f>ROUND(SUM(ABS(NPER(D3/12,E3*-1,C3*-1,0,1))/12),2)</f>
        <v>5.08</v>
      </c>
      <c r="H3" s="2">
        <f>IF(L3=0,0,CUMIPMT(D3/12,L3*12,K3,1,L3*12,1))</f>
        <v>-962.53876171393313</v>
      </c>
      <c r="J3" s="2">
        <f>IF(L3=0,"N/A",CUMPRINC(D3/12,G3*12,C3,1,F3*12,1))</f>
        <v>-4873.5921941357237</v>
      </c>
      <c r="K3" s="2">
        <f>SUM(C3+J3)</f>
        <v>5126.4078058642763</v>
      </c>
      <c r="L3">
        <f>IF(SUM(G3-F3)&lt;0,0,SUM(G3-F3))</f>
        <v>2.08</v>
      </c>
      <c r="N3" s="1">
        <f>CUMIPMT(Table83[[#This Row],[Ineterest Rate]]/12,Table83[[#This Row],[years remaining at payoff]]*12,Table83[[#This Row],[Balance]],1,Table83[[#This Row],[years remaining at payoff]]*12,1)</f>
        <v>-1877.608645595561</v>
      </c>
    </row>
    <row r="4" spans="1:14" ht="15" x14ac:dyDescent="0.15">
      <c r="A4" t="s">
        <v>37</v>
      </c>
      <c r="B4" t="s">
        <v>45</v>
      </c>
      <c r="C4" s="2">
        <v>25000</v>
      </c>
      <c r="D4" s="11">
        <v>0.06</v>
      </c>
      <c r="E4" s="2">
        <v>210</v>
      </c>
      <c r="F4" s="3">
        <v>5</v>
      </c>
      <c r="G4" s="3">
        <f>ROUND(SUM(ABS(NPER(D4/12,E4*-1,C4*-1,0,1))/12),2)</f>
        <v>7.77</v>
      </c>
      <c r="H4" s="2">
        <f>IF(L4=0,0,CUMIPMT(D4/12,L4*12,K4,1,L4*12,1))</f>
        <v>-842.61688515077003</v>
      </c>
      <c r="J4" s="2">
        <f>IF(L4=0,"N/A",CUMPRINC(D4/12,G4*12,C4,1,F4*12,1))</f>
        <v>-14781.069305395959</v>
      </c>
      <c r="K4" s="2">
        <f>SUM(C4+J4)</f>
        <v>10218.930694604041</v>
      </c>
      <c r="L4">
        <f>IF(SUM(G4-F4)&lt;0,0,SUM(G4-F4))</f>
        <v>2.7699999999999996</v>
      </c>
      <c r="N4" s="1">
        <f>CUMIPMT(Table83[[#This Row],[Ineterest Rate]]/12,Table83[[#This Row],[years remaining at payoff]]*12,Table83[[#This Row],[Balance]],1,Table83[[#This Row],[years remaining at payoff]]*12,1)</f>
        <v>-2061.4115858416117</v>
      </c>
    </row>
    <row r="5" spans="1:14" ht="15" x14ac:dyDescent="0.15">
      <c r="A5" t="s">
        <v>46</v>
      </c>
      <c r="B5" t="s">
        <v>47</v>
      </c>
      <c r="C5" s="2">
        <v>40000</v>
      </c>
      <c r="D5" s="11">
        <v>5.5E-2</v>
      </c>
      <c r="E5" s="2">
        <v>130</v>
      </c>
      <c r="F5" s="3">
        <v>8</v>
      </c>
      <c r="G5" s="3">
        <f>ROUND(SUM(ABS(NPER(D5/12,E5*-1,C5*-1,0,1))/12),2)</f>
        <v>15.98</v>
      </c>
      <c r="H5" s="2">
        <f>IF(L5=0,0,CUMIPMT(D5/12,L5*12,K5,1,L5*12,1))</f>
        <v>-5610.3240799991036</v>
      </c>
      <c r="J5" s="2">
        <f>IF(L5=0,"N/A",CUMPRINC(D5/12,G5*12,C5,1,F5*12,1))</f>
        <v>-15819.533531653375</v>
      </c>
      <c r="K5" s="2">
        <f>SUM(C5+J5)</f>
        <v>24180.466468346625</v>
      </c>
      <c r="L5">
        <f>IF(SUM(G5-F5)&lt;0,0,SUM(G5-F5))</f>
        <v>7.98</v>
      </c>
      <c r="N5" s="1">
        <f>CUMIPMT(Table83[[#This Row],[Ineterest Rate]]/12,Table83[[#This Row],[years remaining at payoff]]*12,Table83[[#This Row],[Balance]],1,Table83[[#This Row],[years remaining at payoff]]*12,1)</f>
        <v>-9280.7540952004056</v>
      </c>
    </row>
    <row r="7" spans="1:14" ht="15" x14ac:dyDescent="0.15">
      <c r="C7" s="2">
        <f>SUM(C2:C6)</f>
        <v>83000</v>
      </c>
      <c r="E7" s="2" t="s">
        <v>48</v>
      </c>
      <c r="F7" s="3" t="s">
        <v>49</v>
      </c>
    </row>
    <row r="8" spans="1:14" ht="15" x14ac:dyDescent="0.15">
      <c r="D8" s="11" t="s">
        <v>50</v>
      </c>
      <c r="E8" s="12">
        <f>ROUND(SUM('Sean Sample CSV'!D2)/12,2)</f>
        <v>833.33</v>
      </c>
      <c r="F8" s="2">
        <f>SUM(E2:E7)</f>
        <v>535</v>
      </c>
      <c r="H8" s="2">
        <f>SUM(H2:H7)</f>
        <v>-8674.5275923746449</v>
      </c>
    </row>
    <row r="9" spans="1:14" ht="15" x14ac:dyDescent="0.15">
      <c r="D9" s="11" t="s">
        <v>51</v>
      </c>
      <c r="E9" s="3">
        <f>MAX(Table83[Year Funds Available for Payoff])</f>
        <v>8</v>
      </c>
      <c r="F9" s="3">
        <f>MAX(Table83[Years To Payoff])</f>
        <v>15.98</v>
      </c>
    </row>
    <row r="10" spans="1:14" ht="15" x14ac:dyDescent="0.15">
      <c r="D10" s="11" t="s">
        <v>52</v>
      </c>
      <c r="E10" s="1">
        <f>ABS(SUM(N2:N5))</f>
        <v>15225.634414211592</v>
      </c>
      <c r="F10" s="2">
        <f>ABS(SUM(E10-H8))</f>
        <v>23900.162006586237</v>
      </c>
    </row>
    <row r="11" spans="1:14" ht="15" x14ac:dyDescent="0.15">
      <c r="D11" s="11" t="s">
        <v>54</v>
      </c>
      <c r="E11" s="2">
        <v>732570</v>
      </c>
      <c r="F11" s="3">
        <v>0</v>
      </c>
    </row>
    <row r="12" spans="1:14" ht="15" x14ac:dyDescent="0.15">
      <c r="D12" s="11" t="s">
        <v>55</v>
      </c>
      <c r="E12" s="2">
        <v>7225</v>
      </c>
      <c r="F12" s="3">
        <v>0</v>
      </c>
    </row>
    <row r="13" spans="1:14" ht="30" x14ac:dyDescent="0.15">
      <c r="D13" s="11" t="s">
        <v>56</v>
      </c>
      <c r="E13" s="2">
        <v>90925.865160000001</v>
      </c>
      <c r="F13" s="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4122-42A8-CD48-BE09-604534B6967B}">
  <dimension ref="A1:P13"/>
  <sheetViews>
    <sheetView topLeftCell="D8" zoomScale="190" zoomScaleNormal="190" workbookViewId="0">
      <selection activeCell="J37" sqref="J37"/>
    </sheetView>
  </sheetViews>
  <sheetFormatPr baseColWidth="10" defaultRowHeight="14" x14ac:dyDescent="0.15"/>
  <cols>
    <col min="1" max="1" width="17" customWidth="1"/>
    <col min="2" max="2" width="19.83203125" customWidth="1"/>
    <col min="3" max="3" width="16.1640625" style="2" customWidth="1"/>
    <col min="4" max="4" width="15.33203125" style="11" customWidth="1"/>
    <col min="5" max="5" width="16.5" style="2" customWidth="1"/>
    <col min="6" max="6" width="16.33203125" style="3" customWidth="1"/>
    <col min="7" max="7" width="17" style="3" customWidth="1"/>
    <col min="8" max="8" width="16.1640625" style="2" bestFit="1" customWidth="1"/>
    <col min="10" max="10" width="28.6640625" style="2" customWidth="1"/>
    <col min="11" max="11" width="29" style="2" customWidth="1"/>
    <col min="12" max="12" width="25" customWidth="1"/>
    <col min="13" max="13" width="15.5" customWidth="1"/>
    <col min="14" max="14" width="12.5" style="1" bestFit="1" customWidth="1"/>
  </cols>
  <sheetData>
    <row r="1" spans="1:16" ht="55" customHeight="1" x14ac:dyDescent="0.15">
      <c r="A1" t="s">
        <v>33</v>
      </c>
      <c r="B1" t="s">
        <v>32</v>
      </c>
      <c r="C1" s="2" t="s">
        <v>29</v>
      </c>
      <c r="D1" s="11" t="s">
        <v>34</v>
      </c>
      <c r="E1" s="2" t="s">
        <v>35</v>
      </c>
      <c r="F1" s="3" t="s">
        <v>36</v>
      </c>
      <c r="G1" s="3" t="s">
        <v>39</v>
      </c>
      <c r="H1" s="2" t="s">
        <v>21</v>
      </c>
      <c r="I1" t="s">
        <v>20</v>
      </c>
      <c r="J1" s="2" t="s">
        <v>40</v>
      </c>
      <c r="K1" s="2" t="s">
        <v>41</v>
      </c>
      <c r="L1" t="s">
        <v>42</v>
      </c>
      <c r="M1" s="2" t="s">
        <v>62</v>
      </c>
      <c r="N1" s="1" t="s">
        <v>53</v>
      </c>
    </row>
    <row r="2" spans="1:16" ht="15" x14ac:dyDescent="0.15">
      <c r="A2" t="s">
        <v>44</v>
      </c>
      <c r="B2" t="s">
        <v>43</v>
      </c>
      <c r="C2" s="2">
        <v>8000</v>
      </c>
      <c r="D2" s="11">
        <v>0.22</v>
      </c>
      <c r="E2" s="2">
        <v>95</v>
      </c>
      <c r="F2" s="3">
        <f>_xlfn.XLOOKUP(C2,Policy_Amounts[Accumulated Value],Policy_Amounts[Policy Year],"oops",1)</f>
        <v>1</v>
      </c>
      <c r="G2" s="3">
        <f>ROUND(SUM(ABS(NPER(D2/12,E2*-1,C2*-1,0,1))/12),2)</f>
        <v>4.2300000000000004</v>
      </c>
      <c r="H2" s="2">
        <f>IF(L2=0,0,CUMIPMT(D2/12,L2*12,K2,1,L2*12,1))</f>
        <v>-2505.5727337024691</v>
      </c>
      <c r="J2" s="2">
        <f>IF(L2=0,"N/A",CUMPRINC(D2/12,G2*12,C2,1,F2*12,1))</f>
        <v>-1407.3974764839363</v>
      </c>
      <c r="K2" s="2">
        <f>SUM(C2+J2)</f>
        <v>6592.6025235160632</v>
      </c>
      <c r="L2">
        <f>IF(SUM(G2-F2)&lt;0,0,SUM(G2-F2))</f>
        <v>3.2300000000000004</v>
      </c>
      <c r="M2" s="2">
        <f>CUMIPMT(Table8[[#This Row],[Ineterest Rate]]/12,Table8[[#This Row],[Year Funds Available for Payoff]]*12,Table8[[#This Row],[Balance]],1,Table8[[#This Row],[Year Funds Available for Payoff]]*12,1)</f>
        <v>-823.29994661888668</v>
      </c>
      <c r="N2" s="1">
        <f>CUMIPMT(Table8[[#This Row],[Ineterest Rate]]/12,Table8[[#This Row],[years remaining at payoff]]*12,Table8[[#This Row],[Balance]],1,Table8[[#This Row],[years remaining at payoff]]*12,1)</f>
        <v>-3040.4657035093433</v>
      </c>
      <c r="P2" s="2"/>
    </row>
    <row r="3" spans="1:16" ht="15" x14ac:dyDescent="0.15">
      <c r="A3" t="s">
        <v>37</v>
      </c>
      <c r="B3" t="s">
        <v>38</v>
      </c>
      <c r="C3" s="2">
        <v>10000</v>
      </c>
      <c r="D3" s="11">
        <v>0.18</v>
      </c>
      <c r="E3" s="2">
        <v>100</v>
      </c>
      <c r="F3" s="3">
        <f>_xlfn.XLOOKUP(C3,Policy_Amounts[Accumulated Value],Policy_Amounts[Policy Year],"oops",1)</f>
        <v>2</v>
      </c>
      <c r="G3" s="3">
        <f>ROUND(SUM(ABS(NPER(D3/12,E3*-1,C3*-1,0,1))/12),2)</f>
        <v>5.08</v>
      </c>
      <c r="H3" s="2">
        <f>IF(L3=0,0,CUMIPMT(D3/12,L3*12,K3,1,L3*12,1))</f>
        <v>-2028.00900248583</v>
      </c>
      <c r="J3" s="2">
        <f>IF(L3=0,"N/A",CUMPRINC(D3/12,G3*12,C3,1,F3*12,1))</f>
        <v>-3010.0524106434668</v>
      </c>
      <c r="K3" s="2">
        <f>SUM(C3+J3)</f>
        <v>6989.9475893565332</v>
      </c>
      <c r="L3">
        <f>IF(SUM(G3-F3)&lt;0,0,SUM(G3-F3))</f>
        <v>3.08</v>
      </c>
      <c r="M3" s="2">
        <f>CUMIPMT(Table8[[#This Row],[Ineterest Rate]]/12,Table8[[#This Row],[Year Funds Available for Payoff]]*12,Table8[[#This Row],[Balance]],1,Table8[[#This Row],[Year Funds Available for Payoff]]*12,1)</f>
        <v>-1804.7137661892539</v>
      </c>
      <c r="N3" s="1">
        <f>CUMIPMT(Table8[[#This Row],[Ineterest Rate]]/12,Table8[[#This Row],[years remaining at payoff]]*12,Table8[[#This Row],[Balance]],1,Table8[[#This Row],[years remaining at payoff]]*12,1)</f>
        <v>-2901.3221866982858</v>
      </c>
    </row>
    <row r="4" spans="1:16" ht="15" x14ac:dyDescent="0.15">
      <c r="A4" t="s">
        <v>37</v>
      </c>
      <c r="B4" t="s">
        <v>45</v>
      </c>
      <c r="C4" s="2">
        <v>25000</v>
      </c>
      <c r="D4" s="11">
        <v>0.06</v>
      </c>
      <c r="E4" s="2">
        <v>210</v>
      </c>
      <c r="F4" s="3">
        <f>_xlfn.XLOOKUP(C4,Policy_Amounts[Accumulated Value],Policy_Amounts[Policy Year],"oops",1)</f>
        <v>3</v>
      </c>
      <c r="G4" s="3">
        <f>ROUND(SUM(ABS(NPER(D4/12,E4*-1,C4*-1,0,1))/12),2)</f>
        <v>7.77</v>
      </c>
      <c r="H4" s="2">
        <f>IF(L4=0,0,CUMIPMT(D4/12,L4*12,K4,1,L4*12,1))</f>
        <v>-2436.1731940746995</v>
      </c>
      <c r="J4" s="2">
        <f>IF(L4=0,"N/A",CUMPRINC(D4/12,G4*12,C4,1,F4*12,1))</f>
        <v>-8387.7705589812904</v>
      </c>
      <c r="K4" s="2">
        <f>SUM(C4+J4)</f>
        <v>16612.22944101871</v>
      </c>
      <c r="L4">
        <f>IF(SUM(G4-F4)&lt;0,0,SUM(G4-F4))</f>
        <v>4.7699999999999996</v>
      </c>
      <c r="M4" s="2">
        <f>CUMIPMT(Table8[[#This Row],[Ineterest Rate]]/12,Table8[[#This Row],[Year Funds Available for Payoff]]*12,Table8[[#This Row],[Balance]],1,Table8[[#This Row],[Year Funds Available for Payoff]]*12,1)</f>
        <v>-2243.5260760194979</v>
      </c>
      <c r="N4" s="1">
        <f>CUMIPMT(Table8[[#This Row],[Ineterest Rate]]/12,Table8[[#This Row],[years remaining at payoff]]*12,Table8[[#This Row],[Balance]],1,Table8[[#This Row],[years remaining at payoff]]*12,1)</f>
        <v>-3666.2345694240939</v>
      </c>
    </row>
    <row r="5" spans="1:16" ht="15" x14ac:dyDescent="0.15">
      <c r="A5" t="s">
        <v>46</v>
      </c>
      <c r="B5" t="s">
        <v>47</v>
      </c>
      <c r="C5" s="2">
        <v>40000</v>
      </c>
      <c r="D5" s="11">
        <v>5.5E-2</v>
      </c>
      <c r="E5" s="2">
        <v>130</v>
      </c>
      <c r="F5" s="3">
        <v>8</v>
      </c>
      <c r="G5" s="3">
        <f>ROUND(SUM(ABS(NPER(D5/12,E5*-1,C5*-1,0,1))/12),2)</f>
        <v>15.98</v>
      </c>
      <c r="H5" s="2">
        <f>IF(L5=0,0,CUMIPMT(D5/12,L5*12,K5,1,L5*12,1))</f>
        <v>-5610.3240799991036</v>
      </c>
      <c r="J5" s="2">
        <f>IF(L5=0,"N/A",CUMPRINC(D5/12,G5*12,C5,1,F5*12,1))</f>
        <v>-15819.533531653375</v>
      </c>
      <c r="K5" s="2">
        <f>SUM(C5+J5)</f>
        <v>24180.466468346625</v>
      </c>
      <c r="L5">
        <f>IF(SUM(G5-F5)&lt;0,0,SUM(G5-F5))</f>
        <v>7.98</v>
      </c>
      <c r="M5" s="2">
        <f>CUMIPMT(Table8[[#This Row],[Ineterest Rate]]/12,Table8[[#This Row],[Year Funds Available for Payoff]]*12,Table8[[#This Row],[Balance]],1,Table8[[#This Row],[Year Funds Available for Payoff]]*12,1)</f>
        <v>-9307.4048864930228</v>
      </c>
      <c r="N5" s="1">
        <f>CUMIPMT(Table8[[#This Row],[Ineterest Rate]]/12,Table8[[#This Row],[years remaining at payoff]]*12,Table8[[#This Row],[Balance]],1,Table8[[#This Row],[years remaining at payoff]]*12,1)</f>
        <v>-9280.7540952004056</v>
      </c>
    </row>
    <row r="7" spans="1:16" ht="15" x14ac:dyDescent="0.15">
      <c r="C7" s="2">
        <f>SUM(C2:C6)</f>
        <v>83000</v>
      </c>
      <c r="E7" s="2" t="s">
        <v>48</v>
      </c>
      <c r="F7" s="3" t="s">
        <v>49</v>
      </c>
    </row>
    <row r="8" spans="1:16" ht="15" x14ac:dyDescent="0.15">
      <c r="D8" s="11" t="s">
        <v>50</v>
      </c>
      <c r="E8" s="12">
        <f>ROUND(SUM('Sean Sample CSV'!D2)/12,2)</f>
        <v>833.33</v>
      </c>
      <c r="F8" s="2">
        <f>SUM(E2:E7)</f>
        <v>535</v>
      </c>
      <c r="H8" s="2">
        <f>SUM(H2:H7)</f>
        <v>-12580.079010262103</v>
      </c>
    </row>
    <row r="9" spans="1:16" ht="15" x14ac:dyDescent="0.15">
      <c r="D9" s="11" t="s">
        <v>51</v>
      </c>
      <c r="E9" s="3">
        <f>MAX(Table8[Year Funds Available for Payoff])</f>
        <v>8</v>
      </c>
      <c r="F9" s="3">
        <f>MAX(Table8[Years To Payoff])</f>
        <v>15.98</v>
      </c>
    </row>
    <row r="10" spans="1:16" ht="15" x14ac:dyDescent="0.15">
      <c r="D10" s="11" t="s">
        <v>52</v>
      </c>
      <c r="E10" s="1">
        <f>ABS(SUM(N2:N5))</f>
        <v>18888.776554832129</v>
      </c>
      <c r="F10" s="2">
        <f>ABS(SUM(E10-H8))</f>
        <v>31468.855565094233</v>
      </c>
    </row>
    <row r="11" spans="1:16" ht="15" x14ac:dyDescent="0.15">
      <c r="D11" s="11" t="s">
        <v>54</v>
      </c>
      <c r="E11" s="2">
        <v>732570</v>
      </c>
      <c r="F11" s="3">
        <v>0</v>
      </c>
    </row>
    <row r="12" spans="1:16" ht="15" x14ac:dyDescent="0.15">
      <c r="D12" s="11" t="s">
        <v>55</v>
      </c>
      <c r="E12" s="2">
        <v>7225</v>
      </c>
      <c r="F12" s="3">
        <v>0</v>
      </c>
    </row>
    <row r="13" spans="1:16" ht="30" x14ac:dyDescent="0.15">
      <c r="D13" s="11" t="s">
        <v>56</v>
      </c>
      <c r="E13" s="2">
        <v>90925.865160000001</v>
      </c>
      <c r="F13" s="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9F03-D311-254A-AFBD-AE3E9621B9EE}">
  <dimension ref="A1:S92"/>
  <sheetViews>
    <sheetView zoomScale="140" zoomScaleNormal="140" workbookViewId="0">
      <selection activeCell="G22" sqref="G22"/>
    </sheetView>
  </sheetViews>
  <sheetFormatPr baseColWidth="10" defaultRowHeight="16" x14ac:dyDescent="0.2"/>
  <cols>
    <col min="1" max="1" width="14" style="4" customWidth="1"/>
    <col min="2" max="2" width="11.1640625" style="4" bestFit="1" customWidth="1"/>
    <col min="3" max="3" width="20" style="4" customWidth="1"/>
    <col min="4" max="4" width="15.33203125" style="4" bestFit="1" customWidth="1"/>
    <col min="5" max="5" width="18.33203125" style="4" bestFit="1" customWidth="1"/>
    <col min="6" max="6" width="19" style="4" customWidth="1"/>
    <col min="7" max="7" width="17.33203125" style="4" customWidth="1"/>
    <col min="8" max="8" width="24.83203125" style="5" bestFit="1" customWidth="1"/>
    <col min="9" max="9" width="25.33203125" style="5" bestFit="1" customWidth="1"/>
    <col min="10" max="10" width="21.83203125" style="5" customWidth="1"/>
    <col min="11" max="11" width="13.1640625" style="4" bestFit="1" customWidth="1"/>
    <col min="12" max="12" width="15.5" style="4" bestFit="1" customWidth="1"/>
    <col min="13" max="13" width="23" style="4" bestFit="1" customWidth="1"/>
    <col min="14" max="15" width="14.83203125" style="4" bestFit="1" customWidth="1"/>
    <col min="16" max="18" width="12.83203125" style="4" bestFit="1" customWidth="1"/>
    <col min="19" max="16384" width="10.83203125" style="4"/>
  </cols>
  <sheetData>
    <row r="1" spans="1:19" x14ac:dyDescent="0.2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5" t="s">
        <v>12</v>
      </c>
      <c r="I1" s="5" t="s">
        <v>11</v>
      </c>
    </row>
    <row r="2" spans="1:19" x14ac:dyDescent="0.2">
      <c r="A2" s="4">
        <v>724644</v>
      </c>
      <c r="B2" s="4">
        <v>0</v>
      </c>
      <c r="C2" s="4">
        <v>0</v>
      </c>
      <c r="D2" s="4">
        <v>10000</v>
      </c>
      <c r="E2" s="4">
        <v>3020.45</v>
      </c>
      <c r="F2" s="4">
        <v>6289.91</v>
      </c>
      <c r="G2" s="4">
        <v>19767</v>
      </c>
      <c r="H2" s="5">
        <v>15988</v>
      </c>
      <c r="I2" s="5">
        <v>81161</v>
      </c>
    </row>
    <row r="4" spans="1:19" x14ac:dyDescent="0.2">
      <c r="A4" s="4" t="s">
        <v>10</v>
      </c>
      <c r="B4" s="4" t="s">
        <v>9</v>
      </c>
      <c r="C4" s="4" t="s">
        <v>8</v>
      </c>
      <c r="D4" s="4" t="s">
        <v>7</v>
      </c>
      <c r="E4" s="4" t="s">
        <v>6</v>
      </c>
      <c r="F4" s="4" t="s">
        <v>5</v>
      </c>
      <c r="G4" s="4" t="s">
        <v>4</v>
      </c>
      <c r="H4" s="5" t="s">
        <v>3</v>
      </c>
      <c r="I4" s="5" t="s">
        <v>2</v>
      </c>
      <c r="J4" s="5" t="s">
        <v>1</v>
      </c>
      <c r="K4" s="10" t="s">
        <v>20</v>
      </c>
      <c r="L4" s="10" t="s">
        <v>31</v>
      </c>
      <c r="M4" s="9" t="s">
        <v>30</v>
      </c>
      <c r="P4" s="4" t="s">
        <v>22</v>
      </c>
      <c r="Q4" s="4" t="s">
        <v>23</v>
      </c>
    </row>
    <row r="5" spans="1:19" x14ac:dyDescent="0.2">
      <c r="A5" s="4">
        <v>1</v>
      </c>
      <c r="B5" s="4">
        <v>35</v>
      </c>
      <c r="C5" s="4">
        <v>10000</v>
      </c>
      <c r="D5" s="4">
        <v>0</v>
      </c>
      <c r="E5" s="4">
        <v>0</v>
      </c>
      <c r="F5" s="4">
        <v>0</v>
      </c>
      <c r="G5" s="4">
        <v>0</v>
      </c>
      <c r="H5" s="5">
        <v>8054.7004770000003</v>
      </c>
      <c r="I5" s="5">
        <v>8054.7004729999999</v>
      </c>
      <c r="J5" s="5">
        <v>732698.70050000004</v>
      </c>
      <c r="K5" s="10">
        <v>7000</v>
      </c>
      <c r="L5" s="10">
        <f>SUM(Policy_Amounts[[#This Row],[Accumulated Value]]-Policy_Amounts[[#This Row],[Column1]])</f>
        <v>1054.7004770000003</v>
      </c>
      <c r="M5" s="5">
        <f>SUM(Policy_Amounts[[#This Row],[Net Death Benefit]]-91)</f>
        <v>732607.70050000004</v>
      </c>
      <c r="P5" s="6">
        <f>SUM(Policy_Amounts[[#This Row],[Planned Premium]])</f>
        <v>10000</v>
      </c>
      <c r="Q5" s="5">
        <f t="shared" ref="Q5:Q24" si="0">SUM(H5-P5)</f>
        <v>-1945.2995229999997</v>
      </c>
      <c r="R5" s="7">
        <f t="shared" ref="R5:R23" si="1">SUM(Q5/P5)</f>
        <v>-0.19452995229999998</v>
      </c>
    </row>
    <row r="6" spans="1:19" x14ac:dyDescent="0.2">
      <c r="A6" s="4">
        <v>2</v>
      </c>
      <c r="B6" s="4">
        <v>36</v>
      </c>
      <c r="C6" s="4">
        <v>10000</v>
      </c>
      <c r="D6" s="4">
        <v>0</v>
      </c>
      <c r="E6" s="4">
        <v>0</v>
      </c>
      <c r="F6" s="4">
        <v>0</v>
      </c>
      <c r="G6" s="4">
        <v>0</v>
      </c>
      <c r="H6" s="5">
        <v>16506.545300000002</v>
      </c>
      <c r="I6" s="5">
        <v>16506.545300000002</v>
      </c>
      <c r="J6" s="5">
        <v>741150.5453</v>
      </c>
      <c r="K6" s="10">
        <v>7000</v>
      </c>
      <c r="L6" s="10">
        <f>SUM(Policy_Amounts[[#This Row],[Accumulated Value]]-Policy_Amounts[[#This Row],[Column1]])</f>
        <v>9506.5453000000016</v>
      </c>
      <c r="M6" s="5"/>
      <c r="P6" s="6">
        <f>SUM(P5+Policy_Amounts[[#This Row],[Planned Premium]])</f>
        <v>20000</v>
      </c>
      <c r="Q6" s="5">
        <f t="shared" si="0"/>
        <v>-3493.4546999999984</v>
      </c>
      <c r="R6" s="7">
        <f t="shared" si="1"/>
        <v>-0.17467273499999991</v>
      </c>
    </row>
    <row r="7" spans="1:19" x14ac:dyDescent="0.2">
      <c r="A7" s="4">
        <v>3</v>
      </c>
      <c r="B7" s="4">
        <v>37</v>
      </c>
      <c r="C7" s="4">
        <v>10000</v>
      </c>
      <c r="D7" s="4">
        <v>0</v>
      </c>
      <c r="E7" s="4">
        <v>0</v>
      </c>
      <c r="F7" s="4">
        <v>0</v>
      </c>
      <c r="G7" s="4">
        <v>0</v>
      </c>
      <c r="H7" s="5">
        <v>25392.107059999998</v>
      </c>
      <c r="I7" s="5">
        <v>25392.107059999998</v>
      </c>
      <c r="J7" s="5">
        <v>750036.10710000002</v>
      </c>
      <c r="K7" s="10">
        <v>7000</v>
      </c>
      <c r="L7" s="10">
        <f>SUM(Policy_Amounts[[#This Row],[Accumulated Value]]-Policy_Amounts[[#This Row],[Column1]])</f>
        <v>18392.107059999998</v>
      </c>
      <c r="P7" s="6">
        <f>SUM(P6+Policy_Amounts[[#This Row],[Planned Premium]])</f>
        <v>30000</v>
      </c>
      <c r="Q7" s="5">
        <f t="shared" si="0"/>
        <v>-4607.8929400000015</v>
      </c>
      <c r="R7" s="7">
        <f t="shared" si="1"/>
        <v>-0.15359643133333339</v>
      </c>
      <c r="S7" s="5"/>
    </row>
    <row r="8" spans="1:19" x14ac:dyDescent="0.2">
      <c r="A8" s="4">
        <v>4</v>
      </c>
      <c r="B8" s="4">
        <v>38</v>
      </c>
      <c r="C8" s="4">
        <v>10000</v>
      </c>
      <c r="D8" s="4">
        <v>0</v>
      </c>
      <c r="E8" s="4">
        <v>0</v>
      </c>
      <c r="F8" s="4">
        <v>0</v>
      </c>
      <c r="G8" s="4">
        <v>0</v>
      </c>
      <c r="H8" s="5">
        <v>34738.895190000003</v>
      </c>
      <c r="I8" s="5">
        <v>34738.895190000003</v>
      </c>
      <c r="J8" s="5">
        <v>759382.89520000003</v>
      </c>
      <c r="K8" s="10">
        <v>27000</v>
      </c>
      <c r="L8" s="10">
        <f>SUM(Policy_Amounts[[#This Row],[Accumulated Value]]-Policy_Amounts[[#This Row],[Column1]])</f>
        <v>7738.8951900000029</v>
      </c>
      <c r="P8" s="6">
        <f>SUM(P7+Policy_Amounts[[#This Row],[Planned Premium]])</f>
        <v>40000</v>
      </c>
      <c r="Q8" s="5">
        <f t="shared" si="0"/>
        <v>-5261.1048099999971</v>
      </c>
      <c r="R8" s="7">
        <f t="shared" si="1"/>
        <v>-0.13152762024999992</v>
      </c>
    </row>
    <row r="9" spans="1:19" x14ac:dyDescent="0.2">
      <c r="A9" s="4">
        <v>5</v>
      </c>
      <c r="B9" s="4">
        <v>39</v>
      </c>
      <c r="C9" s="4">
        <v>10000</v>
      </c>
      <c r="D9" s="4">
        <v>0</v>
      </c>
      <c r="E9" s="4">
        <v>0</v>
      </c>
      <c r="F9" s="4">
        <v>0</v>
      </c>
      <c r="G9" s="4">
        <v>0</v>
      </c>
      <c r="H9" s="5">
        <v>44558.250970000001</v>
      </c>
      <c r="I9" s="5">
        <v>44558.250970000001</v>
      </c>
      <c r="J9" s="5">
        <v>769202.25100000005</v>
      </c>
      <c r="K9" s="10">
        <v>27000</v>
      </c>
      <c r="L9" s="10">
        <f>SUM(Policy_Amounts[[#This Row],[Accumulated Value]]-Policy_Amounts[[#This Row],[Column1]])</f>
        <v>17558.250970000001</v>
      </c>
      <c r="M9" s="5">
        <f>SUM(Policy_Amounts[[#This Row],[Net Death Benefit]])-SUM(L5:L9)</f>
        <v>714951.752003</v>
      </c>
      <c r="P9" s="6">
        <f>SUM(P8+Policy_Amounts[[#This Row],[Planned Premium]])</f>
        <v>50000</v>
      </c>
      <c r="Q9" s="5">
        <f t="shared" si="0"/>
        <v>-5441.749029999999</v>
      </c>
      <c r="R9" s="7">
        <f t="shared" si="1"/>
        <v>-0.10883498059999998</v>
      </c>
    </row>
    <row r="10" spans="1:19" x14ac:dyDescent="0.2">
      <c r="A10" s="4">
        <v>6</v>
      </c>
      <c r="B10" s="4">
        <v>40</v>
      </c>
      <c r="C10" s="4">
        <v>10000</v>
      </c>
      <c r="D10" s="4">
        <v>0</v>
      </c>
      <c r="E10" s="4">
        <v>0</v>
      </c>
      <c r="F10" s="4">
        <v>0</v>
      </c>
      <c r="G10" s="4">
        <v>0</v>
      </c>
      <c r="H10" s="5">
        <v>55210.227180000002</v>
      </c>
      <c r="I10" s="5">
        <v>55210.227180000002</v>
      </c>
      <c r="J10" s="5">
        <v>779854.22719999996</v>
      </c>
      <c r="K10" s="10">
        <v>27000</v>
      </c>
      <c r="L10" s="10">
        <f>SUM(Policy_Amounts[[#This Row],[Accumulated Value]]-Policy_Amounts[[#This Row],[Column1]])</f>
        <v>28210.227180000002</v>
      </c>
      <c r="M10" s="5"/>
      <c r="P10" s="6">
        <f>SUM(P9+Policy_Amounts[[#This Row],[Planned Premium]])</f>
        <v>60000</v>
      </c>
      <c r="Q10" s="5">
        <f t="shared" si="0"/>
        <v>-4789.7728199999983</v>
      </c>
      <c r="R10" s="7">
        <f t="shared" si="1"/>
        <v>-7.9829546999999973E-2</v>
      </c>
    </row>
    <row r="11" spans="1:19" x14ac:dyDescent="0.2">
      <c r="A11" s="4">
        <v>7</v>
      </c>
      <c r="B11" s="4">
        <v>41</v>
      </c>
      <c r="C11" s="4">
        <v>10000</v>
      </c>
      <c r="D11" s="4">
        <v>0</v>
      </c>
      <c r="E11" s="4">
        <v>0</v>
      </c>
      <c r="F11" s="4">
        <v>0</v>
      </c>
      <c r="G11" s="4">
        <v>0</v>
      </c>
      <c r="H11" s="5">
        <v>66465.209560000003</v>
      </c>
      <c r="I11" s="5">
        <v>66465.209560000003</v>
      </c>
      <c r="J11" s="5">
        <v>791109.20959999994</v>
      </c>
      <c r="K11" s="10">
        <v>62000</v>
      </c>
      <c r="L11" s="10">
        <f>SUM(Policy_Amounts[[#This Row],[Accumulated Value]]-Policy_Amounts[[#This Row],[Column1]])</f>
        <v>4465.209560000003</v>
      </c>
      <c r="M11" s="5">
        <f>SUM(Policy_Amounts[[#This Row],[Net Death Benefit]])-SUM(L5:L11)</f>
        <v>704183.27386299998</v>
      </c>
      <c r="P11" s="6">
        <f>SUM(P10+Policy_Amounts[[#This Row],[Planned Premium]])</f>
        <v>70000</v>
      </c>
      <c r="Q11" s="5">
        <f t="shared" si="0"/>
        <v>-3534.790439999997</v>
      </c>
      <c r="R11" s="7">
        <f t="shared" si="1"/>
        <v>-5.0497006285714241E-2</v>
      </c>
    </row>
    <row r="12" spans="1:19" x14ac:dyDescent="0.2">
      <c r="A12" s="4">
        <v>8</v>
      </c>
      <c r="B12" s="4">
        <v>42</v>
      </c>
      <c r="C12" s="4">
        <v>10000</v>
      </c>
      <c r="D12" s="4">
        <v>0</v>
      </c>
      <c r="E12" s="4">
        <v>0</v>
      </c>
      <c r="F12" s="4">
        <v>0</v>
      </c>
      <c r="G12" s="4">
        <v>0</v>
      </c>
      <c r="H12" s="5">
        <v>78359.523979999998</v>
      </c>
      <c r="I12" s="5">
        <v>78359.523979999998</v>
      </c>
      <c r="J12" s="5">
        <v>803003.52399999998</v>
      </c>
      <c r="K12" s="10">
        <v>62000</v>
      </c>
      <c r="L12" s="10">
        <f>SUM(Policy_Amounts[[#This Row],[Accumulated Value]]-Policy_Amounts[[#This Row],[Column1]])</f>
        <v>16359.523979999998</v>
      </c>
      <c r="P12" s="6">
        <f>SUM(P11+Policy_Amounts[[#This Row],[Planned Premium]])</f>
        <v>80000</v>
      </c>
      <c r="Q12" s="5">
        <f t="shared" si="0"/>
        <v>-1640.4760200000019</v>
      </c>
      <c r="R12" s="7">
        <f t="shared" si="1"/>
        <v>-2.0505950250000023E-2</v>
      </c>
    </row>
    <row r="13" spans="1:19" x14ac:dyDescent="0.2">
      <c r="A13" s="4">
        <v>9</v>
      </c>
      <c r="B13" s="4">
        <v>43</v>
      </c>
      <c r="C13" s="4">
        <v>10000</v>
      </c>
      <c r="D13" s="4">
        <v>0</v>
      </c>
      <c r="E13" s="4">
        <v>0</v>
      </c>
      <c r="F13" s="4">
        <v>0</v>
      </c>
      <c r="G13" s="4">
        <v>0</v>
      </c>
      <c r="H13" s="5">
        <v>90925.865160000001</v>
      </c>
      <c r="I13" s="5">
        <v>90925.865160000001</v>
      </c>
      <c r="J13" s="5">
        <v>815569.8652</v>
      </c>
      <c r="K13" s="10">
        <v>62000</v>
      </c>
      <c r="L13" s="10">
        <f>SUM(Policy_Amounts[[#This Row],[Accumulated Value]]-Policy_Amounts[[#This Row],[Column1]])</f>
        <v>28925.865160000001</v>
      </c>
      <c r="P13" s="6">
        <f>SUM(P12+Policy_Amounts[[#This Row],[Planned Premium]])</f>
        <v>90000</v>
      </c>
      <c r="Q13" s="5">
        <f t="shared" si="0"/>
        <v>925.8651600000012</v>
      </c>
      <c r="R13" s="7">
        <f t="shared" si="1"/>
        <v>1.0287390666666681E-2</v>
      </c>
    </row>
    <row r="14" spans="1:19" x14ac:dyDescent="0.2">
      <c r="A14" s="4">
        <v>10</v>
      </c>
      <c r="B14" s="4">
        <v>44</v>
      </c>
      <c r="C14" s="4">
        <v>10000</v>
      </c>
      <c r="D14" s="4">
        <v>0</v>
      </c>
      <c r="E14" s="4">
        <v>0</v>
      </c>
      <c r="F14" s="4">
        <v>0</v>
      </c>
      <c r="G14" s="4">
        <v>0</v>
      </c>
      <c r="H14" s="5">
        <v>104198.7007</v>
      </c>
      <c r="I14" s="5">
        <v>104198.7007</v>
      </c>
      <c r="J14" s="5">
        <v>828842.70070000004</v>
      </c>
      <c r="K14" s="10">
        <v>62000</v>
      </c>
      <c r="L14" s="10">
        <f>SUM(Policy_Amounts[[#This Row],[Accumulated Value]]-Policy_Amounts[[#This Row],[Column1]])</f>
        <v>42198.700700000001</v>
      </c>
      <c r="P14" s="6">
        <f>SUM(P13+Policy_Amounts[[#This Row],[Planned Premium]])</f>
        <v>100000</v>
      </c>
      <c r="Q14" s="5">
        <f t="shared" si="0"/>
        <v>4198.7007000000012</v>
      </c>
      <c r="R14" s="7">
        <f t="shared" si="1"/>
        <v>4.1987007000000014E-2</v>
      </c>
    </row>
    <row r="15" spans="1:19" x14ac:dyDescent="0.2">
      <c r="A15" s="4">
        <v>11</v>
      </c>
      <c r="B15" s="4">
        <v>45</v>
      </c>
      <c r="C15" s="4">
        <v>10000</v>
      </c>
      <c r="D15" s="4">
        <v>0</v>
      </c>
      <c r="E15" s="4">
        <v>0</v>
      </c>
      <c r="F15" s="4">
        <v>0</v>
      </c>
      <c r="G15" s="4">
        <v>0</v>
      </c>
      <c r="H15" s="5">
        <v>119940.9856</v>
      </c>
      <c r="I15" s="5">
        <v>119940.9856</v>
      </c>
      <c r="J15" s="5">
        <v>828842.7</v>
      </c>
      <c r="K15" s="10">
        <v>62000</v>
      </c>
      <c r="L15" s="10">
        <f>SUM(Policy_Amounts[[#This Row],[Accumulated Value]]-Policy_Amounts[[#This Row],[Column1]])</f>
        <v>57940.9856</v>
      </c>
      <c r="P15" s="6">
        <f>SUM(P14+Policy_Amounts[[#This Row],[Planned Premium]])</f>
        <v>110000</v>
      </c>
      <c r="Q15" s="5">
        <f t="shared" si="0"/>
        <v>9940.9856</v>
      </c>
      <c r="R15" s="7">
        <f t="shared" si="1"/>
        <v>9.0372596363636357E-2</v>
      </c>
    </row>
    <row r="16" spans="1:19" x14ac:dyDescent="0.2">
      <c r="A16" s="4">
        <v>12</v>
      </c>
      <c r="B16" s="4">
        <v>46</v>
      </c>
      <c r="C16" s="4">
        <v>10000</v>
      </c>
      <c r="D16" s="4">
        <v>0</v>
      </c>
      <c r="E16" s="4">
        <v>0</v>
      </c>
      <c r="F16" s="4">
        <v>0</v>
      </c>
      <c r="G16" s="4">
        <v>0</v>
      </c>
      <c r="H16" s="5">
        <v>136583.37229999999</v>
      </c>
      <c r="I16" s="5">
        <v>136583.37229999999</v>
      </c>
      <c r="J16" s="5">
        <v>828842.7</v>
      </c>
      <c r="K16" s="10">
        <v>62000</v>
      </c>
      <c r="L16" s="10">
        <f>SUM(Policy_Amounts[[#This Row],[Accumulated Value]]-Policy_Amounts[[#This Row],[Column1]])</f>
        <v>74583.372299999988</v>
      </c>
      <c r="P16" s="6">
        <f>SUM(P15+Policy_Amounts[[#This Row],[Planned Premium]])</f>
        <v>120000</v>
      </c>
      <c r="Q16" s="5">
        <f t="shared" si="0"/>
        <v>16583.372299999988</v>
      </c>
      <c r="R16" s="7">
        <f t="shared" si="1"/>
        <v>0.13819476916666656</v>
      </c>
    </row>
    <row r="17" spans="1:19" x14ac:dyDescent="0.2">
      <c r="A17" s="4">
        <v>13</v>
      </c>
      <c r="B17" s="4">
        <v>47</v>
      </c>
      <c r="C17" s="4">
        <v>10000</v>
      </c>
      <c r="D17" s="4">
        <v>0</v>
      </c>
      <c r="E17" s="4">
        <v>0</v>
      </c>
      <c r="F17" s="4">
        <v>0</v>
      </c>
      <c r="G17" s="4">
        <v>0</v>
      </c>
      <c r="H17" s="5">
        <v>154190.03659999999</v>
      </c>
      <c r="I17" s="5">
        <v>154190.03659999999</v>
      </c>
      <c r="J17" s="5">
        <v>828842.7</v>
      </c>
      <c r="K17" s="10">
        <v>62000</v>
      </c>
      <c r="L17" s="10">
        <f>SUM(Policy_Amounts[[#This Row],[Accumulated Value]]-Policy_Amounts[[#This Row],[Column1]])</f>
        <v>92190.036599999992</v>
      </c>
      <c r="P17" s="6">
        <f>SUM(P16+Policy_Amounts[[#This Row],[Planned Premium]])</f>
        <v>130000</v>
      </c>
      <c r="Q17" s="5">
        <f t="shared" si="0"/>
        <v>24190.036599999992</v>
      </c>
      <c r="R17" s="7">
        <f t="shared" si="1"/>
        <v>0.18607720461538454</v>
      </c>
    </row>
    <row r="18" spans="1:19" x14ac:dyDescent="0.2">
      <c r="A18" s="4">
        <v>14</v>
      </c>
      <c r="B18" s="4">
        <v>48</v>
      </c>
      <c r="C18" s="4">
        <v>10000</v>
      </c>
      <c r="D18" s="4">
        <v>0</v>
      </c>
      <c r="E18" s="4">
        <v>0</v>
      </c>
      <c r="F18" s="4">
        <v>0</v>
      </c>
      <c r="G18" s="4">
        <v>0</v>
      </c>
      <c r="H18" s="5">
        <v>172816.44699999999</v>
      </c>
      <c r="I18" s="5">
        <v>172816.44699999999</v>
      </c>
      <c r="J18" s="5">
        <v>828842.7</v>
      </c>
      <c r="K18" s="10">
        <v>62000</v>
      </c>
      <c r="L18" s="10">
        <f>SUM(Policy_Amounts[[#This Row],[Accumulated Value]]-Policy_Amounts[[#This Row],[Column1]])</f>
        <v>110816.44699999999</v>
      </c>
      <c r="P18" s="6">
        <f>SUM(P17+Policy_Amounts[[#This Row],[Planned Premium]])</f>
        <v>140000</v>
      </c>
      <c r="Q18" s="5">
        <f t="shared" si="0"/>
        <v>32816.446999999986</v>
      </c>
      <c r="R18" s="7">
        <f t="shared" si="1"/>
        <v>0.23440319285714276</v>
      </c>
    </row>
    <row r="19" spans="1:19" x14ac:dyDescent="0.2">
      <c r="A19" s="4">
        <v>15</v>
      </c>
      <c r="B19" s="4">
        <v>49</v>
      </c>
      <c r="C19" s="4">
        <v>10000</v>
      </c>
      <c r="D19" s="4">
        <v>0</v>
      </c>
      <c r="E19" s="4">
        <v>0</v>
      </c>
      <c r="F19" s="4">
        <v>0</v>
      </c>
      <c r="G19" s="4">
        <v>0</v>
      </c>
      <c r="H19" s="5">
        <v>192528.87890000001</v>
      </c>
      <c r="I19" s="5">
        <v>192528.87890000001</v>
      </c>
      <c r="J19" s="5">
        <v>828842.7</v>
      </c>
      <c r="K19" s="10">
        <v>62000</v>
      </c>
      <c r="L19" s="10">
        <f>SUM(Policy_Amounts[[#This Row],[Accumulated Value]]-Policy_Amounts[[#This Row],[Column1]])</f>
        <v>130528.87890000001</v>
      </c>
      <c r="P19" s="6">
        <f>SUM(P18+Policy_Amounts[[#This Row],[Planned Premium]])</f>
        <v>150000</v>
      </c>
      <c r="Q19" s="5">
        <f t="shared" si="0"/>
        <v>42528.878900000011</v>
      </c>
      <c r="R19" s="7">
        <f t="shared" si="1"/>
        <v>0.28352585933333341</v>
      </c>
    </row>
    <row r="20" spans="1:19" x14ac:dyDescent="0.2">
      <c r="A20" s="4">
        <v>16</v>
      </c>
      <c r="B20" s="4">
        <v>50</v>
      </c>
      <c r="C20" s="4">
        <v>10000</v>
      </c>
      <c r="D20" s="4">
        <v>0</v>
      </c>
      <c r="E20" s="4">
        <v>0</v>
      </c>
      <c r="F20" s="4">
        <v>0</v>
      </c>
      <c r="G20" s="4">
        <v>0</v>
      </c>
      <c r="H20" s="5">
        <v>213392.12330000001</v>
      </c>
      <c r="I20" s="5">
        <v>213392.12330000001</v>
      </c>
      <c r="J20" s="5">
        <v>828842.7</v>
      </c>
      <c r="K20" s="10">
        <v>62000</v>
      </c>
      <c r="L20" s="10">
        <f>SUM(Policy_Amounts[[#This Row],[Accumulated Value]]-Policy_Amounts[[#This Row],[Column1]])</f>
        <v>151392.12330000001</v>
      </c>
      <c r="P20" s="6">
        <f>SUM(P19+Policy_Amounts[[#This Row],[Planned Premium]])</f>
        <v>160000</v>
      </c>
      <c r="Q20" s="5">
        <f t="shared" si="0"/>
        <v>53392.123300000007</v>
      </c>
      <c r="R20" s="7">
        <f t="shared" si="1"/>
        <v>0.33370077062500003</v>
      </c>
    </row>
    <row r="21" spans="1:19" x14ac:dyDescent="0.2">
      <c r="A21" s="4">
        <v>17</v>
      </c>
      <c r="B21" s="4">
        <v>51</v>
      </c>
      <c r="C21" s="4">
        <v>10000</v>
      </c>
      <c r="D21" s="4">
        <v>0</v>
      </c>
      <c r="E21" s="4">
        <v>0</v>
      </c>
      <c r="F21" s="4">
        <v>0</v>
      </c>
      <c r="G21" s="4">
        <v>0</v>
      </c>
      <c r="H21" s="5">
        <v>235480.58050000001</v>
      </c>
      <c r="I21" s="5">
        <v>235480.58050000001</v>
      </c>
      <c r="J21" s="5">
        <v>828842.7</v>
      </c>
      <c r="K21" s="10">
        <v>62000</v>
      </c>
      <c r="L21" s="10">
        <f>SUM(Policy_Amounts[[#This Row],[Accumulated Value]]-Policy_Amounts[[#This Row],[Column1]])</f>
        <v>173480.58050000001</v>
      </c>
      <c r="P21" s="6">
        <f>SUM(P20+Policy_Amounts[[#This Row],[Planned Premium]])</f>
        <v>170000</v>
      </c>
      <c r="Q21" s="5">
        <f t="shared" si="0"/>
        <v>65480.580500000011</v>
      </c>
      <c r="R21" s="7">
        <f t="shared" si="1"/>
        <v>0.38517988529411773</v>
      </c>
    </row>
    <row r="22" spans="1:19" x14ac:dyDescent="0.2">
      <c r="A22" s="4">
        <v>18</v>
      </c>
      <c r="B22" s="4">
        <v>52</v>
      </c>
      <c r="C22" s="4">
        <v>10000</v>
      </c>
      <c r="D22" s="4">
        <v>0</v>
      </c>
      <c r="E22" s="4">
        <v>0</v>
      </c>
      <c r="F22" s="4">
        <v>0</v>
      </c>
      <c r="G22" s="4">
        <v>0</v>
      </c>
      <c r="H22" s="5">
        <v>258869.36739999999</v>
      </c>
      <c r="I22" s="5">
        <v>258869.36739999999</v>
      </c>
      <c r="J22" s="5">
        <v>828842.7</v>
      </c>
      <c r="K22" s="10">
        <v>62000</v>
      </c>
      <c r="L22" s="10">
        <f>SUM(Policy_Amounts[[#This Row],[Accumulated Value]]-Policy_Amounts[[#This Row],[Column1]])</f>
        <v>196869.36739999999</v>
      </c>
      <c r="P22" s="6">
        <f>SUM(P21+Policy_Amounts[[#This Row],[Planned Premium]])</f>
        <v>180000</v>
      </c>
      <c r="Q22" s="5">
        <f t="shared" si="0"/>
        <v>78869.367399999988</v>
      </c>
      <c r="R22" s="7">
        <f t="shared" si="1"/>
        <v>0.43816315222222213</v>
      </c>
    </row>
    <row r="23" spans="1:19" x14ac:dyDescent="0.2">
      <c r="A23" s="4">
        <v>19</v>
      </c>
      <c r="B23" s="4">
        <v>53</v>
      </c>
      <c r="C23" s="4">
        <v>10000</v>
      </c>
      <c r="D23" s="4">
        <v>0</v>
      </c>
      <c r="E23" s="4">
        <v>0</v>
      </c>
      <c r="F23" s="4">
        <v>0</v>
      </c>
      <c r="G23" s="4">
        <v>0</v>
      </c>
      <c r="H23" s="5">
        <v>283634.22240000003</v>
      </c>
      <c r="I23" s="5">
        <v>283634.22240000003</v>
      </c>
      <c r="J23" s="5">
        <v>828842.7</v>
      </c>
      <c r="K23" s="10">
        <v>62000</v>
      </c>
      <c r="L23" s="10">
        <f>SUM(Policy_Amounts[[#This Row],[Accumulated Value]]-Policy_Amounts[[#This Row],[Column1]])</f>
        <v>221634.22240000003</v>
      </c>
      <c r="P23" s="6">
        <f>SUM(P22+Policy_Amounts[[#This Row],[Planned Premium]])</f>
        <v>190000</v>
      </c>
      <c r="Q23" s="5">
        <f t="shared" si="0"/>
        <v>93634.222400000028</v>
      </c>
      <c r="R23" s="7">
        <f t="shared" si="1"/>
        <v>0.49281169684210541</v>
      </c>
    </row>
    <row r="24" spans="1:19" x14ac:dyDescent="0.2">
      <c r="A24" s="4">
        <v>20</v>
      </c>
      <c r="B24" s="4">
        <v>54</v>
      </c>
      <c r="C24" s="4">
        <v>10000</v>
      </c>
      <c r="D24" s="4">
        <v>0</v>
      </c>
      <c r="E24" s="4">
        <v>0</v>
      </c>
      <c r="F24" s="4">
        <v>0</v>
      </c>
      <c r="G24" s="4">
        <v>0</v>
      </c>
      <c r="H24" s="5">
        <v>309858.22730000003</v>
      </c>
      <c r="I24" s="5">
        <v>309858.22730000003</v>
      </c>
      <c r="J24" s="5">
        <v>828842.7</v>
      </c>
      <c r="K24" s="10">
        <v>62000</v>
      </c>
      <c r="L24" s="10">
        <f>SUM(Policy_Amounts[[#This Row],[Accumulated Value]]-Policy_Amounts[[#This Row],[Column1]])</f>
        <v>247858.22730000003</v>
      </c>
      <c r="P24" s="6">
        <f>SUM(P23+Policy_Amounts[[#This Row],[Planned Premium]])</f>
        <v>200000</v>
      </c>
      <c r="Q24" s="5">
        <f t="shared" si="0"/>
        <v>109858.22730000003</v>
      </c>
      <c r="R24" s="7">
        <f>SUM(Q24/P24)</f>
        <v>0.54929113650000017</v>
      </c>
    </row>
    <row r="25" spans="1:19" x14ac:dyDescent="0.2">
      <c r="A25" s="4">
        <v>21</v>
      </c>
      <c r="B25" s="4">
        <v>55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5">
        <v>327612.88179999997</v>
      </c>
      <c r="I25" s="5">
        <v>327612.88179999997</v>
      </c>
      <c r="J25" s="5">
        <v>828842.7</v>
      </c>
      <c r="K25" s="10">
        <v>62000</v>
      </c>
      <c r="L25" s="10">
        <f>SUM(Policy_Amounts[[#This Row],[Accumulated Value]]-Policy_Amounts[[#This Row],[Column1]])</f>
        <v>265612.88179999997</v>
      </c>
      <c r="R25" s="8">
        <f>FV(0.05/12,20*12,10000/12,,1)</f>
        <v>-343955.25733430334</v>
      </c>
    </row>
    <row r="26" spans="1:19" x14ac:dyDescent="0.2">
      <c r="A26" s="4">
        <v>22</v>
      </c>
      <c r="B26" s="4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346385.0159</v>
      </c>
      <c r="I26" s="5">
        <v>346385.0159</v>
      </c>
      <c r="J26" s="5">
        <v>828842.7</v>
      </c>
      <c r="K26" s="10">
        <v>62000</v>
      </c>
      <c r="L26" s="10">
        <f>SUM(Policy_Amounts[[#This Row],[Accumulated Value]]-Policy_Amounts[[#This Row],[Column1]])</f>
        <v>284385.0159</v>
      </c>
      <c r="R26" s="5">
        <f>SUM(H25+R25)</f>
        <v>-16342.37553430337</v>
      </c>
      <c r="S26" s="4" t="s">
        <v>24</v>
      </c>
    </row>
    <row r="27" spans="1:19" x14ac:dyDescent="0.2">
      <c r="A27" s="4">
        <v>23</v>
      </c>
      <c r="B27" s="4">
        <v>57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5">
        <v>366225.30670000002</v>
      </c>
      <c r="I27" s="5">
        <v>366225.30670000002</v>
      </c>
      <c r="J27" s="5">
        <v>828842.7</v>
      </c>
      <c r="K27" s="10">
        <v>62000</v>
      </c>
      <c r="L27" s="10">
        <f>SUM(Policy_Amounts[[#This Row],[Accumulated Value]]-Policy_Amounts[[#This Row],[Column1]])</f>
        <v>304225.30670000002</v>
      </c>
      <c r="R27" s="5">
        <f>SUM(R26/20)</f>
        <v>-817.11877671516845</v>
      </c>
      <c r="S27" s="4" t="s">
        <v>25</v>
      </c>
    </row>
    <row r="28" spans="1:19" x14ac:dyDescent="0.2">
      <c r="A28" s="4">
        <v>24</v>
      </c>
      <c r="B28" s="4">
        <v>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387179.06839999999</v>
      </c>
      <c r="I28" s="5">
        <v>387179.06839999999</v>
      </c>
      <c r="J28" s="5">
        <v>828842.7</v>
      </c>
      <c r="K28" s="10">
        <v>62000</v>
      </c>
      <c r="L28" s="10">
        <f>SUM(Policy_Amounts[[#This Row],[Accumulated Value]]-Policy_Amounts[[#This Row],[Column1]])</f>
        <v>325179.06839999999</v>
      </c>
      <c r="R28" s="5">
        <f>SUM(R27)/12</f>
        <v>-68.093231392930704</v>
      </c>
      <c r="S28" s="4" t="s">
        <v>26</v>
      </c>
    </row>
    <row r="29" spans="1:19" x14ac:dyDescent="0.2">
      <c r="A29" s="4">
        <v>25</v>
      </c>
      <c r="B29" s="4">
        <v>59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>
        <v>409293.06660000002</v>
      </c>
      <c r="I29" s="5">
        <v>409293.06660000002</v>
      </c>
      <c r="J29" s="5">
        <v>828842.7</v>
      </c>
      <c r="K29" s="10">
        <v>62000</v>
      </c>
      <c r="L29" s="10">
        <f>SUM(Policy_Amounts[[#This Row],[Accumulated Value]]-Policy_Amounts[[#This Row],[Column1]])</f>
        <v>347293.06660000002</v>
      </c>
      <c r="S29" s="4" t="s">
        <v>27</v>
      </c>
    </row>
    <row r="30" spans="1:19" x14ac:dyDescent="0.2">
      <c r="A30" s="4">
        <v>26</v>
      </c>
      <c r="B30" s="4">
        <v>60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5">
        <v>434205.31109999999</v>
      </c>
      <c r="I30" s="5">
        <v>434205.31109999999</v>
      </c>
      <c r="J30" s="5">
        <v>828842.7</v>
      </c>
      <c r="K30" s="10">
        <v>62000</v>
      </c>
      <c r="L30" s="10">
        <f>SUM(Policy_Amounts[[#This Row],[Accumulated Value]]-Policy_Amounts[[#This Row],[Column1]])</f>
        <v>372205.31109999999</v>
      </c>
      <c r="S30" s="4" t="s">
        <v>28</v>
      </c>
    </row>
    <row r="31" spans="1:19" x14ac:dyDescent="0.2">
      <c r="A31" s="4">
        <v>27</v>
      </c>
      <c r="B31" s="4">
        <v>61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460692.261</v>
      </c>
      <c r="I31" s="5">
        <v>460692.261</v>
      </c>
      <c r="J31" s="5">
        <v>828842.7</v>
      </c>
      <c r="K31" s="10">
        <v>62000</v>
      </c>
      <c r="L31" s="10">
        <f>SUM(Policy_Amounts[[#This Row],[Accumulated Value]]-Policy_Amounts[[#This Row],[Column1]])</f>
        <v>398692.261</v>
      </c>
    </row>
    <row r="32" spans="1:19" x14ac:dyDescent="0.2">
      <c r="A32" s="4">
        <v>28</v>
      </c>
      <c r="B32" s="4">
        <v>62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5">
        <v>488862.07169999997</v>
      </c>
      <c r="I32" s="5">
        <v>488862.07169999997</v>
      </c>
      <c r="J32" s="5">
        <v>828842.7</v>
      </c>
      <c r="K32" s="10">
        <v>62000</v>
      </c>
      <c r="L32" s="10">
        <f>SUM(Policy_Amounts[[#This Row],[Accumulated Value]]-Policy_Amounts[[#This Row],[Column1]])</f>
        <v>426862.07169999997</v>
      </c>
    </row>
    <row r="33" spans="1:12" x14ac:dyDescent="0.2">
      <c r="A33" s="4">
        <v>29</v>
      </c>
      <c r="B33" s="4">
        <v>63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>
        <v>518832.08740000002</v>
      </c>
      <c r="I33" s="5">
        <v>518832.08740000002</v>
      </c>
      <c r="J33" s="5">
        <v>828842.7</v>
      </c>
      <c r="K33" s="10">
        <v>62000</v>
      </c>
      <c r="L33" s="10">
        <f>SUM(Policy_Amounts[[#This Row],[Accumulated Value]]-Policy_Amounts[[#This Row],[Column1]])</f>
        <v>456832.08740000002</v>
      </c>
    </row>
    <row r="34" spans="1:12" x14ac:dyDescent="0.2">
      <c r="A34" s="4">
        <v>30</v>
      </c>
      <c r="B34" s="4">
        <v>64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5">
        <v>550733.42660000001</v>
      </c>
      <c r="I34" s="5">
        <v>550733.42660000001</v>
      </c>
      <c r="J34" s="5">
        <v>828842.7</v>
      </c>
      <c r="K34" s="10">
        <v>62000</v>
      </c>
      <c r="L34" s="10">
        <f>SUM(Policy_Amounts[[#This Row],[Accumulated Value]]-Policy_Amounts[[#This Row],[Column1]])</f>
        <v>488733.42660000001</v>
      </c>
    </row>
    <row r="35" spans="1:12" x14ac:dyDescent="0.2">
      <c r="A35" s="4">
        <v>31</v>
      </c>
      <c r="B35" s="4">
        <v>65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>
        <v>584706.17310000001</v>
      </c>
      <c r="I35" s="5">
        <v>584706.17310000001</v>
      </c>
      <c r="J35" s="5">
        <v>828842.7</v>
      </c>
      <c r="K35" s="10">
        <v>62000</v>
      </c>
      <c r="L35" s="10">
        <f>SUM(Policy_Amounts[[#This Row],[Accumulated Value]]-Policy_Amounts[[#This Row],[Column1]])</f>
        <v>522706.17310000001</v>
      </c>
    </row>
    <row r="36" spans="1:12" x14ac:dyDescent="0.2">
      <c r="A36" s="4">
        <v>32</v>
      </c>
      <c r="B36" s="4">
        <v>66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620908.76679999998</v>
      </c>
      <c r="I36" s="5">
        <v>620908.76679999998</v>
      </c>
      <c r="J36" s="5">
        <v>828842.7</v>
      </c>
      <c r="K36" s="10">
        <v>62000</v>
      </c>
      <c r="L36" s="10">
        <f>SUM(Policy_Amounts[[#This Row],[Accumulated Value]]-Policy_Amounts[[#This Row],[Column1]])</f>
        <v>558908.76679999998</v>
      </c>
    </row>
    <row r="37" spans="1:12" x14ac:dyDescent="0.2">
      <c r="A37" s="4">
        <v>33</v>
      </c>
      <c r="B37" s="4">
        <v>67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>
        <v>659519.84329999995</v>
      </c>
      <c r="I37" s="5">
        <v>659519.84329999995</v>
      </c>
      <c r="J37" s="5">
        <v>828842.7</v>
      </c>
      <c r="K37" s="10">
        <v>62000</v>
      </c>
      <c r="L37" s="10">
        <f>SUM(Policy_Amounts[[#This Row],[Accumulated Value]]-Policy_Amounts[[#This Row],[Column1]])</f>
        <v>597519.84329999995</v>
      </c>
    </row>
    <row r="38" spans="1:12" x14ac:dyDescent="0.2">
      <c r="A38" s="4">
        <v>34</v>
      </c>
      <c r="B38" s="4">
        <v>68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700739.24129999999</v>
      </c>
      <c r="I38" s="5">
        <v>700739.24129999999</v>
      </c>
      <c r="J38" s="5">
        <v>828842.7</v>
      </c>
      <c r="K38" s="10">
        <v>62000</v>
      </c>
      <c r="L38" s="10">
        <f>SUM(Policy_Amounts[[#This Row],[Accumulated Value]]-Policy_Amounts[[#This Row],[Column1]])</f>
        <v>638739.24129999999</v>
      </c>
    </row>
    <row r="39" spans="1:12" x14ac:dyDescent="0.2">
      <c r="A39" s="4">
        <v>35</v>
      </c>
      <c r="B39" s="4">
        <v>69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5">
        <v>744739.02930000005</v>
      </c>
      <c r="I39" s="5">
        <v>744739.02930000005</v>
      </c>
      <c r="J39" s="5">
        <v>863897.27399999998</v>
      </c>
      <c r="K39" s="10">
        <v>62000</v>
      </c>
      <c r="L39" s="10">
        <f>SUM(Policy_Amounts[[#This Row],[Accumulated Value]]-Policy_Amounts[[#This Row],[Column1]])</f>
        <v>682739.02930000005</v>
      </c>
    </row>
    <row r="40" spans="1:12" x14ac:dyDescent="0.2">
      <c r="A40" s="4">
        <v>36</v>
      </c>
      <c r="B40" s="4">
        <v>70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5">
        <v>791496.49719999998</v>
      </c>
      <c r="I40" s="5">
        <v>791496.49719999998</v>
      </c>
      <c r="J40" s="5">
        <v>910220.97180000006</v>
      </c>
      <c r="K40" s="10"/>
      <c r="L40" s="10">
        <f>SUM(Policy_Amounts[[#This Row],[Accumulated Value]]-Policy_Amounts[[#This Row],[Column1]])</f>
        <v>791496.49719999998</v>
      </c>
    </row>
    <row r="41" spans="1:12" x14ac:dyDescent="0.2">
      <c r="A41" s="4">
        <v>37</v>
      </c>
      <c r="B41" s="4">
        <v>71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5">
        <v>841225.93409999995</v>
      </c>
      <c r="I41" s="5">
        <v>841225.93409999995</v>
      </c>
      <c r="J41" s="5">
        <v>950585.30559999996</v>
      </c>
      <c r="K41" s="10"/>
      <c r="L41" s="10">
        <f>SUM(Policy_Amounts[[#This Row],[Accumulated Value]]-Policy_Amounts[[#This Row],[Column1]])</f>
        <v>841225.93409999995</v>
      </c>
    </row>
    <row r="42" spans="1:12" x14ac:dyDescent="0.2">
      <c r="A42" s="4">
        <v>38</v>
      </c>
      <c r="B42" s="4">
        <v>72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894138.56599999999</v>
      </c>
      <c r="I42" s="5">
        <v>894138.56599999999</v>
      </c>
      <c r="J42" s="5">
        <v>992493.80830000003</v>
      </c>
      <c r="K42" s="10"/>
      <c r="L42" s="10">
        <f>SUM(Policy_Amounts[[#This Row],[Accumulated Value]]-Policy_Amounts[[#This Row],[Column1]])</f>
        <v>894138.56599999999</v>
      </c>
    </row>
    <row r="43" spans="1:12" x14ac:dyDescent="0.2">
      <c r="A43" s="4">
        <v>39</v>
      </c>
      <c r="B43" s="4">
        <v>73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5">
        <v>950470.28350000002</v>
      </c>
      <c r="I43" s="5">
        <v>950470.28350000002</v>
      </c>
      <c r="J43" s="5">
        <v>1036012.6090000001</v>
      </c>
      <c r="K43" s="10"/>
      <c r="L43" s="10">
        <f>SUM(Policy_Amounts[[#This Row],[Accumulated Value]]-Policy_Amounts[[#This Row],[Column1]])</f>
        <v>950470.28350000002</v>
      </c>
    </row>
    <row r="44" spans="1:12" x14ac:dyDescent="0.2">
      <c r="A44" s="4">
        <v>40</v>
      </c>
      <c r="B44" s="4">
        <v>74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1010484.89</v>
      </c>
      <c r="I44" s="5">
        <v>1010484.89</v>
      </c>
      <c r="J44" s="5">
        <v>1081218.8319999999</v>
      </c>
      <c r="K44" s="10"/>
      <c r="L44" s="10">
        <f>SUM(Policy_Amounts[[#This Row],[Accumulated Value]]-Policy_Amounts[[#This Row],[Column1]])</f>
        <v>1010484.89</v>
      </c>
    </row>
    <row r="45" spans="1:12" x14ac:dyDescent="0.2">
      <c r="A45" s="4">
        <v>41</v>
      </c>
      <c r="B45" s="4">
        <v>75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5">
        <v>1074479.615</v>
      </c>
      <c r="I45" s="5">
        <v>1074479.615</v>
      </c>
      <c r="J45" s="5">
        <v>1128203.5959999999</v>
      </c>
      <c r="K45" s="10"/>
      <c r="L45" s="10">
        <f>SUM(Policy_Amounts[[#This Row],[Accumulated Value]]-Policy_Amounts[[#This Row],[Column1]])</f>
        <v>1074479.615</v>
      </c>
    </row>
    <row r="46" spans="1:12" x14ac:dyDescent="0.2">
      <c r="A46" s="4">
        <v>42</v>
      </c>
      <c r="B46" s="4">
        <v>76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1142437.8459999999</v>
      </c>
      <c r="I46" s="5">
        <v>1142437.8459999999</v>
      </c>
      <c r="J46" s="5">
        <v>1199559.7379999999</v>
      </c>
      <c r="K46" s="10"/>
      <c r="L46" s="10">
        <f>SUM(Policy_Amounts[[#This Row],[Accumulated Value]]-Policy_Amounts[[#This Row],[Column1]])</f>
        <v>1142437.8459999999</v>
      </c>
    </row>
    <row r="47" spans="1:12" x14ac:dyDescent="0.2">
      <c r="A47" s="4">
        <v>43</v>
      </c>
      <c r="B47" s="4">
        <v>77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5">
        <v>1214587.3319999999</v>
      </c>
      <c r="I47" s="5">
        <v>1214587.3319999999</v>
      </c>
      <c r="J47" s="5">
        <v>1275316.699</v>
      </c>
      <c r="K47" s="10"/>
      <c r="L47" s="10">
        <f>SUM(Policy_Amounts[[#This Row],[Accumulated Value]]-Policy_Amounts[[#This Row],[Column1]])</f>
        <v>1214587.3319999999</v>
      </c>
    </row>
    <row r="48" spans="1:12" x14ac:dyDescent="0.2">
      <c r="A48" s="4">
        <v>44</v>
      </c>
      <c r="B48" s="4">
        <v>78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5">
        <v>1291165.7949999999</v>
      </c>
      <c r="I48" s="5">
        <v>1291165.7949999999</v>
      </c>
      <c r="J48" s="5">
        <v>1355724.085</v>
      </c>
      <c r="K48" s="10"/>
      <c r="L48" s="10">
        <f>SUM(Policy_Amounts[[#This Row],[Accumulated Value]]-Policy_Amounts[[#This Row],[Column1]])</f>
        <v>1291165.7949999999</v>
      </c>
    </row>
    <row r="49" spans="1:12" x14ac:dyDescent="0.2">
      <c r="A49" s="4">
        <v>45</v>
      </c>
      <c r="B49" s="4">
        <v>79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5">
        <v>1372421.398</v>
      </c>
      <c r="I49" s="5">
        <v>1372421.398</v>
      </c>
      <c r="J49" s="5">
        <v>1441042.4680000001</v>
      </c>
      <c r="K49" s="10"/>
      <c r="L49" s="10">
        <f>SUM(Policy_Amounts[[#This Row],[Accumulated Value]]-Policy_Amounts[[#This Row],[Column1]])</f>
        <v>1372421.398</v>
      </c>
    </row>
    <row r="50" spans="1:12" x14ac:dyDescent="0.2">
      <c r="A50" s="4">
        <v>46</v>
      </c>
      <c r="B50" s="4">
        <v>80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5">
        <v>1458612.1270000001</v>
      </c>
      <c r="I50" s="5">
        <v>1458612.1270000001</v>
      </c>
      <c r="J50" s="5">
        <v>1531542.7339999999</v>
      </c>
      <c r="K50" s="10"/>
      <c r="L50" s="10">
        <f>SUM(Policy_Amounts[[#This Row],[Accumulated Value]]-Policy_Amounts[[#This Row],[Column1]])</f>
        <v>1458612.1270000001</v>
      </c>
    </row>
    <row r="51" spans="1:12" x14ac:dyDescent="0.2">
      <c r="A51" s="4">
        <v>47</v>
      </c>
      <c r="B51" s="4">
        <v>81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5">
        <v>1550001.8430000001</v>
      </c>
      <c r="I51" s="5">
        <v>1550001.8430000001</v>
      </c>
      <c r="J51" s="5">
        <v>1627501.936</v>
      </c>
      <c r="K51" s="10"/>
      <c r="L51" s="10">
        <f>SUM(Policy_Amounts[[#This Row],[Accumulated Value]]-Policy_Amounts[[#This Row],[Column1]])</f>
        <v>1550001.8430000001</v>
      </c>
    </row>
    <row r="52" spans="1:12" x14ac:dyDescent="0.2">
      <c r="A52" s="4">
        <v>48</v>
      </c>
      <c r="B52" s="4">
        <v>82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5">
        <v>1646866.162</v>
      </c>
      <c r="I52" s="5">
        <v>1646866.162</v>
      </c>
      <c r="J52" s="5">
        <v>1729209.47</v>
      </c>
      <c r="K52" s="10"/>
      <c r="L52" s="10">
        <f>SUM(Policy_Amounts[[#This Row],[Accumulated Value]]-Policy_Amounts[[#This Row],[Column1]])</f>
        <v>1646866.162</v>
      </c>
    </row>
    <row r="53" spans="1:12" x14ac:dyDescent="0.2">
      <c r="A53" s="4">
        <v>49</v>
      </c>
      <c r="B53" s="4">
        <v>83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5">
        <v>1749489.7620000001</v>
      </c>
      <c r="I53" s="5">
        <v>1749489.7620000001</v>
      </c>
      <c r="J53" s="5">
        <v>1836964.25</v>
      </c>
      <c r="K53" s="10"/>
      <c r="L53" s="10">
        <f>SUM(Policy_Amounts[[#This Row],[Accumulated Value]]-Policy_Amounts[[#This Row],[Column1]])</f>
        <v>1749489.7620000001</v>
      </c>
    </row>
    <row r="54" spans="1:12" x14ac:dyDescent="0.2">
      <c r="A54" s="4">
        <v>50</v>
      </c>
      <c r="B54" s="4">
        <v>84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5">
        <v>1858166.568</v>
      </c>
      <c r="I54" s="5">
        <v>1858166.568</v>
      </c>
      <c r="J54" s="5">
        <v>1951074.8959999999</v>
      </c>
      <c r="K54" s="10"/>
      <c r="L54" s="10">
        <f>SUM(Policy_Amounts[[#This Row],[Accumulated Value]]-Policy_Amounts[[#This Row],[Column1]])</f>
        <v>1858166.568</v>
      </c>
    </row>
    <row r="55" spans="1:12" x14ac:dyDescent="0.2">
      <c r="A55" s="4">
        <v>51</v>
      </c>
      <c r="B55" s="4">
        <v>85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5">
        <v>1973196.402</v>
      </c>
      <c r="I55" s="5">
        <v>1973196.402</v>
      </c>
      <c r="J55" s="5">
        <v>2071856.2220000001</v>
      </c>
      <c r="K55" s="10"/>
      <c r="L55" s="10">
        <f>SUM(Policy_Amounts[[#This Row],[Accumulated Value]]-Policy_Amounts[[#This Row],[Column1]])</f>
        <v>1973196.402</v>
      </c>
    </row>
    <row r="56" spans="1:12" x14ac:dyDescent="0.2">
      <c r="A56" s="4">
        <v>52</v>
      </c>
      <c r="B56" s="4">
        <v>86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5">
        <v>2094858.926</v>
      </c>
      <c r="I56" s="5">
        <v>2094858.926</v>
      </c>
      <c r="J56" s="5">
        <v>2199601.8730000001</v>
      </c>
      <c r="K56" s="10"/>
      <c r="L56" s="10">
        <f>SUM(Policy_Amounts[[#This Row],[Accumulated Value]]-Policy_Amounts[[#This Row],[Column1]])</f>
        <v>2094858.926</v>
      </c>
    </row>
    <row r="57" spans="1:12" x14ac:dyDescent="0.2">
      <c r="A57" s="4">
        <v>53</v>
      </c>
      <c r="B57" s="4">
        <v>87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5">
        <v>2223458.0260000001</v>
      </c>
      <c r="I57" s="5">
        <v>2223458.0260000001</v>
      </c>
      <c r="J57" s="5">
        <v>2334630.9279999998</v>
      </c>
      <c r="K57" s="10"/>
      <c r="L57" s="10">
        <f>SUM(Policy_Amounts[[#This Row],[Accumulated Value]]-Policy_Amounts[[#This Row],[Column1]])</f>
        <v>2223458.0260000001</v>
      </c>
    </row>
    <row r="58" spans="1:12" x14ac:dyDescent="0.2">
      <c r="A58" s="4">
        <v>54</v>
      </c>
      <c r="B58" s="4">
        <v>88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5">
        <v>2359299.4019999998</v>
      </c>
      <c r="I58" s="5">
        <v>2359299.4019999998</v>
      </c>
      <c r="J58" s="5">
        <v>2477264.372</v>
      </c>
      <c r="K58" s="10"/>
      <c r="L58" s="10">
        <f>SUM(Policy_Amounts[[#This Row],[Accumulated Value]]-Policy_Amounts[[#This Row],[Column1]])</f>
        <v>2359299.4019999998</v>
      </c>
    </row>
    <row r="59" spans="1:12" x14ac:dyDescent="0.2">
      <c r="A59" s="4">
        <v>55</v>
      </c>
      <c r="B59" s="4">
        <v>89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5">
        <v>2502689.4360000002</v>
      </c>
      <c r="I59" s="5">
        <v>2502689.4360000002</v>
      </c>
      <c r="J59" s="5">
        <v>2627823.9079999998</v>
      </c>
      <c r="K59" s="10"/>
      <c r="L59" s="10">
        <f>SUM(Policy_Amounts[[#This Row],[Accumulated Value]]-Policy_Amounts[[#This Row],[Column1]])</f>
        <v>2502689.4360000002</v>
      </c>
    </row>
    <row r="60" spans="1:12" x14ac:dyDescent="0.2">
      <c r="A60" s="4">
        <v>56</v>
      </c>
      <c r="B60" s="4">
        <v>90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5">
        <v>2653954.5789999999</v>
      </c>
      <c r="I60" s="5">
        <v>2653954.5789999999</v>
      </c>
      <c r="J60" s="5">
        <v>2786652.3080000002</v>
      </c>
      <c r="K60" s="10"/>
      <c r="L60" s="10">
        <f>SUM(Policy_Amounts[[#This Row],[Accumulated Value]]-Policy_Amounts[[#This Row],[Column1]])</f>
        <v>2653954.5789999999</v>
      </c>
    </row>
    <row r="61" spans="1:12" x14ac:dyDescent="0.2">
      <c r="A61" s="4">
        <v>57</v>
      </c>
      <c r="B61" s="4">
        <v>91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5">
        <v>2815613.7039999999</v>
      </c>
      <c r="I61" s="5">
        <v>2815613.7039999999</v>
      </c>
      <c r="J61" s="5">
        <v>2928238.2519999999</v>
      </c>
      <c r="K61" s="10"/>
      <c r="L61" s="10">
        <f>SUM(Policy_Amounts[[#This Row],[Accumulated Value]]-Policy_Amounts[[#This Row],[Column1]])</f>
        <v>2815613.7039999999</v>
      </c>
    </row>
    <row r="62" spans="1:12" x14ac:dyDescent="0.2">
      <c r="A62" s="4">
        <v>58</v>
      </c>
      <c r="B62" s="4">
        <v>92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5">
        <v>2988821.4219999998</v>
      </c>
      <c r="I62" s="5">
        <v>2988821.4219999998</v>
      </c>
      <c r="J62" s="5">
        <v>3078486.0649999999</v>
      </c>
      <c r="K62" s="10"/>
      <c r="L62" s="10">
        <f>SUM(Policy_Amounts[[#This Row],[Accumulated Value]]-Policy_Amounts[[#This Row],[Column1]])</f>
        <v>2988821.4219999998</v>
      </c>
    </row>
    <row r="63" spans="1:12" x14ac:dyDescent="0.2">
      <c r="A63" s="4">
        <v>59</v>
      </c>
      <c r="B63" s="4">
        <v>93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5">
        <v>3174933.6269999999</v>
      </c>
      <c r="I63" s="5">
        <v>3174933.6269999999</v>
      </c>
      <c r="J63" s="5">
        <v>3238432.2990000001</v>
      </c>
      <c r="K63" s="10"/>
      <c r="L63" s="10">
        <f>SUM(Policy_Amounts[[#This Row],[Accumulated Value]]-Policy_Amounts[[#This Row],[Column1]])</f>
        <v>3174933.6269999999</v>
      </c>
    </row>
    <row r="64" spans="1:12" x14ac:dyDescent="0.2">
      <c r="A64" s="4">
        <v>60</v>
      </c>
      <c r="B64" s="4">
        <v>94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5">
        <v>3375547.5180000002</v>
      </c>
      <c r="I64" s="5">
        <v>3375547.5180000002</v>
      </c>
      <c r="J64" s="5">
        <v>3409302.9929999998</v>
      </c>
      <c r="K64" s="10"/>
      <c r="L64" s="10">
        <f>SUM(Policy_Amounts[[#This Row],[Accumulated Value]]-Policy_Amounts[[#This Row],[Column1]])</f>
        <v>3375547.5180000002</v>
      </c>
    </row>
    <row r="65" spans="1:12" x14ac:dyDescent="0.2">
      <c r="A65" s="4">
        <v>61</v>
      </c>
      <c r="B65" s="4">
        <v>95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>
        <v>3591890.446</v>
      </c>
      <c r="I65" s="5">
        <v>3591890.446</v>
      </c>
      <c r="J65" s="5">
        <v>3591890.446</v>
      </c>
      <c r="K65" s="10"/>
      <c r="L65" s="10">
        <f>SUM(Policy_Amounts[[#This Row],[Accumulated Value]]-Policy_Amounts[[#This Row],[Column1]])</f>
        <v>3591890.446</v>
      </c>
    </row>
    <row r="66" spans="1:12" x14ac:dyDescent="0.2">
      <c r="A66" s="4">
        <v>62</v>
      </c>
      <c r="B66" s="4">
        <v>96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>
        <v>3822103.844</v>
      </c>
      <c r="I66" s="5">
        <v>3822103.844</v>
      </c>
      <c r="J66" s="5">
        <v>3822103.844</v>
      </c>
      <c r="K66" s="10"/>
      <c r="L66" s="10">
        <f>SUM(Policy_Amounts[[#This Row],[Accumulated Value]]-Policy_Amounts[[#This Row],[Column1]])</f>
        <v>3822103.844</v>
      </c>
    </row>
    <row r="67" spans="1:12" x14ac:dyDescent="0.2">
      <c r="A67" s="4">
        <v>63</v>
      </c>
      <c r="B67" s="4">
        <v>97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5">
        <v>4067076.9939999999</v>
      </c>
      <c r="I67" s="5">
        <v>4067076.9939999999</v>
      </c>
      <c r="J67" s="5">
        <v>4067076.9939999999</v>
      </c>
      <c r="K67" s="10"/>
      <c r="L67" s="10">
        <f>SUM(Policy_Amounts[[#This Row],[Accumulated Value]]-Policy_Amounts[[#This Row],[Column1]])</f>
        <v>4067076.9939999999</v>
      </c>
    </row>
    <row r="68" spans="1:12" x14ac:dyDescent="0.2">
      <c r="A68" s="4">
        <v>64</v>
      </c>
      <c r="B68" s="4">
        <v>98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>
        <v>4327756.7120000003</v>
      </c>
      <c r="I68" s="5">
        <v>4327756.7120000003</v>
      </c>
      <c r="J68" s="5">
        <v>4327756.7120000003</v>
      </c>
      <c r="K68" s="10"/>
      <c r="L68" s="10">
        <f>SUM(Policy_Amounts[[#This Row],[Accumulated Value]]-Policy_Amounts[[#This Row],[Column1]])</f>
        <v>4327756.7120000003</v>
      </c>
    </row>
    <row r="69" spans="1:12" x14ac:dyDescent="0.2">
      <c r="A69" s="4">
        <v>65</v>
      </c>
      <c r="B69" s="4">
        <v>99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5">
        <v>4605149.5109999999</v>
      </c>
      <c r="I69" s="5">
        <v>4605149.5109999999</v>
      </c>
      <c r="J69" s="5">
        <v>4605149.5109999999</v>
      </c>
      <c r="K69" s="10"/>
      <c r="L69" s="10">
        <f>SUM(Policy_Amounts[[#This Row],[Accumulated Value]]-Policy_Amounts[[#This Row],[Column1]])</f>
        <v>4605149.5109999999</v>
      </c>
    </row>
    <row r="70" spans="1:12" x14ac:dyDescent="0.2">
      <c r="A70" s="4">
        <v>66</v>
      </c>
      <c r="B70" s="4">
        <v>100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5">
        <v>4900326.93</v>
      </c>
      <c r="I70" s="5">
        <v>4900326.93</v>
      </c>
      <c r="J70" s="5">
        <v>4900326.93</v>
      </c>
      <c r="K70" s="10"/>
      <c r="L70" s="10">
        <f>SUM(Policy_Amounts[[#This Row],[Accumulated Value]]-Policy_Amounts[[#This Row],[Column1]])</f>
        <v>4900326.93</v>
      </c>
    </row>
    <row r="71" spans="1:12" x14ac:dyDescent="0.2">
      <c r="A71" s="4">
        <v>67</v>
      </c>
      <c r="B71" s="4">
        <v>101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5">
        <v>5214429.2039999999</v>
      </c>
      <c r="I71" s="5">
        <v>5214429.2039999999</v>
      </c>
      <c r="J71" s="5">
        <v>5214429.2039999999</v>
      </c>
      <c r="K71" s="10"/>
      <c r="L71" s="10">
        <f>SUM(Policy_Amounts[[#This Row],[Accumulated Value]]-Policy_Amounts[[#This Row],[Column1]])</f>
        <v>5214429.2039999999</v>
      </c>
    </row>
    <row r="72" spans="1:12" x14ac:dyDescent="0.2">
      <c r="A72" s="4">
        <v>68</v>
      </c>
      <c r="B72" s="4">
        <v>102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5">
        <v>5548669.6689999998</v>
      </c>
      <c r="I72" s="5">
        <v>5548669.6689999998</v>
      </c>
      <c r="J72" s="5">
        <v>5548669.6689999998</v>
      </c>
      <c r="K72" s="10"/>
      <c r="L72" s="10">
        <f>SUM(Policy_Amounts[[#This Row],[Accumulated Value]]-Policy_Amounts[[#This Row],[Column1]])</f>
        <v>5548669.6689999998</v>
      </c>
    </row>
    <row r="73" spans="1:12" x14ac:dyDescent="0.2">
      <c r="A73" s="4">
        <v>69</v>
      </c>
      <c r="B73" s="4">
        <v>103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5">
        <v>5904340.1509999996</v>
      </c>
      <c r="I73" s="5">
        <v>5904340.1509999996</v>
      </c>
      <c r="J73" s="5">
        <v>5904340.1509999996</v>
      </c>
      <c r="K73" s="10"/>
      <c r="L73" s="10">
        <f>SUM(Policy_Amounts[[#This Row],[Accumulated Value]]-Policy_Amounts[[#This Row],[Column1]])</f>
        <v>5904340.1509999996</v>
      </c>
    </row>
    <row r="74" spans="1:12" x14ac:dyDescent="0.2">
      <c r="A74" s="4">
        <v>70</v>
      </c>
      <c r="B74" s="4">
        <v>104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5">
        <v>6282813.9529999997</v>
      </c>
      <c r="I74" s="5">
        <v>6282813.9529999997</v>
      </c>
      <c r="J74" s="5">
        <v>6282813.9529999997</v>
      </c>
      <c r="K74" s="10"/>
      <c r="L74" s="10">
        <f>SUM(Policy_Amounts[[#This Row],[Accumulated Value]]-Policy_Amounts[[#This Row],[Column1]])</f>
        <v>6282813.9529999997</v>
      </c>
    </row>
    <row r="75" spans="1:12" x14ac:dyDescent="0.2">
      <c r="A75" s="4">
        <v>71</v>
      </c>
      <c r="B75" s="4">
        <v>105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5">
        <v>6685553.0750000002</v>
      </c>
      <c r="I75" s="5">
        <v>6685553.0750000002</v>
      </c>
      <c r="J75" s="5">
        <v>6685553.0750000002</v>
      </c>
      <c r="K75" s="10"/>
      <c r="L75" s="10">
        <f>SUM(Policy_Amounts[[#This Row],[Accumulated Value]]-Policy_Amounts[[#This Row],[Column1]])</f>
        <v>6685553.0750000002</v>
      </c>
    </row>
    <row r="76" spans="1:12" x14ac:dyDescent="0.2">
      <c r="A76" s="4">
        <v>72</v>
      </c>
      <c r="B76" s="4">
        <v>106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5">
        <v>7114113.2580000004</v>
      </c>
      <c r="I76" s="5">
        <v>7114113.2580000004</v>
      </c>
      <c r="J76" s="5">
        <v>7114113.2580000004</v>
      </c>
      <c r="K76" s="10"/>
      <c r="L76" s="10">
        <f>SUM(Policy_Amounts[[#This Row],[Accumulated Value]]-Policy_Amounts[[#This Row],[Column1]])</f>
        <v>7114113.2580000004</v>
      </c>
    </row>
    <row r="77" spans="1:12" x14ac:dyDescent="0.2">
      <c r="A77" s="4">
        <v>73</v>
      </c>
      <c r="B77" s="4">
        <v>107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5">
        <v>7570149.9819999998</v>
      </c>
      <c r="I77" s="5">
        <v>7570149.9819999998</v>
      </c>
      <c r="J77" s="5">
        <v>7570149.9819999998</v>
      </c>
      <c r="K77" s="10"/>
      <c r="L77" s="10">
        <f>SUM(Policy_Amounts[[#This Row],[Accumulated Value]]-Policy_Amounts[[#This Row],[Column1]])</f>
        <v>7570149.9819999998</v>
      </c>
    </row>
    <row r="78" spans="1:12" x14ac:dyDescent="0.2">
      <c r="A78" s="4">
        <v>74</v>
      </c>
      <c r="B78" s="4">
        <v>108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5">
        <v>8055424.8629999999</v>
      </c>
      <c r="I78" s="5">
        <v>8055424.8629999999</v>
      </c>
      <c r="J78" s="5">
        <v>8055424.8629999999</v>
      </c>
      <c r="K78" s="10"/>
      <c r="L78" s="10">
        <f>SUM(Policy_Amounts[[#This Row],[Accumulated Value]]-Policy_Amounts[[#This Row],[Column1]])</f>
        <v>8055424.8629999999</v>
      </c>
    </row>
    <row r="79" spans="1:12" x14ac:dyDescent="0.2">
      <c r="A79" s="4">
        <v>75</v>
      </c>
      <c r="B79" s="4">
        <v>109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5">
        <v>8571812.4729999993</v>
      </c>
      <c r="I79" s="5">
        <v>8571812.4729999993</v>
      </c>
      <c r="J79" s="5">
        <v>8571812.4729999993</v>
      </c>
      <c r="K79" s="10"/>
      <c r="L79" s="10">
        <f>SUM(Policy_Amounts[[#This Row],[Accumulated Value]]-Policy_Amounts[[#This Row],[Column1]])</f>
        <v>8571812.4729999993</v>
      </c>
    </row>
    <row r="80" spans="1:12" x14ac:dyDescent="0.2">
      <c r="A80" s="4">
        <v>76</v>
      </c>
      <c r="B80" s="4">
        <v>110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5">
        <v>9121308.6390000004</v>
      </c>
      <c r="I80" s="5">
        <v>9121308.6390000004</v>
      </c>
      <c r="J80" s="5">
        <v>9121308.6390000004</v>
      </c>
      <c r="K80" s="10"/>
      <c r="L80" s="10">
        <f>SUM(Policy_Amounts[[#This Row],[Accumulated Value]]-Policy_Amounts[[#This Row],[Column1]])</f>
        <v>9121308.6390000004</v>
      </c>
    </row>
    <row r="81" spans="1:12" x14ac:dyDescent="0.2">
      <c r="A81" s="4">
        <v>77</v>
      </c>
      <c r="B81" s="4">
        <v>111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5">
        <v>9706035.0549999997</v>
      </c>
      <c r="I81" s="5">
        <v>9706035.0549999997</v>
      </c>
      <c r="J81" s="5">
        <v>9706035.0549999997</v>
      </c>
      <c r="K81" s="10"/>
      <c r="L81" s="10">
        <f>SUM(Policy_Amounts[[#This Row],[Accumulated Value]]-Policy_Amounts[[#This Row],[Column1]])</f>
        <v>9706035.0549999997</v>
      </c>
    </row>
    <row r="82" spans="1:12" x14ac:dyDescent="0.2">
      <c r="A82" s="4">
        <v>78</v>
      </c>
      <c r="B82" s="4">
        <v>112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5">
        <v>10328250.470000001</v>
      </c>
      <c r="I82" s="5">
        <v>10328250.470000001</v>
      </c>
      <c r="J82" s="5">
        <v>10328250.470000001</v>
      </c>
      <c r="K82" s="10"/>
      <c r="L82" s="10">
        <f>SUM(Policy_Amounts[[#This Row],[Accumulated Value]]-Policy_Amounts[[#This Row],[Column1]])</f>
        <v>10328250.470000001</v>
      </c>
    </row>
    <row r="83" spans="1:12" x14ac:dyDescent="0.2">
      <c r="A83" s="4">
        <v>79</v>
      </c>
      <c r="B83" s="4">
        <v>113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5">
        <v>10990358.439999999</v>
      </c>
      <c r="I83" s="5">
        <v>10990358.439999999</v>
      </c>
      <c r="J83" s="5">
        <v>10990358.439999999</v>
      </c>
      <c r="K83" s="10"/>
      <c r="L83" s="10">
        <f>SUM(Policy_Amounts[[#This Row],[Accumulated Value]]-Policy_Amounts[[#This Row],[Column1]])</f>
        <v>10990358.439999999</v>
      </c>
    </row>
    <row r="84" spans="1:12" x14ac:dyDescent="0.2">
      <c r="A84" s="4">
        <v>80</v>
      </c>
      <c r="B84" s="4">
        <v>114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5">
        <v>11694916.619999999</v>
      </c>
      <c r="I84" s="5">
        <v>11694916.619999999</v>
      </c>
      <c r="J84" s="5">
        <v>11694916.619999999</v>
      </c>
      <c r="K84" s="10"/>
      <c r="L84" s="10">
        <f>SUM(Policy_Amounts[[#This Row],[Accumulated Value]]-Policy_Amounts[[#This Row],[Column1]])</f>
        <v>11694916.619999999</v>
      </c>
    </row>
    <row r="85" spans="1:12" x14ac:dyDescent="0.2">
      <c r="A85" s="4">
        <v>81</v>
      </c>
      <c r="B85" s="4">
        <v>115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>
        <v>12444646.66</v>
      </c>
      <c r="I85" s="5">
        <v>12444646.66</v>
      </c>
      <c r="J85" s="5">
        <v>12444646.66</v>
      </c>
      <c r="K85" s="10"/>
      <c r="L85" s="10">
        <f>SUM(Policy_Amounts[[#This Row],[Accumulated Value]]-Policy_Amounts[[#This Row],[Column1]])</f>
        <v>12444646.66</v>
      </c>
    </row>
    <row r="86" spans="1:12" x14ac:dyDescent="0.2">
      <c r="A86" s="4">
        <v>82</v>
      </c>
      <c r="B86" s="4">
        <v>116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5">
        <v>13242444.689999999</v>
      </c>
      <c r="I86" s="5">
        <v>13242444.689999999</v>
      </c>
      <c r="J86" s="5">
        <v>13242444.689999999</v>
      </c>
      <c r="K86" s="10"/>
      <c r="L86" s="10">
        <f>SUM(Policy_Amounts[[#This Row],[Accumulated Value]]-Policy_Amounts[[#This Row],[Column1]])</f>
        <v>13242444.689999999</v>
      </c>
    </row>
    <row r="87" spans="1:12" x14ac:dyDescent="0.2">
      <c r="A87" s="4">
        <v>83</v>
      </c>
      <c r="B87" s="4">
        <v>117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5">
        <v>14091392.529999999</v>
      </c>
      <c r="I87" s="5">
        <v>14091392.529999999</v>
      </c>
      <c r="J87" s="5">
        <v>14091392.529999999</v>
      </c>
      <c r="K87" s="10"/>
      <c r="L87" s="10">
        <f>SUM(Policy_Amounts[[#This Row],[Accumulated Value]]-Policy_Amounts[[#This Row],[Column1]])</f>
        <v>14091392.529999999</v>
      </c>
    </row>
    <row r="88" spans="1:12" x14ac:dyDescent="0.2">
      <c r="A88" s="4">
        <v>84</v>
      </c>
      <c r="B88" s="4">
        <v>118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5">
        <v>14994769.6</v>
      </c>
      <c r="I88" s="5">
        <v>14994769.6</v>
      </c>
      <c r="J88" s="5">
        <v>14994769.6</v>
      </c>
      <c r="K88" s="10"/>
      <c r="L88" s="10">
        <f>SUM(Policy_Amounts[[#This Row],[Accumulated Value]]-Policy_Amounts[[#This Row],[Column1]])</f>
        <v>14994769.6</v>
      </c>
    </row>
    <row r="89" spans="1:12" x14ac:dyDescent="0.2">
      <c r="A89" s="4">
        <v>85</v>
      </c>
      <c r="B89" s="4">
        <v>119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5">
        <v>15956065.539999999</v>
      </c>
      <c r="I89" s="5">
        <v>15956065.539999999</v>
      </c>
      <c r="J89" s="5">
        <v>15956065.539999999</v>
      </c>
      <c r="K89" s="10"/>
      <c r="L89" s="10">
        <f>SUM(Policy_Amounts[[#This Row],[Accumulated Value]]-Policy_Amounts[[#This Row],[Column1]])</f>
        <v>15956065.539999999</v>
      </c>
    </row>
    <row r="90" spans="1:12" x14ac:dyDescent="0.2">
      <c r="A90" s="4">
        <v>86</v>
      </c>
      <c r="B90" s="4">
        <v>120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5">
        <v>16978993.760000002</v>
      </c>
      <c r="I90" s="5">
        <v>16978993.760000002</v>
      </c>
      <c r="J90" s="5">
        <v>16978993.760000002</v>
      </c>
      <c r="K90" s="10"/>
      <c r="L90" s="10">
        <f>SUM(Policy_Amounts[[#This Row],[Accumulated Value]]-Policy_Amounts[[#This Row],[Column1]])</f>
        <v>16978993.760000002</v>
      </c>
    </row>
    <row r="91" spans="1:12" x14ac:dyDescent="0.2">
      <c r="L91" s="4">
        <f>SUM(L5:L90)</f>
        <v>279121548.54767698</v>
      </c>
    </row>
    <row r="92" spans="1:12" x14ac:dyDescent="0.2">
      <c r="A92" s="4" t="s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3866-F62E-9B49-8119-1A9592E21954}">
  <dimension ref="A1:G87"/>
  <sheetViews>
    <sheetView workbookViewId="0">
      <selection activeCell="E9" sqref="E9"/>
    </sheetView>
  </sheetViews>
  <sheetFormatPr baseColWidth="10" defaultRowHeight="16" x14ac:dyDescent="0.2"/>
  <cols>
    <col min="1" max="2" width="10.83203125" style="13"/>
    <col min="3" max="3" width="15.5" style="13" customWidth="1"/>
    <col min="4" max="5" width="9.5" style="13" bestFit="1" customWidth="1"/>
    <col min="6" max="16384" width="10.83203125" style="13"/>
  </cols>
  <sheetData>
    <row r="1" spans="1:7" x14ac:dyDescent="0.2">
      <c r="A1" s="13" t="s">
        <v>9</v>
      </c>
      <c r="B1" s="13" t="s">
        <v>57</v>
      </c>
      <c r="C1" s="13" t="s">
        <v>58</v>
      </c>
      <c r="D1" s="13" t="s">
        <v>59</v>
      </c>
      <c r="E1" s="13" t="s">
        <v>60</v>
      </c>
      <c r="F1" s="16" t="s">
        <v>20</v>
      </c>
      <c r="G1" s="16" t="s">
        <v>61</v>
      </c>
    </row>
    <row r="2" spans="1:7" x14ac:dyDescent="0.2">
      <c r="A2" s="13">
        <v>36</v>
      </c>
      <c r="B2" s="13">
        <v>1</v>
      </c>
      <c r="C2" s="15">
        <v>10000</v>
      </c>
      <c r="D2" s="14">
        <v>6716</v>
      </c>
      <c r="E2" s="14">
        <v>326081</v>
      </c>
      <c r="F2" s="16"/>
      <c r="G2" s="16">
        <f>SUM(Table9[[#This Row],[Cash]]-Table9[[#This Row],[Column1]])</f>
        <v>6716</v>
      </c>
    </row>
    <row r="3" spans="1:7" x14ac:dyDescent="0.2">
      <c r="A3" s="13">
        <v>37</v>
      </c>
      <c r="B3" s="13">
        <v>2</v>
      </c>
      <c r="C3" s="15">
        <v>10000</v>
      </c>
      <c r="D3" s="14">
        <v>16578</v>
      </c>
      <c r="E3" s="14">
        <v>359052</v>
      </c>
      <c r="F3" s="16">
        <v>8000</v>
      </c>
      <c r="G3" s="16">
        <f>SUM(Table9[[#This Row],[Cash]]-Table9[[#This Row],[Column1]])</f>
        <v>8578</v>
      </c>
    </row>
    <row r="4" spans="1:7" x14ac:dyDescent="0.2">
      <c r="A4" s="13">
        <v>38</v>
      </c>
      <c r="B4" s="13">
        <v>3</v>
      </c>
      <c r="C4" s="15">
        <v>10000</v>
      </c>
      <c r="D4" s="14">
        <v>26670</v>
      </c>
      <c r="E4" s="14">
        <v>390946</v>
      </c>
      <c r="F4" s="16">
        <v>18000</v>
      </c>
      <c r="G4" s="16">
        <f>SUM(Table9[[#This Row],[Cash]]-Table9[[#This Row],[Column1]])</f>
        <v>8670</v>
      </c>
    </row>
    <row r="5" spans="1:7" x14ac:dyDescent="0.2">
      <c r="A5" s="13">
        <v>39</v>
      </c>
      <c r="B5" s="13">
        <v>4</v>
      </c>
      <c r="C5" s="15">
        <v>10000</v>
      </c>
      <c r="D5" s="14">
        <v>36996</v>
      </c>
      <c r="E5" s="14">
        <v>421803</v>
      </c>
      <c r="F5" s="16">
        <v>18000</v>
      </c>
      <c r="G5" s="16">
        <f>SUM(Table9[[#This Row],[Cash]]-Table9[[#This Row],[Column1]])</f>
        <v>18996</v>
      </c>
    </row>
    <row r="6" spans="1:7" x14ac:dyDescent="0.2">
      <c r="A6" s="13">
        <v>40</v>
      </c>
      <c r="B6" s="13">
        <v>5</v>
      </c>
      <c r="C6" s="15">
        <v>10000</v>
      </c>
      <c r="D6" s="14">
        <v>47558</v>
      </c>
      <c r="E6" s="14">
        <v>451666</v>
      </c>
      <c r="F6" s="16">
        <v>33000</v>
      </c>
      <c r="G6" s="16">
        <f>SUM(Table9[[#This Row],[Cash]]-Table9[[#This Row],[Column1]])</f>
        <v>14558</v>
      </c>
    </row>
    <row r="7" spans="1:7" x14ac:dyDescent="0.2">
      <c r="A7" s="13">
        <v>41</v>
      </c>
      <c r="B7" s="13">
        <v>6</v>
      </c>
      <c r="C7" s="15">
        <v>10000</v>
      </c>
      <c r="D7" s="14">
        <v>58655</v>
      </c>
      <c r="E7" s="14">
        <v>480575</v>
      </c>
      <c r="F7" s="16">
        <v>33000</v>
      </c>
      <c r="G7" s="16">
        <f>SUM(Table9[[#This Row],[Cash]]-Table9[[#This Row],[Column1]])</f>
        <v>25655</v>
      </c>
    </row>
    <row r="8" spans="1:7" x14ac:dyDescent="0.2">
      <c r="A8" s="13">
        <v>42</v>
      </c>
      <c r="B8" s="13">
        <v>7</v>
      </c>
      <c r="C8" s="15">
        <v>10000</v>
      </c>
      <c r="D8" s="14">
        <v>70000</v>
      </c>
      <c r="E8" s="14">
        <v>508566</v>
      </c>
      <c r="F8" s="16">
        <v>33000</v>
      </c>
      <c r="G8" s="16">
        <f>SUM(Table9[[#This Row],[Cash]]-Table9[[#This Row],[Column1]])</f>
        <v>37000</v>
      </c>
    </row>
    <row r="9" spans="1:7" x14ac:dyDescent="0.2">
      <c r="A9" s="13">
        <v>43</v>
      </c>
      <c r="B9" s="13">
        <v>8</v>
      </c>
      <c r="C9" s="15">
        <v>10000</v>
      </c>
      <c r="D9" s="14">
        <v>81604</v>
      </c>
      <c r="E9" s="14">
        <v>535676</v>
      </c>
      <c r="F9" s="16">
        <v>73000</v>
      </c>
      <c r="G9" s="16">
        <f>SUM(Table9[[#This Row],[Cash]]-Table9[[#This Row],[Column1]])</f>
        <v>8604</v>
      </c>
    </row>
    <row r="10" spans="1:7" x14ac:dyDescent="0.2">
      <c r="A10" s="13">
        <v>44</v>
      </c>
      <c r="B10" s="13">
        <v>9</v>
      </c>
      <c r="C10" s="15">
        <v>10000</v>
      </c>
      <c r="D10" s="14">
        <v>94175</v>
      </c>
      <c r="E10" s="14">
        <v>562334</v>
      </c>
      <c r="F10" s="16"/>
      <c r="G10" s="16">
        <f>SUM(Table9[[#This Row],[Cash]]-Table9[[#This Row],[Column1]])</f>
        <v>94175</v>
      </c>
    </row>
    <row r="11" spans="1:7" x14ac:dyDescent="0.2">
      <c r="A11" s="13">
        <v>45</v>
      </c>
      <c r="B11" s="13">
        <v>10</v>
      </c>
      <c r="C11" s="15">
        <v>10000</v>
      </c>
      <c r="D11" s="14">
        <v>107444</v>
      </c>
      <c r="E11" s="14">
        <v>589696</v>
      </c>
      <c r="F11" s="16"/>
      <c r="G11" s="16">
        <f>SUM(Table9[[#This Row],[Cash]]-Table9[[#This Row],[Column1]])</f>
        <v>107444</v>
      </c>
    </row>
    <row r="12" spans="1:7" x14ac:dyDescent="0.2">
      <c r="A12" s="13">
        <v>46</v>
      </c>
      <c r="B12" s="13">
        <v>11</v>
      </c>
      <c r="C12" s="13">
        <v>0</v>
      </c>
      <c r="D12" s="14">
        <v>111994</v>
      </c>
      <c r="E12" s="14">
        <v>408305</v>
      </c>
      <c r="F12" s="16"/>
      <c r="G12" s="16">
        <f>SUM(Table9[[#This Row],[Cash]]-Table9[[#This Row],[Column1]])</f>
        <v>111994</v>
      </c>
    </row>
    <row r="13" spans="1:7" x14ac:dyDescent="0.2">
      <c r="A13" s="13">
        <v>47</v>
      </c>
      <c r="B13" s="13">
        <v>12</v>
      </c>
      <c r="C13" s="13">
        <v>0</v>
      </c>
      <c r="D13" s="14">
        <v>116705</v>
      </c>
      <c r="E13" s="14">
        <v>412072</v>
      </c>
      <c r="F13" s="16"/>
      <c r="G13" s="16">
        <f>SUM(Table9[[#This Row],[Cash]]-Table9[[#This Row],[Column1]])</f>
        <v>116705</v>
      </c>
    </row>
    <row r="14" spans="1:7" x14ac:dyDescent="0.2">
      <c r="A14" s="13">
        <v>48</v>
      </c>
      <c r="B14" s="13">
        <v>13</v>
      </c>
      <c r="C14" s="13">
        <v>0</v>
      </c>
      <c r="D14" s="14">
        <v>121582</v>
      </c>
      <c r="E14" s="14">
        <v>415702</v>
      </c>
      <c r="F14" s="16"/>
      <c r="G14" s="16">
        <f>SUM(Table9[[#This Row],[Cash]]-Table9[[#This Row],[Column1]])</f>
        <v>121582</v>
      </c>
    </row>
    <row r="15" spans="1:7" x14ac:dyDescent="0.2">
      <c r="A15" s="13">
        <v>49</v>
      </c>
      <c r="B15" s="13">
        <v>14</v>
      </c>
      <c r="C15" s="13">
        <v>0</v>
      </c>
      <c r="D15" s="14">
        <v>126636</v>
      </c>
      <c r="E15" s="14">
        <v>419195</v>
      </c>
      <c r="F15" s="16"/>
      <c r="G15" s="16">
        <f>SUM(Table9[[#This Row],[Cash]]-Table9[[#This Row],[Column1]])</f>
        <v>126636</v>
      </c>
    </row>
    <row r="16" spans="1:7" x14ac:dyDescent="0.2">
      <c r="A16" s="13">
        <v>50</v>
      </c>
      <c r="B16" s="13">
        <v>15</v>
      </c>
      <c r="C16" s="13">
        <v>0</v>
      </c>
      <c r="D16" s="14">
        <v>131869</v>
      </c>
      <c r="E16" s="14">
        <v>422566</v>
      </c>
      <c r="F16" s="16"/>
      <c r="G16" s="16">
        <f>SUM(Table9[[#This Row],[Cash]]-Table9[[#This Row],[Column1]])</f>
        <v>131869</v>
      </c>
    </row>
    <row r="17" spans="1:7" x14ac:dyDescent="0.2">
      <c r="A17" s="13">
        <v>51</v>
      </c>
      <c r="B17" s="13">
        <v>16</v>
      </c>
      <c r="C17" s="13">
        <v>0</v>
      </c>
      <c r="D17" s="14">
        <v>137278</v>
      </c>
      <c r="E17" s="14">
        <v>425811</v>
      </c>
      <c r="F17" s="16"/>
      <c r="G17" s="16">
        <f>SUM(Table9[[#This Row],[Cash]]-Table9[[#This Row],[Column1]])</f>
        <v>137278</v>
      </c>
    </row>
    <row r="18" spans="1:7" x14ac:dyDescent="0.2">
      <c r="A18" s="13">
        <v>52</v>
      </c>
      <c r="B18" s="13">
        <v>17</v>
      </c>
      <c r="C18" s="13">
        <v>0</v>
      </c>
      <c r="D18" s="14">
        <v>142866</v>
      </c>
      <c r="E18" s="14">
        <v>428943</v>
      </c>
      <c r="F18" s="16"/>
      <c r="G18" s="16">
        <f>SUM(Table9[[#This Row],[Cash]]-Table9[[#This Row],[Column1]])</f>
        <v>142866</v>
      </c>
    </row>
    <row r="19" spans="1:7" x14ac:dyDescent="0.2">
      <c r="A19" s="13">
        <v>53</v>
      </c>
      <c r="B19" s="13">
        <v>18</v>
      </c>
      <c r="C19" s="13">
        <v>0</v>
      </c>
      <c r="D19" s="14">
        <v>148622</v>
      </c>
      <c r="E19" s="14">
        <v>431972</v>
      </c>
      <c r="F19" s="16"/>
      <c r="G19" s="16">
        <f>SUM(Table9[[#This Row],[Cash]]-Table9[[#This Row],[Column1]])</f>
        <v>148622</v>
      </c>
    </row>
    <row r="20" spans="1:7" x14ac:dyDescent="0.2">
      <c r="A20" s="13">
        <v>54</v>
      </c>
      <c r="B20" s="13">
        <v>19</v>
      </c>
      <c r="C20" s="13">
        <v>0</v>
      </c>
      <c r="D20" s="14">
        <v>154565</v>
      </c>
      <c r="E20" s="14">
        <v>434900</v>
      </c>
      <c r="F20" s="16"/>
      <c r="G20" s="16">
        <f>SUM(Table9[[#This Row],[Cash]]-Table9[[#This Row],[Column1]])</f>
        <v>154565</v>
      </c>
    </row>
    <row r="21" spans="1:7" x14ac:dyDescent="0.2">
      <c r="A21" s="13">
        <v>55</v>
      </c>
      <c r="B21" s="13">
        <v>20</v>
      </c>
      <c r="C21" s="13">
        <v>0</v>
      </c>
      <c r="D21" s="14">
        <v>160678</v>
      </c>
      <c r="E21" s="14">
        <v>437738</v>
      </c>
      <c r="F21" s="16"/>
      <c r="G21" s="16">
        <f>SUM(Table9[[#This Row],[Cash]]-Table9[[#This Row],[Column1]])</f>
        <v>160678</v>
      </c>
    </row>
    <row r="22" spans="1:7" x14ac:dyDescent="0.2">
      <c r="A22" s="13">
        <v>56</v>
      </c>
      <c r="B22" s="13">
        <v>21</v>
      </c>
      <c r="C22" s="13">
        <v>0</v>
      </c>
      <c r="D22" s="14">
        <v>167010</v>
      </c>
      <c r="E22" s="14">
        <v>440529</v>
      </c>
      <c r="F22" s="16"/>
      <c r="G22" s="16">
        <f>SUM(Table9[[#This Row],[Cash]]-Table9[[#This Row],[Column1]])</f>
        <v>167010</v>
      </c>
    </row>
    <row r="23" spans="1:7" x14ac:dyDescent="0.2">
      <c r="A23" s="13">
        <v>57</v>
      </c>
      <c r="B23" s="13">
        <v>22</v>
      </c>
      <c r="C23" s="13">
        <v>0</v>
      </c>
      <c r="D23" s="14">
        <v>173563</v>
      </c>
      <c r="E23" s="14">
        <v>443354</v>
      </c>
      <c r="F23" s="16"/>
      <c r="G23" s="16">
        <f>SUM(Table9[[#This Row],[Cash]]-Table9[[#This Row],[Column1]])</f>
        <v>173563</v>
      </c>
    </row>
    <row r="24" spans="1:7" x14ac:dyDescent="0.2">
      <c r="A24" s="13">
        <v>58</v>
      </c>
      <c r="B24" s="13">
        <v>23</v>
      </c>
      <c r="C24" s="13">
        <v>0</v>
      </c>
      <c r="D24" s="14">
        <v>180336</v>
      </c>
      <c r="E24" s="14">
        <v>446210</v>
      </c>
      <c r="F24" s="16"/>
      <c r="G24" s="16">
        <f>SUM(Table9[[#This Row],[Cash]]-Table9[[#This Row],[Column1]])</f>
        <v>180336</v>
      </c>
    </row>
    <row r="25" spans="1:7" x14ac:dyDescent="0.2">
      <c r="A25" s="13">
        <v>59</v>
      </c>
      <c r="B25" s="13">
        <v>24</v>
      </c>
      <c r="C25" s="13">
        <v>0</v>
      </c>
      <c r="D25" s="14">
        <v>187337</v>
      </c>
      <c r="E25" s="14">
        <v>449107</v>
      </c>
      <c r="F25" s="16"/>
      <c r="G25" s="16">
        <f>SUM(Table9[[#This Row],[Cash]]-Table9[[#This Row],[Column1]])</f>
        <v>187337</v>
      </c>
    </row>
    <row r="26" spans="1:7" x14ac:dyDescent="0.2">
      <c r="A26" s="13">
        <v>60</v>
      </c>
      <c r="B26" s="13">
        <v>25</v>
      </c>
      <c r="C26" s="13">
        <v>0</v>
      </c>
      <c r="D26" s="14">
        <v>194557</v>
      </c>
      <c r="E26" s="14">
        <v>452051</v>
      </c>
      <c r="F26" s="16"/>
      <c r="G26" s="16">
        <f>SUM(Table9[[#This Row],[Cash]]-Table9[[#This Row],[Column1]])</f>
        <v>194557</v>
      </c>
    </row>
    <row r="27" spans="1:7" x14ac:dyDescent="0.2">
      <c r="A27" s="13">
        <v>61</v>
      </c>
      <c r="B27" s="13">
        <v>26</v>
      </c>
      <c r="C27" s="13">
        <v>0</v>
      </c>
      <c r="D27" s="14">
        <v>201998</v>
      </c>
      <c r="E27" s="14">
        <v>455040</v>
      </c>
      <c r="F27" s="16"/>
      <c r="G27" s="16">
        <f>SUM(Table9[[#This Row],[Cash]]-Table9[[#This Row],[Column1]])</f>
        <v>201998</v>
      </c>
    </row>
    <row r="28" spans="1:7" x14ac:dyDescent="0.2">
      <c r="A28" s="13">
        <v>62</v>
      </c>
      <c r="B28" s="13">
        <v>27</v>
      </c>
      <c r="C28" s="13">
        <v>0</v>
      </c>
      <c r="D28" s="14">
        <v>209651</v>
      </c>
      <c r="E28" s="14">
        <v>458082</v>
      </c>
      <c r="F28" s="16"/>
      <c r="G28" s="16">
        <f>SUM(Table9[[#This Row],[Cash]]-Table9[[#This Row],[Column1]])</f>
        <v>209651</v>
      </c>
    </row>
    <row r="29" spans="1:7" x14ac:dyDescent="0.2">
      <c r="A29" s="13">
        <v>63</v>
      </c>
      <c r="B29" s="13">
        <v>28</v>
      </c>
      <c r="C29" s="13">
        <v>0</v>
      </c>
      <c r="D29" s="14">
        <v>217527</v>
      </c>
      <c r="E29" s="14">
        <v>461189</v>
      </c>
      <c r="F29" s="16"/>
      <c r="G29" s="16">
        <f>SUM(Table9[[#This Row],[Cash]]-Table9[[#This Row],[Column1]])</f>
        <v>217527</v>
      </c>
    </row>
    <row r="30" spans="1:7" x14ac:dyDescent="0.2">
      <c r="A30" s="13">
        <v>64</v>
      </c>
      <c r="B30" s="13">
        <v>29</v>
      </c>
      <c r="C30" s="13">
        <v>0</v>
      </c>
      <c r="D30" s="14">
        <v>225621</v>
      </c>
      <c r="E30" s="14">
        <v>464374</v>
      </c>
      <c r="F30" s="16"/>
      <c r="G30" s="16">
        <f>SUM(Table9[[#This Row],[Cash]]-Table9[[#This Row],[Column1]])</f>
        <v>225621</v>
      </c>
    </row>
    <row r="31" spans="1:7" x14ac:dyDescent="0.2">
      <c r="A31" s="13">
        <v>65</v>
      </c>
      <c r="B31" s="13">
        <v>30</v>
      </c>
      <c r="C31" s="13">
        <v>0</v>
      </c>
      <c r="D31" s="14">
        <v>233933</v>
      </c>
      <c r="E31" s="14">
        <v>467640</v>
      </c>
      <c r="F31" s="16"/>
      <c r="G31" s="16">
        <f>SUM(Table9[[#This Row],[Cash]]-Table9[[#This Row],[Column1]])</f>
        <v>233933</v>
      </c>
    </row>
    <row r="32" spans="1:7" x14ac:dyDescent="0.2">
      <c r="A32" s="13">
        <v>66</v>
      </c>
      <c r="B32" s="13">
        <v>31</v>
      </c>
      <c r="C32" s="13">
        <v>0</v>
      </c>
      <c r="D32" s="14">
        <v>242479</v>
      </c>
      <c r="E32" s="14">
        <v>470997</v>
      </c>
      <c r="F32" s="16"/>
      <c r="G32" s="16">
        <f>SUM(Table9[[#This Row],[Cash]]-Table9[[#This Row],[Column1]])</f>
        <v>242479</v>
      </c>
    </row>
    <row r="33" spans="1:7" x14ac:dyDescent="0.2">
      <c r="A33" s="13">
        <v>67</v>
      </c>
      <c r="B33" s="13">
        <v>32</v>
      </c>
      <c r="C33" s="13">
        <v>0</v>
      </c>
      <c r="D33" s="14">
        <v>251278</v>
      </c>
      <c r="E33" s="14">
        <v>474460</v>
      </c>
      <c r="F33" s="16"/>
      <c r="G33" s="16">
        <f>SUM(Table9[[#This Row],[Cash]]-Table9[[#This Row],[Column1]])</f>
        <v>251278</v>
      </c>
    </row>
    <row r="34" spans="1:7" x14ac:dyDescent="0.2">
      <c r="A34" s="13">
        <v>68</v>
      </c>
      <c r="B34" s="13">
        <v>33</v>
      </c>
      <c r="C34" s="13">
        <v>0</v>
      </c>
      <c r="D34" s="14">
        <v>260346</v>
      </c>
      <c r="E34" s="14">
        <v>478035</v>
      </c>
      <c r="F34" s="16"/>
      <c r="G34" s="16">
        <f>SUM(Table9[[#This Row],[Cash]]-Table9[[#This Row],[Column1]])</f>
        <v>260346</v>
      </c>
    </row>
    <row r="35" spans="1:7" x14ac:dyDescent="0.2">
      <c r="A35" s="13">
        <v>69</v>
      </c>
      <c r="B35" s="13">
        <v>34</v>
      </c>
      <c r="C35" s="13">
        <v>0</v>
      </c>
      <c r="D35" s="14">
        <v>269692</v>
      </c>
      <c r="E35" s="14">
        <v>481735</v>
      </c>
      <c r="F35" s="16"/>
      <c r="G35" s="16">
        <f>SUM(Table9[[#This Row],[Cash]]-Table9[[#This Row],[Column1]])</f>
        <v>269692</v>
      </c>
    </row>
    <row r="36" spans="1:7" x14ac:dyDescent="0.2">
      <c r="A36" s="13">
        <v>70</v>
      </c>
      <c r="B36" s="13">
        <v>35</v>
      </c>
      <c r="C36" s="13">
        <v>0</v>
      </c>
      <c r="D36" s="14">
        <v>279334</v>
      </c>
      <c r="E36" s="14">
        <v>485574</v>
      </c>
      <c r="F36" s="16"/>
      <c r="G36" s="16">
        <f>SUM(Table9[[#This Row],[Cash]]-Table9[[#This Row],[Column1]])</f>
        <v>279334</v>
      </c>
    </row>
    <row r="37" spans="1:7" x14ac:dyDescent="0.2">
      <c r="A37" s="13">
        <v>71</v>
      </c>
      <c r="B37" s="13">
        <v>36</v>
      </c>
      <c r="C37" s="13">
        <v>0</v>
      </c>
      <c r="D37" s="14">
        <v>289252</v>
      </c>
      <c r="E37" s="14">
        <v>489565</v>
      </c>
      <c r="F37" s="16"/>
      <c r="G37" s="16">
        <f>SUM(Table9[[#This Row],[Cash]]-Table9[[#This Row],[Column1]])</f>
        <v>289252</v>
      </c>
    </row>
    <row r="38" spans="1:7" x14ac:dyDescent="0.2">
      <c r="A38" s="13">
        <v>72</v>
      </c>
      <c r="B38" s="13">
        <v>37</v>
      </c>
      <c r="C38" s="13">
        <v>0</v>
      </c>
      <c r="D38" s="14">
        <v>299450</v>
      </c>
      <c r="E38" s="14">
        <v>493727</v>
      </c>
      <c r="F38" s="16"/>
      <c r="G38" s="16">
        <f>SUM(Table9[[#This Row],[Cash]]-Table9[[#This Row],[Column1]])</f>
        <v>299450</v>
      </c>
    </row>
    <row r="39" spans="1:7" x14ac:dyDescent="0.2">
      <c r="A39" s="13">
        <v>73</v>
      </c>
      <c r="B39" s="13">
        <v>38</v>
      </c>
      <c r="C39" s="13">
        <v>0</v>
      </c>
      <c r="D39" s="14">
        <v>309907</v>
      </c>
      <c r="E39" s="14">
        <v>498081</v>
      </c>
      <c r="F39" s="16"/>
      <c r="G39" s="16">
        <f>SUM(Table9[[#This Row],[Cash]]-Table9[[#This Row],[Column1]])</f>
        <v>309907</v>
      </c>
    </row>
    <row r="40" spans="1:7" x14ac:dyDescent="0.2">
      <c r="A40" s="13">
        <v>74</v>
      </c>
      <c r="B40" s="13">
        <v>39</v>
      </c>
      <c r="C40" s="13">
        <v>0</v>
      </c>
      <c r="D40" s="14">
        <v>320617</v>
      </c>
      <c r="E40" s="14">
        <v>502646</v>
      </c>
      <c r="F40" s="16"/>
      <c r="G40" s="16">
        <f>SUM(Table9[[#This Row],[Cash]]-Table9[[#This Row],[Column1]])</f>
        <v>320617</v>
      </c>
    </row>
    <row r="41" spans="1:7" x14ac:dyDescent="0.2">
      <c r="A41" s="13">
        <v>75</v>
      </c>
      <c r="B41" s="13">
        <v>40</v>
      </c>
      <c r="C41" s="13">
        <v>0</v>
      </c>
      <c r="D41" s="14">
        <v>331585</v>
      </c>
      <c r="E41" s="14">
        <v>507449</v>
      </c>
      <c r="F41" s="16"/>
      <c r="G41" s="16">
        <f>SUM(Table9[[#This Row],[Cash]]-Table9[[#This Row],[Column1]])</f>
        <v>331585</v>
      </c>
    </row>
    <row r="42" spans="1:7" x14ac:dyDescent="0.2">
      <c r="A42" s="13">
        <v>76</v>
      </c>
      <c r="B42" s="13">
        <v>41</v>
      </c>
      <c r="C42" s="13">
        <v>0</v>
      </c>
      <c r="D42" s="14">
        <v>342834</v>
      </c>
      <c r="E42" s="14">
        <v>512521</v>
      </c>
      <c r="F42" s="16"/>
      <c r="G42" s="16">
        <f>SUM(Table9[[#This Row],[Cash]]-Table9[[#This Row],[Column1]])</f>
        <v>342834</v>
      </c>
    </row>
    <row r="43" spans="1:7" x14ac:dyDescent="0.2">
      <c r="A43" s="13">
        <v>77</v>
      </c>
      <c r="B43" s="13">
        <v>42</v>
      </c>
      <c r="C43" s="13">
        <v>0</v>
      </c>
      <c r="D43" s="14">
        <v>354393</v>
      </c>
      <c r="E43" s="14">
        <v>517883</v>
      </c>
      <c r="F43" s="16"/>
      <c r="G43" s="16">
        <f>SUM(Table9[[#This Row],[Cash]]-Table9[[#This Row],[Column1]])</f>
        <v>354393</v>
      </c>
    </row>
    <row r="44" spans="1:7" x14ac:dyDescent="0.2">
      <c r="A44" s="13">
        <v>78</v>
      </c>
      <c r="B44" s="13">
        <v>43</v>
      </c>
      <c r="C44" s="13">
        <v>0</v>
      </c>
      <c r="D44" s="14">
        <v>366295</v>
      </c>
      <c r="E44" s="14">
        <v>523555</v>
      </c>
      <c r="F44" s="16"/>
      <c r="G44" s="16">
        <f>SUM(Table9[[#This Row],[Cash]]-Table9[[#This Row],[Column1]])</f>
        <v>366295</v>
      </c>
    </row>
    <row r="45" spans="1:7" x14ac:dyDescent="0.2">
      <c r="A45" s="13">
        <v>79</v>
      </c>
      <c r="B45" s="13">
        <v>44</v>
      </c>
      <c r="C45" s="13">
        <v>0</v>
      </c>
      <c r="D45" s="14">
        <v>378577</v>
      </c>
      <c r="E45" s="14">
        <v>529562</v>
      </c>
      <c r="F45" s="16"/>
      <c r="G45" s="16">
        <f>SUM(Table9[[#This Row],[Cash]]-Table9[[#This Row],[Column1]])</f>
        <v>378577</v>
      </c>
    </row>
    <row r="46" spans="1:7" x14ac:dyDescent="0.2">
      <c r="A46" s="13">
        <v>80</v>
      </c>
      <c r="B46" s="13">
        <v>45</v>
      </c>
      <c r="C46" s="13">
        <v>0</v>
      </c>
      <c r="D46" s="14">
        <v>391247</v>
      </c>
      <c r="E46" s="14">
        <v>535923</v>
      </c>
      <c r="F46" s="16"/>
      <c r="G46" s="16">
        <f>SUM(Table9[[#This Row],[Cash]]-Table9[[#This Row],[Column1]])</f>
        <v>391247</v>
      </c>
    </row>
    <row r="47" spans="1:7" x14ac:dyDescent="0.2">
      <c r="A47" s="13">
        <v>81</v>
      </c>
      <c r="B47" s="13">
        <v>46</v>
      </c>
      <c r="C47" s="13">
        <v>0</v>
      </c>
      <c r="D47" s="14">
        <v>404317</v>
      </c>
      <c r="E47" s="14">
        <v>542666</v>
      </c>
      <c r="F47" s="16"/>
      <c r="G47" s="16">
        <f>SUM(Table9[[#This Row],[Cash]]-Table9[[#This Row],[Column1]])</f>
        <v>404317</v>
      </c>
    </row>
    <row r="48" spans="1:7" x14ac:dyDescent="0.2">
      <c r="A48" s="13">
        <v>82</v>
      </c>
      <c r="B48" s="13">
        <v>47</v>
      </c>
      <c r="C48" s="13">
        <v>0</v>
      </c>
      <c r="D48" s="14">
        <v>417784</v>
      </c>
      <c r="E48" s="14">
        <v>549812</v>
      </c>
      <c r="F48" s="16"/>
      <c r="G48" s="16">
        <f>SUM(Table9[[#This Row],[Cash]]-Table9[[#This Row],[Column1]])</f>
        <v>417784</v>
      </c>
    </row>
    <row r="49" spans="1:7" x14ac:dyDescent="0.2">
      <c r="A49" s="13">
        <v>83</v>
      </c>
      <c r="B49" s="13">
        <v>48</v>
      </c>
      <c r="C49" s="13">
        <v>0</v>
      </c>
      <c r="D49" s="14">
        <v>431687</v>
      </c>
      <c r="E49" s="14">
        <v>557390</v>
      </c>
      <c r="F49" s="16"/>
      <c r="G49" s="16">
        <f>SUM(Table9[[#This Row],[Cash]]-Table9[[#This Row],[Column1]])</f>
        <v>431687</v>
      </c>
    </row>
    <row r="50" spans="1:7" x14ac:dyDescent="0.2">
      <c r="A50" s="13">
        <v>84</v>
      </c>
      <c r="B50" s="13">
        <v>49</v>
      </c>
      <c r="C50" s="13">
        <v>0</v>
      </c>
      <c r="D50" s="14">
        <v>445932</v>
      </c>
      <c r="E50" s="14">
        <v>565420</v>
      </c>
      <c r="F50" s="16"/>
      <c r="G50" s="16">
        <f>SUM(Table9[[#This Row],[Cash]]-Table9[[#This Row],[Column1]])</f>
        <v>445932</v>
      </c>
    </row>
    <row r="51" spans="1:7" x14ac:dyDescent="0.2">
      <c r="A51" s="13">
        <v>85</v>
      </c>
      <c r="B51" s="13">
        <v>50</v>
      </c>
      <c r="C51" s="13">
        <v>0</v>
      </c>
      <c r="D51" s="14">
        <v>460521</v>
      </c>
      <c r="E51" s="14">
        <v>573936</v>
      </c>
      <c r="F51" s="16"/>
      <c r="G51" s="16">
        <f>SUM(Table9[[#This Row],[Cash]]-Table9[[#This Row],[Column1]])</f>
        <v>460521</v>
      </c>
    </row>
    <row r="52" spans="1:7" x14ac:dyDescent="0.2">
      <c r="A52" s="13">
        <v>86</v>
      </c>
      <c r="B52" s="13">
        <v>51</v>
      </c>
      <c r="C52" s="13">
        <v>0</v>
      </c>
      <c r="D52" s="14">
        <v>475420</v>
      </c>
      <c r="E52" s="14">
        <v>582978</v>
      </c>
      <c r="F52" s="16"/>
      <c r="G52" s="16">
        <f>SUM(Table9[[#This Row],[Cash]]-Table9[[#This Row],[Column1]])</f>
        <v>475420</v>
      </c>
    </row>
    <row r="53" spans="1:7" x14ac:dyDescent="0.2">
      <c r="A53" s="13">
        <v>87</v>
      </c>
      <c r="B53" s="13">
        <v>52</v>
      </c>
      <c r="C53" s="13">
        <v>0</v>
      </c>
      <c r="D53" s="14">
        <v>490600</v>
      </c>
      <c r="E53" s="14">
        <v>592583</v>
      </c>
      <c r="F53" s="16"/>
      <c r="G53" s="16">
        <f>SUM(Table9[[#This Row],[Cash]]-Table9[[#This Row],[Column1]])</f>
        <v>490600</v>
      </c>
    </row>
    <row r="54" spans="1:7" x14ac:dyDescent="0.2">
      <c r="A54" s="13">
        <v>88</v>
      </c>
      <c r="B54" s="13">
        <v>53</v>
      </c>
      <c r="C54" s="13">
        <v>0</v>
      </c>
      <c r="D54" s="14">
        <v>506038</v>
      </c>
      <c r="E54" s="14">
        <v>602794</v>
      </c>
      <c r="F54" s="16"/>
      <c r="G54" s="16">
        <f>SUM(Table9[[#This Row],[Cash]]-Table9[[#This Row],[Column1]])</f>
        <v>506038</v>
      </c>
    </row>
    <row r="55" spans="1:7" x14ac:dyDescent="0.2">
      <c r="A55" s="13">
        <v>89</v>
      </c>
      <c r="B55" s="13">
        <v>54</v>
      </c>
      <c r="C55" s="13">
        <v>0</v>
      </c>
      <c r="D55" s="14">
        <v>521697</v>
      </c>
      <c r="E55" s="14">
        <v>613659</v>
      </c>
      <c r="F55" s="16"/>
      <c r="G55" s="16">
        <f>SUM(Table9[[#This Row],[Cash]]-Table9[[#This Row],[Column1]])</f>
        <v>521697</v>
      </c>
    </row>
    <row r="56" spans="1:7" x14ac:dyDescent="0.2">
      <c r="A56" s="13">
        <v>90</v>
      </c>
      <c r="B56" s="13">
        <v>55</v>
      </c>
      <c r="C56" s="13">
        <v>0</v>
      </c>
      <c r="D56" s="14">
        <v>537619</v>
      </c>
      <c r="E56" s="14">
        <v>625233</v>
      </c>
      <c r="F56" s="16"/>
      <c r="G56" s="16">
        <f>SUM(Table9[[#This Row],[Cash]]-Table9[[#This Row],[Column1]])</f>
        <v>537619</v>
      </c>
    </row>
    <row r="57" spans="1:7" x14ac:dyDescent="0.2">
      <c r="A57" s="13">
        <v>91</v>
      </c>
      <c r="B57" s="13">
        <v>56</v>
      </c>
      <c r="C57" s="13">
        <v>0</v>
      </c>
      <c r="D57" s="14">
        <v>553845</v>
      </c>
      <c r="E57" s="14">
        <v>637584</v>
      </c>
      <c r="F57" s="16"/>
      <c r="G57" s="16">
        <f>SUM(Table9[[#This Row],[Cash]]-Table9[[#This Row],[Column1]])</f>
        <v>553845</v>
      </c>
    </row>
    <row r="58" spans="1:7" x14ac:dyDescent="0.2">
      <c r="A58" s="13">
        <v>92</v>
      </c>
      <c r="B58" s="13">
        <v>57</v>
      </c>
      <c r="C58" s="13">
        <v>0</v>
      </c>
      <c r="D58" s="14">
        <v>570482</v>
      </c>
      <c r="E58" s="14">
        <v>650789</v>
      </c>
      <c r="F58" s="16"/>
      <c r="G58" s="16">
        <f>SUM(Table9[[#This Row],[Cash]]-Table9[[#This Row],[Column1]])</f>
        <v>570482</v>
      </c>
    </row>
    <row r="59" spans="1:7" x14ac:dyDescent="0.2">
      <c r="A59" s="13">
        <v>93</v>
      </c>
      <c r="B59" s="13">
        <v>58</v>
      </c>
      <c r="C59" s="13">
        <v>0</v>
      </c>
      <c r="D59" s="14">
        <v>587672</v>
      </c>
      <c r="E59" s="14">
        <v>664929</v>
      </c>
      <c r="F59" s="16"/>
      <c r="G59" s="16">
        <f>SUM(Table9[[#This Row],[Cash]]-Table9[[#This Row],[Column1]])</f>
        <v>587672</v>
      </c>
    </row>
    <row r="60" spans="1:7" x14ac:dyDescent="0.2">
      <c r="A60" s="13">
        <v>94</v>
      </c>
      <c r="B60" s="13">
        <v>59</v>
      </c>
      <c r="C60" s="13">
        <v>0</v>
      </c>
      <c r="D60" s="14">
        <v>605566</v>
      </c>
      <c r="E60" s="14">
        <v>680092</v>
      </c>
      <c r="F60" s="16"/>
      <c r="G60" s="16">
        <f>SUM(Table9[[#This Row],[Cash]]-Table9[[#This Row],[Column1]])</f>
        <v>605566</v>
      </c>
    </row>
    <row r="61" spans="1:7" x14ac:dyDescent="0.2">
      <c r="A61" s="13">
        <v>95</v>
      </c>
      <c r="B61" s="13">
        <v>60</v>
      </c>
      <c r="C61" s="13">
        <v>0</v>
      </c>
      <c r="D61" s="14">
        <v>624429</v>
      </c>
      <c r="E61" s="14">
        <v>696379</v>
      </c>
      <c r="F61" s="16"/>
      <c r="G61" s="16">
        <f>SUM(Table9[[#This Row],[Cash]]-Table9[[#This Row],[Column1]])</f>
        <v>624429</v>
      </c>
    </row>
    <row r="62" spans="1:7" x14ac:dyDescent="0.2">
      <c r="A62" s="13">
        <v>96</v>
      </c>
      <c r="B62" s="13">
        <v>61</v>
      </c>
      <c r="C62" s="13">
        <v>0</v>
      </c>
      <c r="D62" s="14">
        <v>644650</v>
      </c>
      <c r="E62" s="14">
        <v>713881</v>
      </c>
      <c r="F62" s="16"/>
      <c r="G62" s="16">
        <f>SUM(Table9[[#This Row],[Cash]]-Table9[[#This Row],[Column1]])</f>
        <v>644650</v>
      </c>
    </row>
    <row r="63" spans="1:7" x14ac:dyDescent="0.2">
      <c r="A63" s="13">
        <v>97</v>
      </c>
      <c r="B63" s="13">
        <v>62</v>
      </c>
      <c r="C63" s="13">
        <v>0</v>
      </c>
      <c r="D63" s="14">
        <v>666068</v>
      </c>
      <c r="E63" s="14">
        <v>732678</v>
      </c>
      <c r="F63" s="16"/>
      <c r="G63" s="16">
        <f>SUM(Table9[[#This Row],[Cash]]-Table9[[#This Row],[Column1]])</f>
        <v>666068</v>
      </c>
    </row>
    <row r="64" spans="1:7" x14ac:dyDescent="0.2">
      <c r="A64" s="13">
        <v>98</v>
      </c>
      <c r="B64" s="13">
        <v>63</v>
      </c>
      <c r="C64" s="13">
        <v>0</v>
      </c>
      <c r="D64" s="14">
        <v>688754</v>
      </c>
      <c r="E64" s="14">
        <v>752855</v>
      </c>
      <c r="F64" s="16"/>
      <c r="G64" s="16">
        <f>SUM(Table9[[#This Row],[Cash]]-Table9[[#This Row],[Column1]])</f>
        <v>688754</v>
      </c>
    </row>
    <row r="65" spans="1:7" x14ac:dyDescent="0.2">
      <c r="A65" s="13">
        <v>99</v>
      </c>
      <c r="B65" s="13">
        <v>64</v>
      </c>
      <c r="C65" s="13">
        <v>0</v>
      </c>
      <c r="D65" s="14">
        <v>712715</v>
      </c>
      <c r="E65" s="14">
        <v>774496</v>
      </c>
      <c r="F65" s="16"/>
      <c r="G65" s="16">
        <f>SUM(Table9[[#This Row],[Cash]]-Table9[[#This Row],[Column1]])</f>
        <v>712715</v>
      </c>
    </row>
    <row r="66" spans="1:7" x14ac:dyDescent="0.2">
      <c r="A66" s="13">
        <v>100</v>
      </c>
      <c r="B66" s="13">
        <v>65</v>
      </c>
      <c r="C66" s="13">
        <v>0</v>
      </c>
      <c r="D66" s="14">
        <v>737993</v>
      </c>
      <c r="E66" s="14">
        <v>797704</v>
      </c>
      <c r="F66" s="16"/>
      <c r="G66" s="16">
        <f>SUM(Table9[[#This Row],[Cash]]-Table9[[#This Row],[Column1]])</f>
        <v>737993</v>
      </c>
    </row>
    <row r="67" spans="1:7" x14ac:dyDescent="0.2">
      <c r="A67" s="13">
        <v>101</v>
      </c>
      <c r="B67" s="13">
        <v>66</v>
      </c>
      <c r="C67" s="13">
        <v>0</v>
      </c>
      <c r="D67" s="14">
        <v>762840</v>
      </c>
      <c r="E67" s="14">
        <v>820827</v>
      </c>
      <c r="F67" s="16"/>
      <c r="G67" s="16">
        <f>SUM(Table9[[#This Row],[Cash]]-Table9[[#This Row],[Column1]])</f>
        <v>762840</v>
      </c>
    </row>
    <row r="68" spans="1:7" x14ac:dyDescent="0.2">
      <c r="A68" s="13">
        <v>102</v>
      </c>
      <c r="B68" s="13">
        <v>67</v>
      </c>
      <c r="C68" s="13">
        <v>0</v>
      </c>
      <c r="D68" s="14">
        <v>787363</v>
      </c>
      <c r="E68" s="14">
        <v>843729</v>
      </c>
      <c r="F68" s="16"/>
      <c r="G68" s="16">
        <f>SUM(Table9[[#This Row],[Cash]]-Table9[[#This Row],[Column1]])</f>
        <v>787363</v>
      </c>
    </row>
    <row r="69" spans="1:7" x14ac:dyDescent="0.2">
      <c r="A69" s="13">
        <v>103</v>
      </c>
      <c r="B69" s="13">
        <v>68</v>
      </c>
      <c r="C69" s="13">
        <v>0</v>
      </c>
      <c r="D69" s="14">
        <v>811551</v>
      </c>
      <c r="E69" s="14">
        <v>866427</v>
      </c>
      <c r="F69" s="16"/>
      <c r="G69" s="16">
        <f>SUM(Table9[[#This Row],[Cash]]-Table9[[#This Row],[Column1]])</f>
        <v>811551</v>
      </c>
    </row>
    <row r="70" spans="1:7" x14ac:dyDescent="0.2">
      <c r="A70" s="13">
        <v>104</v>
      </c>
      <c r="B70" s="13">
        <v>69</v>
      </c>
      <c r="C70" s="13">
        <v>0</v>
      </c>
      <c r="D70" s="14">
        <v>835449</v>
      </c>
      <c r="E70" s="14">
        <v>888937</v>
      </c>
      <c r="F70" s="16"/>
      <c r="G70" s="16">
        <f>SUM(Table9[[#This Row],[Cash]]-Table9[[#This Row],[Column1]])</f>
        <v>835449</v>
      </c>
    </row>
    <row r="71" spans="1:7" x14ac:dyDescent="0.2">
      <c r="A71" s="13">
        <v>105</v>
      </c>
      <c r="B71" s="13">
        <v>70</v>
      </c>
      <c r="C71" s="13">
        <v>0</v>
      </c>
      <c r="D71" s="14">
        <v>859104</v>
      </c>
      <c r="E71" s="14">
        <v>911276</v>
      </c>
      <c r="F71" s="16"/>
      <c r="G71" s="16">
        <f>SUM(Table9[[#This Row],[Cash]]-Table9[[#This Row],[Column1]])</f>
        <v>859104</v>
      </c>
    </row>
    <row r="72" spans="1:7" x14ac:dyDescent="0.2">
      <c r="A72" s="13">
        <v>106</v>
      </c>
      <c r="B72" s="13">
        <v>71</v>
      </c>
      <c r="C72" s="13">
        <v>0</v>
      </c>
      <c r="D72" s="14">
        <v>882706</v>
      </c>
      <c r="E72" s="14">
        <v>933464</v>
      </c>
      <c r="F72" s="16"/>
      <c r="G72" s="16">
        <f>SUM(Table9[[#This Row],[Cash]]-Table9[[#This Row],[Column1]])</f>
        <v>882706</v>
      </c>
    </row>
    <row r="73" spans="1:7" x14ac:dyDescent="0.2">
      <c r="A73" s="13">
        <v>107</v>
      </c>
      <c r="B73" s="13">
        <v>72</v>
      </c>
      <c r="C73" s="13">
        <v>0</v>
      </c>
      <c r="D73" s="14">
        <v>906640</v>
      </c>
      <c r="E73" s="14">
        <v>955515</v>
      </c>
      <c r="F73" s="16"/>
      <c r="G73" s="16">
        <f>SUM(Table9[[#This Row],[Cash]]-Table9[[#This Row],[Column1]])</f>
        <v>906640</v>
      </c>
    </row>
    <row r="74" spans="1:7" x14ac:dyDescent="0.2">
      <c r="A74" s="13">
        <v>108</v>
      </c>
      <c r="B74" s="13">
        <v>73</v>
      </c>
      <c r="C74" s="13">
        <v>0</v>
      </c>
      <c r="D74" s="14">
        <v>930445</v>
      </c>
      <c r="E74" s="14">
        <v>977407</v>
      </c>
      <c r="F74" s="16"/>
      <c r="G74" s="16">
        <f>SUM(Table9[[#This Row],[Cash]]-Table9[[#This Row],[Column1]])</f>
        <v>930445</v>
      </c>
    </row>
    <row r="75" spans="1:7" x14ac:dyDescent="0.2">
      <c r="A75" s="13">
        <v>109</v>
      </c>
      <c r="B75" s="13">
        <v>74</v>
      </c>
      <c r="C75" s="13">
        <v>0</v>
      </c>
      <c r="D75" s="14">
        <v>954103</v>
      </c>
      <c r="E75" s="14">
        <v>999133</v>
      </c>
      <c r="F75" s="16"/>
      <c r="G75" s="16">
        <f>SUM(Table9[[#This Row],[Cash]]-Table9[[#This Row],[Column1]])</f>
        <v>954103</v>
      </c>
    </row>
    <row r="76" spans="1:7" x14ac:dyDescent="0.2">
      <c r="A76" s="13">
        <v>110</v>
      </c>
      <c r="B76" s="13">
        <v>75</v>
      </c>
      <c r="C76" s="13">
        <v>0</v>
      </c>
      <c r="D76" s="14">
        <v>977633</v>
      </c>
      <c r="E76" s="14">
        <v>1020698</v>
      </c>
      <c r="F76" s="16"/>
      <c r="G76" s="16">
        <f>SUM(Table9[[#This Row],[Cash]]-Table9[[#This Row],[Column1]])</f>
        <v>977633</v>
      </c>
    </row>
    <row r="77" spans="1:7" x14ac:dyDescent="0.2">
      <c r="A77" s="13">
        <v>111</v>
      </c>
      <c r="B77" s="13">
        <v>76</v>
      </c>
      <c r="C77" s="13">
        <v>0</v>
      </c>
      <c r="D77" s="14">
        <v>1001018</v>
      </c>
      <c r="E77" s="14">
        <v>1042108</v>
      </c>
      <c r="F77" s="16"/>
      <c r="G77" s="16">
        <f>SUM(Table9[[#This Row],[Cash]]-Table9[[#This Row],[Column1]])</f>
        <v>1001018</v>
      </c>
    </row>
    <row r="78" spans="1:7" x14ac:dyDescent="0.2">
      <c r="A78" s="13">
        <v>112</v>
      </c>
      <c r="B78" s="13">
        <v>77</v>
      </c>
      <c r="C78" s="13">
        <v>0</v>
      </c>
      <c r="D78" s="14">
        <v>1024235</v>
      </c>
      <c r="E78" s="14">
        <v>1063346</v>
      </c>
      <c r="F78" s="16"/>
      <c r="G78" s="16">
        <f>SUM(Table9[[#This Row],[Cash]]-Table9[[#This Row],[Column1]])</f>
        <v>1024235</v>
      </c>
    </row>
    <row r="79" spans="1:7" x14ac:dyDescent="0.2">
      <c r="A79" s="13">
        <v>113</v>
      </c>
      <c r="B79" s="13">
        <v>78</v>
      </c>
      <c r="C79" s="13">
        <v>0</v>
      </c>
      <c r="D79" s="14">
        <v>1047316</v>
      </c>
      <c r="E79" s="14">
        <v>1084433</v>
      </c>
      <c r="F79" s="16"/>
      <c r="G79" s="16">
        <f>SUM(Table9[[#This Row],[Cash]]-Table9[[#This Row],[Column1]])</f>
        <v>1047316</v>
      </c>
    </row>
    <row r="80" spans="1:7" x14ac:dyDescent="0.2">
      <c r="A80" s="13">
        <v>114</v>
      </c>
      <c r="B80" s="13">
        <v>79</v>
      </c>
      <c r="C80" s="13">
        <v>0</v>
      </c>
      <c r="D80" s="14">
        <v>1070251</v>
      </c>
      <c r="E80" s="14">
        <v>1105378</v>
      </c>
      <c r="F80" s="16"/>
      <c r="G80" s="16">
        <f>SUM(Table9[[#This Row],[Cash]]-Table9[[#This Row],[Column1]])</f>
        <v>1070251</v>
      </c>
    </row>
    <row r="81" spans="1:7" x14ac:dyDescent="0.2">
      <c r="A81" s="13">
        <v>115</v>
      </c>
      <c r="B81" s="13">
        <v>80</v>
      </c>
      <c r="C81" s="13">
        <v>0</v>
      </c>
      <c r="D81" s="14">
        <v>1093047</v>
      </c>
      <c r="E81" s="14">
        <v>1126184</v>
      </c>
      <c r="F81" s="16"/>
      <c r="G81" s="16">
        <f>SUM(Table9[[#This Row],[Cash]]-Table9[[#This Row],[Column1]])</f>
        <v>1093047</v>
      </c>
    </row>
    <row r="82" spans="1:7" x14ac:dyDescent="0.2">
      <c r="A82" s="13">
        <v>116</v>
      </c>
      <c r="B82" s="13">
        <v>81</v>
      </c>
      <c r="C82" s="13">
        <v>0</v>
      </c>
      <c r="D82" s="14">
        <v>1115701</v>
      </c>
      <c r="E82" s="14">
        <v>1146857</v>
      </c>
      <c r="F82" s="16"/>
      <c r="G82" s="16">
        <f>SUM(Table9[[#This Row],[Cash]]-Table9[[#This Row],[Column1]])</f>
        <v>1115701</v>
      </c>
    </row>
    <row r="83" spans="1:7" x14ac:dyDescent="0.2">
      <c r="A83" s="13">
        <v>117</v>
      </c>
      <c r="B83" s="13">
        <v>82</v>
      </c>
      <c r="C83" s="13">
        <v>0</v>
      </c>
      <c r="D83" s="14">
        <v>1138208</v>
      </c>
      <c r="E83" s="14">
        <v>1167399</v>
      </c>
      <c r="F83" s="16"/>
      <c r="G83" s="16">
        <f>SUM(Table9[[#This Row],[Cash]]-Table9[[#This Row],[Column1]])</f>
        <v>1138208</v>
      </c>
    </row>
    <row r="84" spans="1:7" x14ac:dyDescent="0.2">
      <c r="A84" s="13">
        <v>118</v>
      </c>
      <c r="B84" s="13">
        <v>83</v>
      </c>
      <c r="C84" s="13">
        <v>0</v>
      </c>
      <c r="D84" s="14">
        <v>1160579</v>
      </c>
      <c r="E84" s="14">
        <v>1187815</v>
      </c>
      <c r="F84" s="16"/>
      <c r="G84" s="16">
        <f>SUM(Table9[[#This Row],[Cash]]-Table9[[#This Row],[Column1]])</f>
        <v>1160579</v>
      </c>
    </row>
    <row r="85" spans="1:7" x14ac:dyDescent="0.2">
      <c r="A85" s="13">
        <v>119</v>
      </c>
      <c r="B85" s="13">
        <v>84</v>
      </c>
      <c r="C85" s="13">
        <v>0</v>
      </c>
      <c r="D85" s="14">
        <v>1182803</v>
      </c>
      <c r="E85" s="14">
        <v>1208114</v>
      </c>
      <c r="F85" s="16"/>
      <c r="G85" s="16">
        <f>SUM(Table9[[#This Row],[Cash]]-Table9[[#This Row],[Column1]])</f>
        <v>1182803</v>
      </c>
    </row>
    <row r="86" spans="1:7" x14ac:dyDescent="0.2">
      <c r="A86" s="13">
        <v>120</v>
      </c>
      <c r="B86" s="13">
        <v>85</v>
      </c>
      <c r="C86" s="13">
        <v>0</v>
      </c>
      <c r="D86" s="14">
        <v>1204901</v>
      </c>
      <c r="E86" s="14">
        <v>1228299</v>
      </c>
      <c r="F86" s="16"/>
      <c r="G86" s="16">
        <f>SUM(Table9[[#This Row],[Cash]]-Table9[[#This Row],[Column1]])</f>
        <v>1204901</v>
      </c>
    </row>
    <row r="87" spans="1:7" x14ac:dyDescent="0.2">
      <c r="A87" s="13">
        <v>121</v>
      </c>
      <c r="B87" s="13">
        <v>86</v>
      </c>
      <c r="C87" s="13">
        <v>0</v>
      </c>
      <c r="D87" s="14">
        <v>1237725</v>
      </c>
      <c r="E87" s="14">
        <v>1237725</v>
      </c>
      <c r="F87" s="16"/>
      <c r="G87" s="16">
        <f>SUM(Table9[[#This Row],[Cash]]-Table9[[#This Row],[Column1]])</f>
        <v>1237725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 Life Illustration</vt:lpstr>
      <vt:lpstr>IUL Illustration</vt:lpstr>
      <vt:lpstr>Sean Sample CSV</vt:lpstr>
      <vt:lpstr>M 35 WL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Atchison</cp:lastModifiedBy>
  <dcterms:created xsi:type="dcterms:W3CDTF">2018-02-13T06:55:34Z</dcterms:created>
  <dcterms:modified xsi:type="dcterms:W3CDTF">2021-04-14T03:37:01Z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2018-02-13T06:55:38.7202788Z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