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nkurmagan/Documents/Ramkripa Global Practice/Radius/"/>
    </mc:Choice>
  </mc:AlternateContent>
  <xr:revisionPtr revIDLastSave="0" documentId="8_{710D051D-7BB9-4B49-9274-42A725382B45}" xr6:coauthVersionLast="47" xr6:coauthVersionMax="47" xr10:uidLastSave="{00000000-0000-0000-0000-000000000000}"/>
  <bookViews>
    <workbookView xWindow="80" yWindow="500" windowWidth="25440" windowHeight="11920" activeTab="1" xr2:uid="{E895C263-44EC-C945-A3F9-5AD87DB20003}"/>
  </bookViews>
  <sheets>
    <sheet name="AR Open" sheetId="3" r:id="rId1"/>
    <sheet name="Custmer level data" sheetId="2" r:id="rId2"/>
    <sheet name="AR Closed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3" l="1"/>
  <c r="O4" i="3" s="1"/>
  <c r="Q4" i="3" s="1"/>
  <c r="N3" i="3"/>
  <c r="O3" i="3" s="1"/>
  <c r="Q3" i="3" s="1"/>
  <c r="B5" i="3"/>
  <c r="B6" i="3" s="1"/>
  <c r="AH4" i="3"/>
  <c r="AF4" i="3"/>
  <c r="AD4" i="3"/>
  <c r="G4" i="3"/>
  <c r="AG4" i="3" s="1"/>
  <c r="C4" i="3"/>
  <c r="C5" i="3" s="1"/>
  <c r="C6" i="3" s="1"/>
  <c r="AH3" i="3"/>
  <c r="AG3" i="3"/>
  <c r="AF3" i="3"/>
  <c r="AE3" i="3"/>
  <c r="AD3" i="3"/>
  <c r="AC3" i="3"/>
  <c r="AB3" i="3"/>
  <c r="L3" i="3"/>
  <c r="M3" i="3" s="1"/>
  <c r="N18" i="2"/>
  <c r="M18" i="2"/>
  <c r="L18" i="2"/>
  <c r="K18" i="2"/>
  <c r="N17" i="2"/>
  <c r="M17" i="2"/>
  <c r="L17" i="2"/>
  <c r="K17" i="2"/>
  <c r="N16" i="2"/>
  <c r="M16" i="2"/>
  <c r="L16" i="2"/>
  <c r="K16" i="2"/>
  <c r="N15" i="2"/>
  <c r="M15" i="2"/>
  <c r="L15" i="2"/>
  <c r="K15" i="2"/>
  <c r="H2" i="2"/>
  <c r="N7" i="2"/>
  <c r="N6" i="2"/>
  <c r="N5" i="2"/>
  <c r="N4" i="2"/>
  <c r="M7" i="2"/>
  <c r="M6" i="2"/>
  <c r="M5" i="2"/>
  <c r="M4" i="2"/>
  <c r="L7" i="2"/>
  <c r="L6" i="2"/>
  <c r="L5" i="2"/>
  <c r="L4" i="2"/>
  <c r="K7" i="2"/>
  <c r="K6" i="2"/>
  <c r="K5" i="2"/>
  <c r="K4" i="2"/>
  <c r="AQ5" i="1"/>
  <c r="AN5" i="1"/>
  <c r="AK5" i="1"/>
  <c r="H4" i="1"/>
  <c r="H5" i="1" s="1"/>
  <c r="H6" i="1" s="1"/>
  <c r="D6" i="1"/>
  <c r="AN6" i="1" s="1"/>
  <c r="D5" i="1"/>
  <c r="B6" i="1"/>
  <c r="B5" i="1"/>
  <c r="AQ4" i="1"/>
  <c r="AP4" i="1"/>
  <c r="AN4" i="1"/>
  <c r="AM4" i="1"/>
  <c r="AK4" i="1"/>
  <c r="AJ4" i="1"/>
  <c r="I4" i="1"/>
  <c r="AI4" i="1" s="1"/>
  <c r="C4" i="1"/>
  <c r="C5" i="1" s="1"/>
  <c r="C6" i="1" s="1"/>
  <c r="AQ3" i="1"/>
  <c r="AP3" i="1"/>
  <c r="AO3" i="1"/>
  <c r="AM3" i="1"/>
  <c r="AN3" i="1"/>
  <c r="AL3" i="1"/>
  <c r="AI3" i="1"/>
  <c r="AG3" i="1"/>
  <c r="AK3" i="1"/>
  <c r="AJ3" i="1"/>
  <c r="AA3" i="1"/>
  <c r="AB3" i="1" s="1"/>
  <c r="Y3" i="1"/>
  <c r="Z3" i="1" s="1"/>
  <c r="AE4" i="3" l="1"/>
  <c r="AC4" i="3"/>
  <c r="G5" i="3"/>
  <c r="L4" i="3"/>
  <c r="M4" i="3" s="1"/>
  <c r="AB4" i="3"/>
  <c r="AK6" i="1"/>
  <c r="I5" i="1"/>
  <c r="AQ6" i="1"/>
  <c r="N2" i="2"/>
  <c r="O2" i="2" s="1"/>
  <c r="Y4" i="1"/>
  <c r="Z4" i="1" s="1"/>
  <c r="AO4" i="1"/>
  <c r="AA4" i="1"/>
  <c r="AC4" i="1" s="1"/>
  <c r="AE4" i="1" s="1"/>
  <c r="AF4" i="1" s="1"/>
  <c r="AH4" i="1" s="1"/>
  <c r="AG4" i="1"/>
  <c r="AL4" i="1"/>
  <c r="AC3" i="1"/>
  <c r="G6" i="3" l="1"/>
  <c r="H5" i="3"/>
  <c r="N5" i="3" s="1"/>
  <c r="O5" i="3" s="1"/>
  <c r="Q5" i="3" s="1"/>
  <c r="AC5" i="3"/>
  <c r="AE5" i="3"/>
  <c r="AG5" i="3"/>
  <c r="AB5" i="3"/>
  <c r="AB4" i="1"/>
  <c r="AO5" i="1"/>
  <c r="AA5" i="1"/>
  <c r="J5" i="1"/>
  <c r="I6" i="1"/>
  <c r="AI5" i="1"/>
  <c r="AL5" i="1"/>
  <c r="AG5" i="1"/>
  <c r="AD4" i="1"/>
  <c r="AE3" i="1"/>
  <c r="AF3" i="1" s="1"/>
  <c r="AH3" i="1" s="1"/>
  <c r="AD3" i="1"/>
  <c r="AD5" i="3" l="1"/>
  <c r="AF5" i="3"/>
  <c r="AH5" i="3"/>
  <c r="L5" i="3"/>
  <c r="M5" i="3" s="1"/>
  <c r="AC6" i="3"/>
  <c r="AE6" i="3"/>
  <c r="AG6" i="3"/>
  <c r="AB6" i="3"/>
  <c r="H6" i="3"/>
  <c r="N6" i="3" s="1"/>
  <c r="O6" i="3" s="1"/>
  <c r="Q6" i="3" s="1"/>
  <c r="AJ5" i="1"/>
  <c r="AM5" i="1"/>
  <c r="Y5" i="1"/>
  <c r="Z5" i="1" s="1"/>
  <c r="AP5" i="1"/>
  <c r="AB5" i="1"/>
  <c r="AI6" i="1"/>
  <c r="AL6" i="1"/>
  <c r="AG6" i="1"/>
  <c r="AO6" i="1"/>
  <c r="J6" i="1"/>
  <c r="AA6" i="1"/>
  <c r="AF6" i="3" l="1"/>
  <c r="AH6" i="3"/>
  <c r="L6" i="3"/>
  <c r="M6" i="3" s="1"/>
  <c r="AD6" i="3"/>
  <c r="AB6" i="1"/>
  <c r="AJ6" i="1"/>
  <c r="AM6" i="1"/>
  <c r="Y6" i="1"/>
  <c r="Z6" i="1" s="1"/>
  <c r="AP6" i="1"/>
  <c r="AC5" i="1"/>
  <c r="AD5" i="1" l="1"/>
  <c r="AE5" i="1"/>
  <c r="AF5" i="1" s="1"/>
  <c r="AH5" i="1" s="1"/>
  <c r="AC6" i="1"/>
  <c r="AE6" i="1" l="1"/>
  <c r="AF6" i="1" s="1"/>
  <c r="AH6" i="1" s="1"/>
  <c r="AD6" i="1"/>
</calcChain>
</file>

<file path=xl/sharedStrings.xml><?xml version="1.0" encoding="utf-8"?>
<sst xmlns="http://schemas.openxmlformats.org/spreadsheetml/2006/main" count="168" uniqueCount="104">
  <si>
    <t xml:space="preserve">Customer Name </t>
  </si>
  <si>
    <t>Customer ID</t>
  </si>
  <si>
    <t xml:space="preserve">Payment number </t>
  </si>
  <si>
    <t xml:space="preserve">Payment date </t>
  </si>
  <si>
    <t xml:space="preserve">Payment amount </t>
  </si>
  <si>
    <t>Payment type</t>
  </si>
  <si>
    <t xml:space="preserve">Invoice number </t>
  </si>
  <si>
    <t xml:space="preserve">Invoice date </t>
  </si>
  <si>
    <t xml:space="preserve">Invoice due date </t>
  </si>
  <si>
    <t xml:space="preserve">Invoice Amount </t>
  </si>
  <si>
    <t>Amount applied to invoice</t>
  </si>
  <si>
    <t>Customer terms</t>
  </si>
  <si>
    <t>Customer type</t>
  </si>
  <si>
    <t xml:space="preserve">Exclusions </t>
  </si>
  <si>
    <t>Matched credit notes</t>
  </si>
  <si>
    <t>Unmatched credit notes</t>
  </si>
  <si>
    <t>pay date before invoice date</t>
  </si>
  <si>
    <t xml:space="preserve">Due date before invoice date </t>
  </si>
  <si>
    <t xml:space="preserve">Extremely early/late </t>
  </si>
  <si>
    <t xml:space="preserve">Inter company </t>
  </si>
  <si>
    <t xml:space="preserve">Blank invoice amount </t>
  </si>
  <si>
    <t xml:space="preserve">Outside transaction period </t>
  </si>
  <si>
    <t xml:space="preserve">Include/exclude </t>
  </si>
  <si>
    <t xml:space="preserve">Calculated terms </t>
  </si>
  <si>
    <t>Weighted calculated terms</t>
  </si>
  <si>
    <t xml:space="preserve">Days to collect </t>
  </si>
  <si>
    <t xml:space="preserve">Weighted days to collect </t>
  </si>
  <si>
    <t xml:space="preserve">Early/Late </t>
  </si>
  <si>
    <t xml:space="preserve">Weighted early/late </t>
  </si>
  <si>
    <t xml:space="preserve">Early/late/on time </t>
  </si>
  <si>
    <t xml:space="preserve">Late amount </t>
  </si>
  <si>
    <t xml:space="preserve">Weighted late </t>
  </si>
  <si>
    <t xml:space="preserve">Due day of month </t>
  </si>
  <si>
    <t xml:space="preserve">Payment day of month </t>
  </si>
  <si>
    <t xml:space="preserve">Invoice day of week </t>
  </si>
  <si>
    <t xml:space="preserve">Payment day of week </t>
  </si>
  <si>
    <t xml:space="preserve">Invoice month </t>
  </si>
  <si>
    <t xml:space="preserve">Due month </t>
  </si>
  <si>
    <t>Pay month</t>
  </si>
  <si>
    <t>Ram</t>
  </si>
  <si>
    <t>NET 15</t>
  </si>
  <si>
    <t>Commercial</t>
  </si>
  <si>
    <t>Invoice day of month</t>
  </si>
  <si>
    <t xml:space="preserve">Due day </t>
  </si>
  <si>
    <t>Key (concatenate)</t>
  </si>
  <si>
    <t xml:space="preserve">Lakshman </t>
  </si>
  <si>
    <t>NET 30</t>
  </si>
  <si>
    <t>Doc type</t>
  </si>
  <si>
    <t xml:space="preserve">Bharat </t>
  </si>
  <si>
    <t xml:space="preserve">Shatrughan </t>
  </si>
  <si>
    <t xml:space="preserve">Government </t>
  </si>
  <si>
    <t>Grand Total</t>
  </si>
  <si>
    <t>Sum of Amount applied to invoice</t>
  </si>
  <si>
    <t xml:space="preserve">Count of Invoice number </t>
  </si>
  <si>
    <t>Sum of WAT</t>
  </si>
  <si>
    <t>Sum of WADTC</t>
  </si>
  <si>
    <t>Sum of Weighted E/L</t>
  </si>
  <si>
    <t xml:space="preserve">Sum of Weighted Late if Late </t>
  </si>
  <si>
    <t xml:space="preserve">Sum of Late amount </t>
  </si>
  <si>
    <t>ABC</t>
  </si>
  <si>
    <t>Sum of Amount applied to invoice2</t>
  </si>
  <si>
    <t>Cumulative %</t>
  </si>
  <si>
    <t xml:space="preserve">Terms Bucket </t>
  </si>
  <si>
    <t xml:space="preserve">Payment bucket </t>
  </si>
  <si>
    <t xml:space="preserve">Collection opportunity </t>
  </si>
  <si>
    <t>Cusomer id</t>
  </si>
  <si>
    <t>Customer id</t>
  </si>
  <si>
    <t>Required</t>
  </si>
  <si>
    <t>Days overdue</t>
  </si>
  <si>
    <t xml:space="preserve">Overdue Bucket </t>
  </si>
  <si>
    <t>if(K3&lt;31, "0-30",if(K3&gt;30&lt;L7),"30-60",if(k3&gt;60&lt;91),"60-90",if(k3&gt;90&lt;121),"90-120",if(k3&gt;120),"120+", "Current")</t>
  </si>
  <si>
    <t>using if formula (tried above check) calculate the 0-30, 30-60 , 60-90 , 90-120 and 120+ buckets</t>
  </si>
  <si>
    <t xml:space="preserve">Collector Name </t>
  </si>
  <si>
    <t>A</t>
  </si>
  <si>
    <t>B</t>
  </si>
  <si>
    <t>C</t>
  </si>
  <si>
    <t>D</t>
  </si>
  <si>
    <t xml:space="preserve">Biller Name </t>
  </si>
  <si>
    <t xml:space="preserve">P </t>
  </si>
  <si>
    <t>Q</t>
  </si>
  <si>
    <t>R</t>
  </si>
  <si>
    <t>S</t>
  </si>
  <si>
    <t>Weighted Overdue</t>
  </si>
  <si>
    <t xml:space="preserve">Sum of Weighted overdue at customer level /sum of invoice amont at customer level </t>
  </si>
  <si>
    <t>Weighted Average Overdue days (Customer)</t>
  </si>
  <si>
    <t>Weighted Average Overdue days (Collecor )</t>
  </si>
  <si>
    <t>Weighted Average Overdue days (Biller )</t>
  </si>
  <si>
    <t xml:space="preserve">Sum of Weighted overdue at customer level /sum of invoice amont at collector level </t>
  </si>
  <si>
    <t xml:space="preserve">Sum of Weighted overdue at customer level /sum of invoice amont at biller level </t>
  </si>
  <si>
    <t xml:space="preserve">Invoice Status </t>
  </si>
  <si>
    <t xml:space="preserve">Dispute code dropdown </t>
  </si>
  <si>
    <t xml:space="preserve">Root cause dropdown </t>
  </si>
  <si>
    <t xml:space="preserve">Outcome status </t>
  </si>
  <si>
    <t>Comments</t>
  </si>
  <si>
    <t>Dropdowns</t>
  </si>
  <si>
    <t xml:space="preserve">Appear in front screen </t>
  </si>
  <si>
    <t xml:space="preserve">Client Director </t>
  </si>
  <si>
    <t>Free comments</t>
  </si>
  <si>
    <t>L1</t>
  </si>
  <si>
    <t>L2</t>
  </si>
  <si>
    <t>L3</t>
  </si>
  <si>
    <t xml:space="preserve">Assigned Responsible </t>
  </si>
  <si>
    <t>Dropdown (Biller , collector , Director)</t>
  </si>
  <si>
    <t xml:space="preserve">Appear in respective party screens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</si>
</sst>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3" fontId="0" fillId="0" borderId="0" xfId="0" applyNumberFormat="1"/>
    <xf numFmtId="0" fontId="2" fillId="0" borderId="0" xfId="0" applyFont="1"/>
    <xf numFmtId="0" fontId="2" fillId="2" borderId="0" xfId="0" applyFont="1" applyFill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0" fontId="0" fillId="0" borderId="0" xfId="0" applyNumberFormat="1"/>
    <xf numFmtId="9" fontId="0" fillId="0" borderId="0" xfId="1" applyFont="1"/>
    <xf numFmtId="0" fontId="2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wrapText="1"/>
    </xf>
  </cellXfs>
  <cellStyles count="2">
    <cellStyle name="Normal" xfId="0" builtinId="0"/>
    <cellStyle name="Per cent" xfId="1" builtinId="5"/>
  </cellStyles>
  <dxfs count="10"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ur Magan" refreshedDate="44548.554581944445" createdVersion="7" refreshedVersion="7" minRefreshableVersion="3" recordCount="4" xr:uid="{9CBB795A-72CF-C644-9AF8-B84D65146789}">
  <cacheSource type="worksheet">
    <worksheetSource ref="A2:AQ6" sheet="AR Closed"/>
  </cacheSource>
  <cacheFields count="47">
    <cacheField name="Customer Name " numFmtId="0">
      <sharedItems/>
    </cacheField>
    <cacheField name="Customer ID" numFmtId="0">
      <sharedItems containsSemiMixedTypes="0" containsString="0" containsNumber="1" containsInteger="1" minValue="11001" maxValue="11013" count="4">
        <n v="11001"/>
        <n v="11003"/>
        <n v="11008"/>
        <n v="11013"/>
      </sharedItems>
    </cacheField>
    <cacheField name="Payment number " numFmtId="0">
      <sharedItems containsSemiMixedTypes="0" containsString="0" containsNumber="1" containsInteger="1" minValue="2002002" maxValue="2002014"/>
    </cacheField>
    <cacheField name="Payment date " numFmtId="16">
      <sharedItems containsSemiMixedTypes="0" containsNonDate="0" containsDate="1" containsString="0" minDate="2021-02-13T00:00:00" maxDate="2021-04-30T00:00:00"/>
    </cacheField>
    <cacheField name="Payment amount " numFmtId="0">
      <sharedItems containsSemiMixedTypes="0" containsString="0" containsNumber="1" containsInteger="1" minValue="1500" maxValue="40000"/>
    </cacheField>
    <cacheField name="Doc type" numFmtId="0">
      <sharedItems containsNonDate="0" containsString="0" containsBlank="1"/>
    </cacheField>
    <cacheField name="Payment type" numFmtId="0">
      <sharedItems containsNonDate="0" containsString="0" containsBlank="1"/>
    </cacheField>
    <cacheField name="Invoice number " numFmtId="0">
      <sharedItems containsSemiMixedTypes="0" containsString="0" containsNumber="1" containsInteger="1" minValue="17050275" maxValue="17050335"/>
    </cacheField>
    <cacheField name="Invoice date " numFmtId="16">
      <sharedItems containsSemiMixedTypes="0" containsNonDate="0" containsDate="1" containsString="0" minDate="2021-01-10T00:00:00" maxDate="2021-03-18T00:00:00"/>
    </cacheField>
    <cacheField name="Invoice due date " numFmtId="16">
      <sharedItems containsSemiMixedTypes="0" containsNonDate="0" containsDate="1" containsString="0" minDate="2021-01-25T00:00:00" maxDate="2021-04-17T00:00:00"/>
    </cacheField>
    <cacheField name="Invoice Amount " numFmtId="0">
      <sharedItems containsSemiMixedTypes="0" containsString="0" containsNumber="1" containsInteger="1" minValue="1500" maxValue="40000"/>
    </cacheField>
    <cacheField name="Amount applied to invoice" numFmtId="0">
      <sharedItems containsSemiMixedTypes="0" containsString="0" containsNumber="1" containsInteger="1" minValue="1500" maxValue="40000" count="4">
        <n v="40000"/>
        <n v="20000"/>
        <n v="1500"/>
        <n v="3000"/>
      </sharedItems>
    </cacheField>
    <cacheField name="Customer terms" numFmtId="0">
      <sharedItems/>
    </cacheField>
    <cacheField name="Customer type" numFmtId="0">
      <sharedItems/>
    </cacheField>
    <cacheField name="Key (concatenate)" numFmtId="0">
      <sharedItems containsNonDate="0" containsString="0" containsBlank="1"/>
    </cacheField>
    <cacheField name="Matched credit notes" numFmtId="0">
      <sharedItems containsNonDate="0" containsString="0" containsBlank="1"/>
    </cacheField>
    <cacheField name="Unmatched credit notes" numFmtId="0">
      <sharedItems containsNonDate="0" containsString="0" containsBlank="1"/>
    </cacheField>
    <cacheField name="pay date before invoice date" numFmtId="0">
      <sharedItems containsNonDate="0" containsString="0" containsBlank="1"/>
    </cacheField>
    <cacheField name="Due date before invoice date " numFmtId="0">
      <sharedItems containsNonDate="0" containsString="0" containsBlank="1"/>
    </cacheField>
    <cacheField name="Extremely early/late " numFmtId="0">
      <sharedItems containsNonDate="0" containsString="0" containsBlank="1"/>
    </cacheField>
    <cacheField name="Inter company " numFmtId="0">
      <sharedItems containsNonDate="0" containsString="0" containsBlank="1"/>
    </cacheField>
    <cacheField name="Blank invoice amount " numFmtId="0">
      <sharedItems containsNonDate="0" containsString="0" containsBlank="1"/>
    </cacheField>
    <cacheField name="Outside transaction period " numFmtId="0">
      <sharedItems containsNonDate="0" containsString="0" containsBlank="1"/>
    </cacheField>
    <cacheField name="Include/exclude " numFmtId="0">
      <sharedItems containsNonDate="0" containsString="0" containsBlank="1"/>
    </cacheField>
    <cacheField name="Calculated terms " numFmtId="0">
      <sharedItems containsSemiMixedTypes="0" containsString="0" containsNumber="1" containsInteger="1" minValue="15" maxValue="30"/>
    </cacheField>
    <cacheField name="Weighted calculated terms" numFmtId="0">
      <sharedItems containsSemiMixedTypes="0" containsString="0" containsNumber="1" containsInteger="1" minValue="45000" maxValue="600000"/>
    </cacheField>
    <cacheField name="Days to collect " numFmtId="0">
      <sharedItems containsSemiMixedTypes="0" containsString="0" containsNumber="1" containsInteger="1" minValue="34" maxValue="57"/>
    </cacheField>
    <cacheField name="Weighted days to collect " numFmtId="0">
      <sharedItems containsSemiMixedTypes="0" containsString="0" containsNumber="1" containsInteger="1" minValue="75000" maxValue="1360000"/>
    </cacheField>
    <cacheField name="Early/Late " numFmtId="0">
      <sharedItems containsSemiMixedTypes="0" containsString="0" containsNumber="1" containsInteger="1" minValue="13" maxValue="28"/>
    </cacheField>
    <cacheField name="Weighted early/late " numFmtId="0">
      <sharedItems containsSemiMixedTypes="0" containsString="0" containsNumber="1" containsInteger="1" minValue="30000" maxValue="760000"/>
    </cacheField>
    <cacheField name="Early/late/on time " numFmtId="0">
      <sharedItems/>
    </cacheField>
    <cacheField name="Late amount " numFmtId="0">
      <sharedItems containsSemiMixedTypes="0" containsString="0" containsNumber="1" containsInteger="1" minValue="1500" maxValue="40000" count="4">
        <n v="40000"/>
        <n v="20000"/>
        <n v="1500"/>
        <n v="3000"/>
      </sharedItems>
    </cacheField>
    <cacheField name="Invoice day of month" numFmtId="0">
      <sharedItems containsSemiMixedTypes="0" containsString="0" containsNumber="1" containsInteger="1" minValue="1" maxValue="23"/>
    </cacheField>
    <cacheField name="Weighted late " numFmtId="0">
      <sharedItems containsSemiMixedTypes="0" containsString="0" containsNumber="1" containsInteger="1" minValue="30000" maxValue="760000"/>
    </cacheField>
    <cacheField name="Invoice day of month2" numFmtId="0">
      <sharedItems containsSemiMixedTypes="0" containsString="0" containsNumber="1" containsInteger="1" minValue="1" maxValue="23"/>
    </cacheField>
    <cacheField name="Due day of month " numFmtId="0">
      <sharedItems containsSemiMixedTypes="0" containsString="0" containsNumber="1" containsInteger="1" minValue="2" maxValue="25"/>
    </cacheField>
    <cacheField name="Payment day of month " numFmtId="0">
      <sharedItems containsSemiMixedTypes="0" containsString="0" containsNumber="1" containsInteger="1" minValue="13" maxValue="30"/>
    </cacheField>
    <cacheField name="Invoice day of week " numFmtId="0">
      <sharedItems/>
    </cacheField>
    <cacheField name="Due day " numFmtId="0">
      <sharedItems/>
    </cacheField>
    <cacheField name="Payment day of week " numFmtId="0">
      <sharedItems/>
    </cacheField>
    <cacheField name="Invoice month " numFmtId="14">
      <sharedItems containsSemiMixedTypes="0" containsNonDate="0" containsDate="1" containsString="0" minDate="2021-01-31T00:00:00" maxDate="2021-04-01T00:00:00"/>
    </cacheField>
    <cacheField name="Due month " numFmtId="14">
      <sharedItems containsSemiMixedTypes="0" containsNonDate="0" containsDate="1" containsString="0" minDate="2021-01-31T00:00:00" maxDate="2021-05-01T00:00:00"/>
    </cacheField>
    <cacheField name="Pay month" numFmtId="14">
      <sharedItems containsSemiMixedTypes="0" containsNonDate="0" containsDate="1" containsString="0" minDate="2021-02-28T00:00:00" maxDate="2021-05-01T00:00:00"/>
    </cacheField>
    <cacheField name="WAT" numFmtId="0" formula="'Weighted calculated terms'/'Amount applied to invoice'" databaseField="0"/>
    <cacheField name="WADTC" numFmtId="0" formula="'Weighted days to collect '/'Amount applied to invoice'" databaseField="0"/>
    <cacheField name="Weighted E/L" numFmtId="0" formula="'Weighted early/late '/'Amount applied to invoice'" databaseField="0"/>
    <cacheField name="Weighted Late if Late " numFmtId="0" formula="'Weighted late '/'Late amount 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Ram"/>
    <x v="0"/>
    <n v="2002002"/>
    <d v="2021-02-13T00:00:00"/>
    <n v="40000"/>
    <m/>
    <m/>
    <n v="17050275"/>
    <d v="2021-01-10T00:00:00"/>
    <d v="2021-01-25T00:00:00"/>
    <n v="40000"/>
    <x v="0"/>
    <s v="NET 15"/>
    <s v="Commercial"/>
    <m/>
    <m/>
    <m/>
    <m/>
    <m/>
    <m/>
    <m/>
    <m/>
    <m/>
    <m/>
    <n v="15"/>
    <n v="600000"/>
    <n v="34"/>
    <n v="1360000"/>
    <n v="19"/>
    <n v="760000"/>
    <s v="Late"/>
    <x v="0"/>
    <n v="10"/>
    <n v="760000"/>
    <n v="10"/>
    <n v="25"/>
    <n v="13"/>
    <s v="Sunday"/>
    <s v="Monday"/>
    <s v="Saturday"/>
    <d v="2021-01-31T00:00:00"/>
    <d v="2021-01-31T00:00:00"/>
    <d v="2021-02-28T00:00:00"/>
  </r>
  <r>
    <s v="Lakshman "/>
    <x v="1"/>
    <n v="2002006"/>
    <d v="2021-03-30T00:00:00"/>
    <n v="20000"/>
    <m/>
    <m/>
    <n v="17050295"/>
    <d v="2021-02-01T00:00:00"/>
    <d v="2021-03-02T00:00:00"/>
    <n v="20000"/>
    <x v="1"/>
    <s v="NET 30"/>
    <s v="Commercial"/>
    <m/>
    <m/>
    <m/>
    <m/>
    <m/>
    <m/>
    <m/>
    <m/>
    <m/>
    <m/>
    <n v="29"/>
    <n v="580000"/>
    <n v="57"/>
    <n v="1140000"/>
    <n v="28"/>
    <n v="560000"/>
    <s v="Late"/>
    <x v="1"/>
    <n v="1"/>
    <n v="560000"/>
    <n v="1"/>
    <n v="2"/>
    <n v="30"/>
    <s v="Monday"/>
    <s v="Tuesday"/>
    <s v="Tuesday"/>
    <d v="2021-02-28T00:00:00"/>
    <d v="2021-03-31T00:00:00"/>
    <d v="2021-03-31T00:00:00"/>
  </r>
  <r>
    <s v="Bharat "/>
    <x v="2"/>
    <n v="2002010"/>
    <d v="2021-04-14T00:00:00"/>
    <n v="1500"/>
    <m/>
    <m/>
    <n v="17050315"/>
    <d v="2021-02-23T00:00:00"/>
    <d v="2021-03-25T00:00:00"/>
    <n v="1500"/>
    <x v="2"/>
    <s v="NET 30"/>
    <s v="Government "/>
    <m/>
    <m/>
    <m/>
    <m/>
    <m/>
    <m/>
    <m/>
    <m/>
    <m/>
    <m/>
    <n v="30"/>
    <n v="45000"/>
    <n v="50"/>
    <n v="75000"/>
    <n v="20"/>
    <n v="30000"/>
    <s v="Late"/>
    <x v="2"/>
    <n v="23"/>
    <n v="30000"/>
    <n v="23"/>
    <n v="25"/>
    <n v="14"/>
    <s v="Tuesday"/>
    <s v="Thursday"/>
    <s v="Wednesday"/>
    <d v="2021-02-28T00:00:00"/>
    <d v="2021-03-31T00:00:00"/>
    <d v="2021-04-30T00:00:00"/>
  </r>
  <r>
    <s v="Shatrughan "/>
    <x v="3"/>
    <n v="2002014"/>
    <d v="2021-04-29T00:00:00"/>
    <n v="3000"/>
    <m/>
    <m/>
    <n v="17050335"/>
    <d v="2021-03-17T00:00:00"/>
    <d v="2021-04-16T00:00:00"/>
    <n v="3000"/>
    <x v="3"/>
    <s v="NET 30"/>
    <s v="Government "/>
    <m/>
    <m/>
    <m/>
    <m/>
    <m/>
    <m/>
    <m/>
    <m/>
    <m/>
    <m/>
    <n v="30"/>
    <n v="90000"/>
    <n v="43"/>
    <n v="129000"/>
    <n v="13"/>
    <n v="39000"/>
    <s v="Late"/>
    <x v="3"/>
    <n v="17"/>
    <n v="39000"/>
    <n v="17"/>
    <n v="16"/>
    <n v="29"/>
    <s v="Wednesday"/>
    <s v="Friday"/>
    <s v="Thursday"/>
    <d v="2021-03-31T00:00:00"/>
    <d v="2021-04-30T00:00:00"/>
    <d v="2021-04-3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CE9C79-AF23-F640-9709-65B59970ED35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ustomer id">
  <location ref="A14:J19" firstHeaderRow="0" firstDataRow="1" firstDataCol="1"/>
  <pivotFields count="47">
    <pivotField showAll="0"/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" showAll="0"/>
    <pivotField showAll="0"/>
    <pivotField showAll="0"/>
    <pivotField showAll="0"/>
    <pivotField dataField="1" showAll="0"/>
    <pivotField numFmtId="16" showAll="0"/>
    <pivotField numFmtId="16" showAll="0"/>
    <pivotField showAll="0"/>
    <pivotField dataField="1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numFmtId="14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5">
    <i>
      <x/>
    </i>
    <i>
      <x v="1"/>
    </i>
    <i>
      <x v="3"/>
    </i>
    <i>
      <x v="2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Amount applied to invoice" fld="11" baseField="0" baseItem="0"/>
    <dataField name="Count of Invoice number " fld="7" subtotal="count" baseField="0" baseItem="0"/>
    <dataField name="Sum of WAT" fld="43" baseField="0" baseItem="0"/>
    <dataField name="Sum of WADTC" fld="44" baseField="0" baseItem="0"/>
    <dataField name="Sum of Weighted E/L" fld="45" baseField="0" baseItem="0"/>
    <dataField name="Sum of Weighted Late if Late " fld="46" baseField="0" baseItem="0"/>
    <dataField name="Sum of Late amount " fld="31" baseField="0" baseItem="0"/>
    <dataField name="Sum of Amount applied to invoice2" fld="11" showDataAs="percentOfTotal" baseField="0" baseItem="0" numFmtId="10"/>
    <dataField name="Cumulative %" fld="11" baseField="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5">
    <format dxfId="4">
      <pivotArea field="1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3">
      <pivotArea field="1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2">
      <pivotArea field="1" grandRow="1" outline="0" collapsedLevelsAreSubtotals="1" axis="axisRow" fieldPosition="0">
        <references count="1">
          <reference field="4294967294" count="2" selected="0">
            <x v="4"/>
            <x v="5"/>
          </reference>
        </references>
      </pivotArea>
    </format>
    <format dxfId="1">
      <pivotArea outline="0" fieldPosition="0">
        <references count="1">
          <reference field="4294967294" count="1">
            <x v="7"/>
          </reference>
        </references>
      </pivotArea>
    </format>
    <format dxfId="0">
      <pivotArea outline="0" fieldPosition="0">
        <references count="1">
          <reference field="4294967294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1EF5D0-665D-E641-814D-1E91B41CE9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usomer id">
  <location ref="A3:J8" firstHeaderRow="0" firstDataRow="1" firstDataCol="1"/>
  <pivotFields count="47">
    <pivotField showAll="0"/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" showAll="0"/>
    <pivotField showAll="0"/>
    <pivotField showAll="0"/>
    <pivotField showAll="0"/>
    <pivotField dataField="1" showAll="0"/>
    <pivotField numFmtId="16" showAll="0"/>
    <pivotField numFmtId="16" showAll="0"/>
    <pivotField showAll="0"/>
    <pivotField dataField="1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numFmtId="14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5">
    <i>
      <x/>
    </i>
    <i>
      <x v="1"/>
    </i>
    <i>
      <x v="3"/>
    </i>
    <i>
      <x v="2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Amount applied to invoice" fld="11" baseField="0" baseItem="0"/>
    <dataField name="Count of Invoice number " fld="7" subtotal="count" baseField="0" baseItem="0"/>
    <dataField name="Sum of WAT" fld="43" baseField="0" baseItem="0"/>
    <dataField name="Sum of WADTC" fld="44" baseField="0" baseItem="0"/>
    <dataField name="Sum of Weighted E/L" fld="45" baseField="0" baseItem="0"/>
    <dataField name="Sum of Weighted Late if Late " fld="46" baseField="0" baseItem="0"/>
    <dataField name="Sum of Late amount " fld="31" baseField="0" baseItem="0"/>
    <dataField name="Sum of Amount applied to invoice2" fld="11" showDataAs="percentOfTotal" baseField="0" baseItem="0" numFmtId="10"/>
    <dataField name="Cumulative %" fld="11" baseField="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5">
    <format dxfId="9">
      <pivotArea field="1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8">
      <pivotArea field="1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7">
      <pivotArea field="1" grandRow="1" outline="0" collapsedLevelsAreSubtotals="1" axis="axisRow" fieldPosition="0">
        <references count="1">
          <reference field="4294967294" count="2" selected="0">
            <x v="4"/>
            <x v="5"/>
          </reference>
        </references>
      </pivotArea>
    </format>
    <format dxfId="6">
      <pivotArea outline="0" fieldPosition="0">
        <references count="1">
          <reference field="4294967294" count="1">
            <x v="7"/>
          </reference>
        </references>
      </pivotArea>
    </format>
    <format dxfId="5">
      <pivotArea outline="0" fieldPosition="0">
        <references count="1">
          <reference field="4294967294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1818-F313-7545-966F-D76D521045D3}">
  <sheetPr>
    <tabColor rgb="FF00B050"/>
  </sheetPr>
  <dimension ref="A1:AH8"/>
  <sheetViews>
    <sheetView workbookViewId="0">
      <selection activeCell="A2" sqref="A2"/>
    </sheetView>
  </sheetViews>
  <sheetFormatPr baseColWidth="10" defaultRowHeight="16" x14ac:dyDescent="0.2"/>
  <cols>
    <col min="1" max="1" width="15" bestFit="1" customWidth="1"/>
    <col min="2" max="2" width="11.33203125" bestFit="1" customWidth="1"/>
    <col min="3" max="3" width="14.33203125" bestFit="1" customWidth="1"/>
    <col min="4" max="6" width="14.33203125" customWidth="1"/>
    <col min="7" max="7" width="11.6640625" bestFit="1" customWidth="1"/>
    <col min="8" max="8" width="15.1640625" bestFit="1" customWidth="1"/>
    <col min="9" max="9" width="14.5" bestFit="1" customWidth="1"/>
    <col min="10" max="10" width="14.33203125" bestFit="1" customWidth="1"/>
    <col min="11" max="11" width="13.1640625" bestFit="1" customWidth="1"/>
    <col min="12" max="12" width="15.5" bestFit="1" customWidth="1"/>
    <col min="13" max="13" width="23.6640625" bestFit="1" customWidth="1"/>
    <col min="14" max="14" width="13.83203125" bestFit="1" customWidth="1"/>
    <col min="15" max="15" width="13.83203125" customWidth="1"/>
    <col min="16" max="16" width="22.33203125" bestFit="1" customWidth="1"/>
    <col min="17" max="27" width="22.33203125" customWidth="1"/>
    <col min="28" max="29" width="18.6640625" bestFit="1" customWidth="1"/>
    <col min="30" max="30" width="16.6640625" bestFit="1" customWidth="1"/>
    <col min="31" max="31" width="18.33203125" bestFit="1" customWidth="1"/>
    <col min="32" max="32" width="8.5" bestFit="1" customWidth="1"/>
    <col min="33" max="33" width="13.33203125" bestFit="1" customWidth="1"/>
  </cols>
  <sheetData>
    <row r="1" spans="1:34" x14ac:dyDescent="0.2">
      <c r="A1" t="s">
        <v>95</v>
      </c>
      <c r="B1" t="s">
        <v>95</v>
      </c>
      <c r="C1" t="s">
        <v>95</v>
      </c>
      <c r="G1" t="s">
        <v>95</v>
      </c>
      <c r="H1" t="s">
        <v>95</v>
      </c>
      <c r="I1" t="s">
        <v>95</v>
      </c>
      <c r="U1" t="s">
        <v>95</v>
      </c>
      <c r="V1" t="s">
        <v>95</v>
      </c>
      <c r="W1" t="s">
        <v>95</v>
      </c>
      <c r="X1" t="s">
        <v>103</v>
      </c>
      <c r="Y1" t="s">
        <v>95</v>
      </c>
      <c r="Z1" t="s">
        <v>95</v>
      </c>
      <c r="AA1" t="s">
        <v>95</v>
      </c>
    </row>
    <row r="2" spans="1:34" s="3" customFormat="1" x14ac:dyDescent="0.2">
      <c r="A2" s="3" t="s">
        <v>0</v>
      </c>
      <c r="B2" s="3" t="s">
        <v>1</v>
      </c>
      <c r="C2" s="3" t="s">
        <v>6</v>
      </c>
      <c r="D2" s="3" t="s">
        <v>72</v>
      </c>
      <c r="E2" s="3" t="s">
        <v>77</v>
      </c>
      <c r="F2" s="3" t="s">
        <v>96</v>
      </c>
      <c r="G2" s="3" t="s">
        <v>7</v>
      </c>
      <c r="H2" s="3" t="s">
        <v>8</v>
      </c>
      <c r="I2" s="3" t="s">
        <v>9</v>
      </c>
      <c r="J2" s="3" t="s">
        <v>11</v>
      </c>
      <c r="K2" s="3" t="s">
        <v>12</v>
      </c>
      <c r="L2" s="3" t="s">
        <v>23</v>
      </c>
      <c r="M2" s="3" t="s">
        <v>24</v>
      </c>
      <c r="N2" s="3" t="s">
        <v>68</v>
      </c>
      <c r="O2" s="3" t="s">
        <v>82</v>
      </c>
      <c r="P2" s="3" t="s">
        <v>69</v>
      </c>
      <c r="Q2" s="3" t="s">
        <v>84</v>
      </c>
      <c r="R2" s="3" t="s">
        <v>85</v>
      </c>
      <c r="S2" s="3" t="s">
        <v>86</v>
      </c>
      <c r="T2" s="3" t="s">
        <v>89</v>
      </c>
      <c r="U2" s="11" t="s">
        <v>90</v>
      </c>
      <c r="V2" s="11"/>
      <c r="W2" s="11"/>
      <c r="X2" s="3" t="s">
        <v>101</v>
      </c>
      <c r="Y2" s="3" t="s">
        <v>91</v>
      </c>
      <c r="Z2" s="3" t="s">
        <v>92</v>
      </c>
      <c r="AA2" s="3" t="s">
        <v>93</v>
      </c>
      <c r="AB2" s="3" t="s">
        <v>42</v>
      </c>
      <c r="AC2" s="3" t="s">
        <v>42</v>
      </c>
      <c r="AD2" s="3" t="s">
        <v>32</v>
      </c>
      <c r="AE2" s="3" t="s">
        <v>34</v>
      </c>
      <c r="AF2" s="3" t="s">
        <v>43</v>
      </c>
      <c r="AG2" s="3" t="s">
        <v>36</v>
      </c>
      <c r="AH2" s="3" t="s">
        <v>37</v>
      </c>
    </row>
    <row r="3" spans="1:34" x14ac:dyDescent="0.2">
      <c r="A3" t="s">
        <v>39</v>
      </c>
      <c r="B3">
        <v>11001</v>
      </c>
      <c r="C3">
        <v>17050275</v>
      </c>
      <c r="D3" t="s">
        <v>73</v>
      </c>
      <c r="E3" t="s">
        <v>78</v>
      </c>
      <c r="G3" s="1">
        <v>45667</v>
      </c>
      <c r="H3" s="1">
        <v>45682</v>
      </c>
      <c r="I3">
        <v>40000</v>
      </c>
      <c r="J3" t="s">
        <v>40</v>
      </c>
      <c r="K3" t="s">
        <v>41</v>
      </c>
      <c r="L3">
        <f>H3-G3</f>
        <v>15</v>
      </c>
      <c r="M3">
        <f>L3*I3</f>
        <v>600000</v>
      </c>
      <c r="N3" s="12">
        <f ca="1">TODAY()-H3</f>
        <v>86</v>
      </c>
      <c r="O3" s="12">
        <f ca="1">N3*I3</f>
        <v>3440000</v>
      </c>
      <c r="P3" t="s">
        <v>70</v>
      </c>
      <c r="Q3">
        <f ca="1">O3/I3</f>
        <v>86</v>
      </c>
      <c r="U3" t="s">
        <v>98</v>
      </c>
      <c r="V3" t="s">
        <v>99</v>
      </c>
      <c r="W3" t="s">
        <v>100</v>
      </c>
      <c r="AB3">
        <f>DAY(G3)</f>
        <v>10</v>
      </c>
      <c r="AC3">
        <f>DAY(G3)</f>
        <v>10</v>
      </c>
      <c r="AD3">
        <f>DAY(H3)</f>
        <v>25</v>
      </c>
      <c r="AE3" t="str">
        <f>TEXT(G3,"dddd")</f>
        <v>Friday</v>
      </c>
      <c r="AF3" t="str">
        <f>TEXT(H3,"dddd")</f>
        <v>Saturday</v>
      </c>
      <c r="AG3" s="5">
        <f>EOMONTH(G3,0)</f>
        <v>45688</v>
      </c>
      <c r="AH3" s="5">
        <f>EOMONTH(H3,0)</f>
        <v>45688</v>
      </c>
    </row>
    <row r="4" spans="1:34" x14ac:dyDescent="0.2">
      <c r="A4" t="s">
        <v>45</v>
      </c>
      <c r="B4">
        <v>11003</v>
      </c>
      <c r="C4">
        <f>C3+20</f>
        <v>17050295</v>
      </c>
      <c r="D4" t="s">
        <v>74</v>
      </c>
      <c r="E4" t="s">
        <v>79</v>
      </c>
      <c r="G4" s="1">
        <f>G3+22</f>
        <v>45689</v>
      </c>
      <c r="H4" s="1">
        <v>45718</v>
      </c>
      <c r="I4">
        <v>20000</v>
      </c>
      <c r="J4" t="s">
        <v>46</v>
      </c>
      <c r="K4" t="s">
        <v>41</v>
      </c>
      <c r="L4">
        <f>H4-G4</f>
        <v>29</v>
      </c>
      <c r="M4">
        <f t="shared" ref="M4:M6" si="0">L4*I4</f>
        <v>580000</v>
      </c>
      <c r="N4" s="12">
        <f t="shared" ref="N4:N6" ca="1" si="1">TODAY()-H4</f>
        <v>50</v>
      </c>
      <c r="O4" s="12">
        <f t="shared" ref="O4:O6" ca="1" si="2">N4*I4</f>
        <v>1000000</v>
      </c>
      <c r="P4" t="s">
        <v>70</v>
      </c>
      <c r="Q4">
        <f t="shared" ref="Q4:Q6" ca="1" si="3">O4/I4</f>
        <v>50</v>
      </c>
      <c r="AB4">
        <f>DAY(G4)</f>
        <v>1</v>
      </c>
      <c r="AC4">
        <f>DAY(G4)</f>
        <v>1</v>
      </c>
      <c r="AD4">
        <f>DAY(H4)</f>
        <v>2</v>
      </c>
      <c r="AE4" t="str">
        <f>TEXT(G4,"dddd")</f>
        <v>Saturday</v>
      </c>
      <c r="AF4" t="str">
        <f>TEXT(H4,"dddd")</f>
        <v>Sunday</v>
      </c>
      <c r="AG4" s="5">
        <f>EOMONTH(G4,0)</f>
        <v>45716</v>
      </c>
      <c r="AH4" s="5">
        <f>EOMONTH(H4,0)</f>
        <v>45747</v>
      </c>
    </row>
    <row r="5" spans="1:34" x14ac:dyDescent="0.2">
      <c r="A5" t="s">
        <v>48</v>
      </c>
      <c r="B5">
        <f>B4+5</f>
        <v>11008</v>
      </c>
      <c r="C5">
        <f>C4+20</f>
        <v>17050315</v>
      </c>
      <c r="D5" t="s">
        <v>75</v>
      </c>
      <c r="E5" t="s">
        <v>80</v>
      </c>
      <c r="G5" s="1">
        <f>G4+22</f>
        <v>45711</v>
      </c>
      <c r="H5" s="1">
        <f>G5+30</f>
        <v>45741</v>
      </c>
      <c r="I5">
        <v>1500</v>
      </c>
      <c r="J5" t="s">
        <v>46</v>
      </c>
      <c r="K5" t="s">
        <v>50</v>
      </c>
      <c r="L5">
        <f>H5-G5</f>
        <v>30</v>
      </c>
      <c r="M5">
        <f t="shared" si="0"/>
        <v>45000</v>
      </c>
      <c r="N5" s="12">
        <f t="shared" ca="1" si="1"/>
        <v>27</v>
      </c>
      <c r="O5" s="12">
        <f t="shared" ca="1" si="2"/>
        <v>40500</v>
      </c>
      <c r="P5" t="s">
        <v>70</v>
      </c>
      <c r="Q5">
        <f t="shared" ca="1" si="3"/>
        <v>27</v>
      </c>
      <c r="AB5">
        <f>DAY(G5)</f>
        <v>23</v>
      </c>
      <c r="AC5">
        <f t="shared" ref="AC5:AD6" si="4">DAY(G5)</f>
        <v>23</v>
      </c>
      <c r="AD5">
        <f t="shared" si="4"/>
        <v>25</v>
      </c>
      <c r="AE5" t="str">
        <f t="shared" ref="AE5:AF6" si="5">TEXT(G5,"dddd")</f>
        <v>Sunday</v>
      </c>
      <c r="AF5" t="str">
        <f t="shared" si="5"/>
        <v>Tuesday</v>
      </c>
      <c r="AG5" s="5">
        <f t="shared" ref="AG5:AH6" si="6">EOMONTH(G5,0)</f>
        <v>45716</v>
      </c>
      <c r="AH5" s="5">
        <f t="shared" si="6"/>
        <v>45747</v>
      </c>
    </row>
    <row r="6" spans="1:34" x14ac:dyDescent="0.2">
      <c r="A6" t="s">
        <v>49</v>
      </c>
      <c r="B6">
        <f>B5+5</f>
        <v>11013</v>
      </c>
      <c r="C6">
        <f>C5+20</f>
        <v>17050335</v>
      </c>
      <c r="D6" t="s">
        <v>76</v>
      </c>
      <c r="E6" t="s">
        <v>81</v>
      </c>
      <c r="G6" s="1">
        <f>G5+22</f>
        <v>45733</v>
      </c>
      <c r="H6" s="1">
        <f>G6+30</f>
        <v>45763</v>
      </c>
      <c r="I6">
        <v>3000</v>
      </c>
      <c r="J6" t="s">
        <v>46</v>
      </c>
      <c r="K6" t="s">
        <v>50</v>
      </c>
      <c r="L6">
        <f>H6-G6</f>
        <v>30</v>
      </c>
      <c r="M6">
        <f t="shared" si="0"/>
        <v>90000</v>
      </c>
      <c r="N6" s="12">
        <f t="shared" ca="1" si="1"/>
        <v>5</v>
      </c>
      <c r="O6" s="12">
        <f t="shared" ca="1" si="2"/>
        <v>15000</v>
      </c>
      <c r="P6" t="s">
        <v>70</v>
      </c>
      <c r="Q6">
        <f t="shared" ca="1" si="3"/>
        <v>5</v>
      </c>
      <c r="AB6">
        <f>DAY(G6)</f>
        <v>17</v>
      </c>
      <c r="AC6">
        <f t="shared" si="4"/>
        <v>17</v>
      </c>
      <c r="AD6">
        <f t="shared" si="4"/>
        <v>16</v>
      </c>
      <c r="AE6" t="str">
        <f t="shared" si="5"/>
        <v>Monday</v>
      </c>
      <c r="AF6" t="str">
        <f t="shared" si="5"/>
        <v>Wednesday</v>
      </c>
      <c r="AG6" s="5">
        <f t="shared" si="6"/>
        <v>45747</v>
      </c>
      <c r="AH6" s="5">
        <f t="shared" si="6"/>
        <v>45777</v>
      </c>
    </row>
    <row r="8" spans="1:34" ht="68" x14ac:dyDescent="0.2">
      <c r="P8" s="13" t="s">
        <v>71</v>
      </c>
      <c r="Q8" s="13" t="s">
        <v>83</v>
      </c>
      <c r="R8" s="13" t="s">
        <v>87</v>
      </c>
      <c r="S8" s="13" t="s">
        <v>88</v>
      </c>
      <c r="T8" s="13"/>
      <c r="U8" s="13" t="s">
        <v>94</v>
      </c>
      <c r="V8" s="13"/>
      <c r="W8" s="13"/>
      <c r="X8" s="13" t="s">
        <v>102</v>
      </c>
      <c r="Y8" s="13" t="s">
        <v>94</v>
      </c>
      <c r="Z8" s="13" t="s">
        <v>94</v>
      </c>
      <c r="AA8" s="13" t="s">
        <v>97</v>
      </c>
    </row>
  </sheetData>
  <mergeCells count="1">
    <mergeCell ref="U2:W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8461-1E6D-8142-B528-61A5694CE37E}">
  <dimension ref="A2:O19"/>
  <sheetViews>
    <sheetView tabSelected="1" workbookViewId="0">
      <selection activeCell="B20" sqref="B20"/>
    </sheetView>
  </sheetViews>
  <sheetFormatPr baseColWidth="10" defaultRowHeight="16" x14ac:dyDescent="0.2"/>
  <cols>
    <col min="1" max="1" width="13" bestFit="1" customWidth="1"/>
    <col min="2" max="2" width="29.5" bestFit="1" customWidth="1"/>
    <col min="3" max="3" width="22" bestFit="1" customWidth="1"/>
    <col min="4" max="4" width="11.5" bestFit="1" customWidth="1"/>
    <col min="5" max="5" width="13.83203125" bestFit="1" customWidth="1"/>
    <col min="6" max="6" width="18.83203125" bestFit="1" customWidth="1"/>
    <col min="7" max="7" width="26" bestFit="1" customWidth="1"/>
    <col min="8" max="8" width="18.5" bestFit="1" customWidth="1"/>
    <col min="9" max="9" width="30.5" bestFit="1" customWidth="1"/>
    <col min="10" max="10" width="12.5" bestFit="1" customWidth="1"/>
  </cols>
  <sheetData>
    <row r="2" spans="1:15" x14ac:dyDescent="0.2">
      <c r="H2">
        <f>SUBTOTAL(9,H4:H7)</f>
        <v>64500</v>
      </c>
      <c r="N2">
        <f>SUBTOTAL(9,N4:N7)</f>
        <v>3805.4794520547944</v>
      </c>
      <c r="O2" s="10">
        <f>N2/H2</f>
        <v>5.8999681427206116E-2</v>
      </c>
    </row>
    <row r="3" spans="1:15" x14ac:dyDescent="0.2">
      <c r="A3" s="6" t="s">
        <v>65</v>
      </c>
      <c r="B3" t="s">
        <v>52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60</v>
      </c>
      <c r="J3" t="s">
        <v>61</v>
      </c>
      <c r="K3" t="s">
        <v>59</v>
      </c>
      <c r="L3" t="s">
        <v>62</v>
      </c>
      <c r="M3" t="s">
        <v>63</v>
      </c>
      <c r="N3" t="s">
        <v>64</v>
      </c>
    </row>
    <row r="4" spans="1:15" x14ac:dyDescent="0.2">
      <c r="A4" s="7">
        <v>11001</v>
      </c>
      <c r="B4">
        <v>40000</v>
      </c>
      <c r="C4">
        <v>1</v>
      </c>
      <c r="D4">
        <v>15</v>
      </c>
      <c r="E4">
        <v>34</v>
      </c>
      <c r="F4">
        <v>19</v>
      </c>
      <c r="G4">
        <v>19</v>
      </c>
      <c r="H4">
        <v>40000</v>
      </c>
      <c r="I4" s="9">
        <v>0.62015503875968991</v>
      </c>
      <c r="J4" s="9">
        <v>0.62015503875968991</v>
      </c>
      <c r="K4" t="str">
        <f>IF(J4&lt;=0.8,"A",IF(J4&lt;=0.95,"B","C"))</f>
        <v>A</v>
      </c>
      <c r="L4" t="str">
        <f>IF(D4&lt;=30,"1-30 days",IF(D4&lt;=60,"31-60 days",IF(F5&lt;=90,"61-90 days","&gt;90days")))</f>
        <v>1-30 days</v>
      </c>
      <c r="M4" t="str">
        <f>IF(F4&lt;0,"Early/Ontime",IF(F4&lt;=15,"1-15 days late", IF(F4&lt;=30,"16-30 days late",IF(F4&lt;=45,"31-60 days late","&gt;60 days late"))))</f>
        <v>16-30 days late</v>
      </c>
      <c r="N4" s="8">
        <f>G4*B4/365</f>
        <v>2082.1917808219177</v>
      </c>
    </row>
    <row r="5" spans="1:15" x14ac:dyDescent="0.2">
      <c r="A5" s="7">
        <v>11003</v>
      </c>
      <c r="B5">
        <v>20000</v>
      </c>
      <c r="C5">
        <v>1</v>
      </c>
      <c r="D5">
        <v>29</v>
      </c>
      <c r="E5">
        <v>57</v>
      </c>
      <c r="F5">
        <v>28</v>
      </c>
      <c r="G5">
        <v>28</v>
      </c>
      <c r="H5">
        <v>20000</v>
      </c>
      <c r="I5" s="9">
        <v>0.31007751937984496</v>
      </c>
      <c r="J5" s="9">
        <v>0.93023255813953487</v>
      </c>
      <c r="K5" t="str">
        <f>IF(J5&lt;=0.8,"A",IF(J5&lt;=0.95,"B","C"))</f>
        <v>B</v>
      </c>
      <c r="L5" t="str">
        <f>IF(D5&lt;=30,"1-30 days",IF(D5&lt;=60,"31-60 days",IF(F6&lt;=90,"61-90 days","&gt;90days")))</f>
        <v>1-30 days</v>
      </c>
      <c r="M5" t="str">
        <f t="shared" ref="M5:M7" si="0">IF(F5&lt;0,"Early/Ontime",IF(F5&lt;=15,"1-15 days late", IF(F5&lt;=30,"16-30 days late",IF(F5&lt;=45,"31-60 days late","&gt;60 days late"))))</f>
        <v>16-30 days late</v>
      </c>
      <c r="N5" s="8">
        <f t="shared" ref="N5:N7" si="1">G5*B5/365</f>
        <v>1534.2465753424658</v>
      </c>
    </row>
    <row r="6" spans="1:15" x14ac:dyDescent="0.2">
      <c r="A6" s="7">
        <v>11013</v>
      </c>
      <c r="B6">
        <v>3000</v>
      </c>
      <c r="C6">
        <v>1</v>
      </c>
      <c r="D6">
        <v>30</v>
      </c>
      <c r="E6">
        <v>43</v>
      </c>
      <c r="F6">
        <v>13</v>
      </c>
      <c r="G6">
        <v>13</v>
      </c>
      <c r="H6">
        <v>3000</v>
      </c>
      <c r="I6" s="9">
        <v>4.6511627906976744E-2</v>
      </c>
      <c r="J6" s="9">
        <v>0.97674418604651159</v>
      </c>
      <c r="K6" t="str">
        <f>IF(J6&lt;=0.8,"A",IF(J6&lt;=0.95,"B","C"))</f>
        <v>C</v>
      </c>
      <c r="L6" t="str">
        <f>IF(D6&lt;=30,"1-30 days",IF(D6&lt;=60,"31-60 days",IF(F7&lt;=90,"61-90 days","&gt;90days")))</f>
        <v>1-30 days</v>
      </c>
      <c r="M6" t="str">
        <f t="shared" si="0"/>
        <v>1-15 days late</v>
      </c>
      <c r="N6" s="8">
        <f t="shared" si="1"/>
        <v>106.84931506849315</v>
      </c>
    </row>
    <row r="7" spans="1:15" x14ac:dyDescent="0.2">
      <c r="A7" s="7">
        <v>11008</v>
      </c>
      <c r="B7">
        <v>1500</v>
      </c>
      <c r="C7">
        <v>1</v>
      </c>
      <c r="D7">
        <v>30</v>
      </c>
      <c r="E7">
        <v>50</v>
      </c>
      <c r="F7">
        <v>20</v>
      </c>
      <c r="G7">
        <v>20</v>
      </c>
      <c r="H7">
        <v>1500</v>
      </c>
      <c r="I7" s="9">
        <v>2.3255813953488372E-2</v>
      </c>
      <c r="J7" s="9">
        <v>1</v>
      </c>
      <c r="K7" t="str">
        <f>IF(J7&lt;=0.8,"A",IF(J7&lt;=0.95,"B","C"))</f>
        <v>C</v>
      </c>
      <c r="L7" t="str">
        <f>IF(D7&lt;=30,"1-30 days",IF(D7&lt;=60,"31-60 days",IF(F8&lt;=90,"61-90 days","&gt;90days")))</f>
        <v>1-30 days</v>
      </c>
      <c r="M7" t="str">
        <f t="shared" si="0"/>
        <v>16-30 days late</v>
      </c>
      <c r="N7" s="8">
        <f t="shared" si="1"/>
        <v>82.191780821917803</v>
      </c>
    </row>
    <row r="8" spans="1:15" x14ac:dyDescent="0.2">
      <c r="A8" s="7" t="s">
        <v>51</v>
      </c>
      <c r="B8">
        <v>64500</v>
      </c>
      <c r="C8">
        <v>4</v>
      </c>
      <c r="D8" s="8">
        <v>20.387596899224807</v>
      </c>
      <c r="E8" s="8">
        <v>41.922480620155042</v>
      </c>
      <c r="F8" s="8">
        <v>21.534883720930232</v>
      </c>
      <c r="G8" s="8">
        <v>21.534883720930232</v>
      </c>
      <c r="H8">
        <v>64500</v>
      </c>
      <c r="I8" s="9">
        <v>1</v>
      </c>
      <c r="J8" s="9"/>
    </row>
    <row r="14" spans="1:15" x14ac:dyDescent="0.2">
      <c r="A14" s="6" t="s">
        <v>66</v>
      </c>
      <c r="B14" s="6" t="s">
        <v>52</v>
      </c>
      <c r="C14" t="s">
        <v>53</v>
      </c>
      <c r="D14" t="s">
        <v>54</v>
      </c>
      <c r="E14" t="s">
        <v>55</v>
      </c>
      <c r="F14" t="s">
        <v>56</v>
      </c>
      <c r="G14" t="s">
        <v>57</v>
      </c>
      <c r="H14" t="s">
        <v>58</v>
      </c>
      <c r="I14" t="s">
        <v>60</v>
      </c>
      <c r="J14" t="s">
        <v>61</v>
      </c>
      <c r="K14" t="s">
        <v>59</v>
      </c>
      <c r="L14" t="s">
        <v>62</v>
      </c>
      <c r="M14" t="s">
        <v>63</v>
      </c>
      <c r="N14" t="s">
        <v>64</v>
      </c>
    </row>
    <row r="15" spans="1:15" x14ac:dyDescent="0.2">
      <c r="A15" s="7">
        <v>11001</v>
      </c>
      <c r="B15">
        <v>40000</v>
      </c>
      <c r="C15">
        <v>1</v>
      </c>
      <c r="D15">
        <v>15</v>
      </c>
      <c r="E15">
        <v>34</v>
      </c>
      <c r="F15">
        <v>19</v>
      </c>
      <c r="G15">
        <v>19</v>
      </c>
      <c r="H15">
        <v>40000</v>
      </c>
      <c r="I15" s="9">
        <v>0.62015503875968991</v>
      </c>
      <c r="J15" s="9">
        <v>0.62015503875968991</v>
      </c>
      <c r="K15" t="str">
        <f>IF(J15&lt;=0.8,"A",IF(J15&lt;=0.95,"B","C"))</f>
        <v>A</v>
      </c>
      <c r="L15" t="str">
        <f>IF(D15&lt;=30,"1-30 days",IF(D15&lt;=60,"31-60 days",IF(F16&lt;=90,"61-90 days","&gt;90days")))</f>
        <v>1-30 days</v>
      </c>
      <c r="M15" t="str">
        <f>IF(F15&lt;0,"Early/Ontime",IF(F15&lt;=15,"1-15 days late", IF(F15&lt;=30,"16-30 days late",IF(F15&lt;=45,"31-60 days late","&gt;60 days late"))))</f>
        <v>16-30 days late</v>
      </c>
      <c r="N15" s="8">
        <f>G15*B15/365</f>
        <v>2082.1917808219177</v>
      </c>
    </row>
    <row r="16" spans="1:15" x14ac:dyDescent="0.2">
      <c r="A16" s="7">
        <v>11003</v>
      </c>
      <c r="B16">
        <v>20000</v>
      </c>
      <c r="C16">
        <v>1</v>
      </c>
      <c r="D16">
        <v>29</v>
      </c>
      <c r="E16">
        <v>57</v>
      </c>
      <c r="F16">
        <v>28</v>
      </c>
      <c r="G16">
        <v>28</v>
      </c>
      <c r="H16">
        <v>20000</v>
      </c>
      <c r="I16" s="9">
        <v>0.31007751937984496</v>
      </c>
      <c r="J16" s="9">
        <v>0.93023255813953487</v>
      </c>
      <c r="K16" t="str">
        <f>IF(J16&lt;=0.8,"A",IF(J16&lt;=0.95,"B","C"))</f>
        <v>B</v>
      </c>
      <c r="L16" t="str">
        <f>IF(D16&lt;=30,"1-30 days",IF(D16&lt;=60,"31-60 days",IF(F17&lt;=90,"61-90 days","&gt;90days")))</f>
        <v>1-30 days</v>
      </c>
      <c r="M16" t="str">
        <f t="shared" ref="M16:M18" si="2">IF(F16&lt;0,"Early/Ontime",IF(F16&lt;=15,"1-15 days late", IF(F16&lt;=30,"16-30 days late",IF(F16&lt;=45,"31-60 days late","&gt;60 days late"))))</f>
        <v>16-30 days late</v>
      </c>
      <c r="N16" s="8">
        <f t="shared" ref="N16:N18" si="3">G16*B16/365</f>
        <v>1534.2465753424658</v>
      </c>
    </row>
    <row r="17" spans="1:14" x14ac:dyDescent="0.2">
      <c r="A17" s="7">
        <v>11013</v>
      </c>
      <c r="B17">
        <v>3000</v>
      </c>
      <c r="C17">
        <v>1</v>
      </c>
      <c r="D17">
        <v>30</v>
      </c>
      <c r="E17">
        <v>43</v>
      </c>
      <c r="F17">
        <v>13</v>
      </c>
      <c r="G17">
        <v>13</v>
      </c>
      <c r="H17">
        <v>3000</v>
      </c>
      <c r="I17" s="9">
        <v>4.6511627906976744E-2</v>
      </c>
      <c r="J17" s="9">
        <v>0.97674418604651159</v>
      </c>
      <c r="K17" t="str">
        <f>IF(J17&lt;=0.8,"A",IF(J17&lt;=0.95,"B","C"))</f>
        <v>C</v>
      </c>
      <c r="L17" t="str">
        <f>IF(D17&lt;=30,"1-30 days",IF(D17&lt;=60,"31-60 days",IF(F18&lt;=90,"61-90 days","&gt;90days")))</f>
        <v>1-30 days</v>
      </c>
      <c r="M17" t="str">
        <f t="shared" si="2"/>
        <v>1-15 days late</v>
      </c>
      <c r="N17" s="8">
        <f t="shared" si="3"/>
        <v>106.84931506849315</v>
      </c>
    </row>
    <row r="18" spans="1:14" x14ac:dyDescent="0.2">
      <c r="A18" s="7">
        <v>11008</v>
      </c>
      <c r="B18">
        <v>1500</v>
      </c>
      <c r="C18">
        <v>1</v>
      </c>
      <c r="D18">
        <v>30</v>
      </c>
      <c r="E18">
        <v>50</v>
      </c>
      <c r="F18">
        <v>20</v>
      </c>
      <c r="G18">
        <v>20</v>
      </c>
      <c r="H18">
        <v>1500</v>
      </c>
      <c r="I18" s="9">
        <v>2.3255813953488372E-2</v>
      </c>
      <c r="J18" s="9">
        <v>1</v>
      </c>
      <c r="K18" t="str">
        <f>IF(J18&lt;=0.8,"A",IF(J18&lt;=0.95,"B","C"))</f>
        <v>C</v>
      </c>
      <c r="L18" t="str">
        <f>IF(D18&lt;=30,"1-30 days",IF(D18&lt;=60,"31-60 days",IF(F19&lt;=90,"61-90 days","&gt;90days")))</f>
        <v>1-30 days</v>
      </c>
      <c r="M18" t="str">
        <f t="shared" si="2"/>
        <v>16-30 days late</v>
      </c>
      <c r="N18" s="8">
        <f t="shared" si="3"/>
        <v>82.191780821917803</v>
      </c>
    </row>
    <row r="19" spans="1:14" x14ac:dyDescent="0.2">
      <c r="A19" s="7" t="s">
        <v>51</v>
      </c>
      <c r="B19">
        <v>64500</v>
      </c>
      <c r="C19">
        <v>4</v>
      </c>
      <c r="D19" s="8">
        <v>20.387596899224807</v>
      </c>
      <c r="E19" s="8">
        <v>41.922480620155042</v>
      </c>
      <c r="F19" s="8">
        <v>21.534883720930232</v>
      </c>
      <c r="G19" s="8">
        <v>21.534883720930232</v>
      </c>
      <c r="H19">
        <v>64500</v>
      </c>
      <c r="I19" s="9">
        <v>1</v>
      </c>
      <c r="J19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96333-B0E8-934F-AAF6-6AD218A214D7}">
  <dimension ref="A1:AQ6"/>
  <sheetViews>
    <sheetView workbookViewId="0">
      <selection activeCell="B20" sqref="B20"/>
    </sheetView>
  </sheetViews>
  <sheetFormatPr baseColWidth="10" defaultRowHeight="16" x14ac:dyDescent="0.2"/>
  <cols>
    <col min="1" max="1" width="15" bestFit="1" customWidth="1"/>
    <col min="2" max="2" width="11.33203125" bestFit="1" customWidth="1"/>
    <col min="3" max="3" width="15.83203125" bestFit="1" customWidth="1"/>
    <col min="4" max="4" width="13.1640625" bestFit="1" customWidth="1"/>
    <col min="5" max="5" width="15.83203125" bestFit="1" customWidth="1"/>
    <col min="6" max="6" width="8.5" bestFit="1" customWidth="1"/>
    <col min="7" max="7" width="12.6640625" bestFit="1" customWidth="1"/>
    <col min="8" max="8" width="14.33203125" bestFit="1" customWidth="1"/>
    <col min="9" max="9" width="11.6640625" bestFit="1" customWidth="1"/>
    <col min="10" max="10" width="15.1640625" bestFit="1" customWidth="1"/>
    <col min="11" max="11" width="14.5" bestFit="1" customWidth="1"/>
    <col min="12" max="12" width="23" bestFit="1" customWidth="1"/>
    <col min="13" max="13" width="14.33203125" bestFit="1" customWidth="1"/>
    <col min="14" max="14" width="13.1640625" bestFit="1" customWidth="1"/>
    <col min="15" max="15" width="16.33203125" bestFit="1" customWidth="1"/>
    <col min="16" max="16" width="18.6640625" bestFit="1" customWidth="1"/>
    <col min="17" max="17" width="21" bestFit="1" customWidth="1"/>
    <col min="18" max="18" width="25" bestFit="1" customWidth="1"/>
    <col min="19" max="19" width="25.83203125" bestFit="1" customWidth="1"/>
    <col min="20" max="20" width="19" bestFit="1" customWidth="1"/>
    <col min="21" max="21" width="13.5" bestFit="1" customWidth="1"/>
    <col min="22" max="22" width="19.6640625" bestFit="1" customWidth="1"/>
    <col min="23" max="23" width="23.6640625" bestFit="1" customWidth="1"/>
    <col min="24" max="24" width="14.6640625" bestFit="1" customWidth="1"/>
    <col min="25" max="25" width="15.5" bestFit="1" customWidth="1"/>
    <col min="26" max="26" width="23.6640625" bestFit="1" customWidth="1"/>
    <col min="27" max="27" width="13.83203125" bestFit="1" customWidth="1"/>
    <col min="28" max="28" width="22.33203125" bestFit="1" customWidth="1"/>
    <col min="29" max="29" width="10.1640625" bestFit="1" customWidth="1"/>
    <col min="30" max="30" width="18.5" bestFit="1" customWidth="1"/>
    <col min="31" max="31" width="17.1640625" bestFit="1" customWidth="1"/>
    <col min="32" max="32" width="12" bestFit="1" customWidth="1"/>
    <col min="33" max="33" width="18.6640625" bestFit="1" customWidth="1"/>
    <col min="34" max="34" width="13.33203125" bestFit="1" customWidth="1"/>
    <col min="35" max="35" width="18.6640625" bestFit="1" customWidth="1"/>
    <col min="36" max="36" width="16.6640625" bestFit="1" customWidth="1"/>
    <col min="37" max="37" width="20.6640625" bestFit="1" customWidth="1"/>
    <col min="38" max="38" width="18.33203125" bestFit="1" customWidth="1"/>
    <col min="39" max="39" width="8.5" bestFit="1" customWidth="1"/>
    <col min="40" max="40" width="19.83203125" bestFit="1" customWidth="1"/>
    <col min="41" max="41" width="13.33203125" bestFit="1" customWidth="1"/>
    <col min="43" max="43" width="10" bestFit="1" customWidth="1"/>
  </cols>
  <sheetData>
    <row r="1" spans="1:43" x14ac:dyDescent="0.2">
      <c r="A1" t="s">
        <v>67</v>
      </c>
      <c r="P1" s="11" t="s">
        <v>13</v>
      </c>
      <c r="Q1" s="11"/>
      <c r="R1" s="11"/>
      <c r="S1" s="11"/>
      <c r="T1" s="11"/>
      <c r="U1" s="11"/>
      <c r="V1" s="11"/>
      <c r="W1" s="11"/>
    </row>
    <row r="2" spans="1:43" s="3" customFormat="1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47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44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42</v>
      </c>
      <c r="AH2" s="3" t="s">
        <v>31</v>
      </c>
      <c r="AI2" s="3" t="s">
        <v>42</v>
      </c>
      <c r="AJ2" s="3" t="s">
        <v>32</v>
      </c>
      <c r="AK2" s="3" t="s">
        <v>33</v>
      </c>
      <c r="AL2" s="3" t="s">
        <v>34</v>
      </c>
      <c r="AM2" s="3" t="s">
        <v>43</v>
      </c>
      <c r="AN2" s="3" t="s">
        <v>35</v>
      </c>
      <c r="AO2" s="3" t="s">
        <v>36</v>
      </c>
      <c r="AP2" s="3" t="s">
        <v>37</v>
      </c>
      <c r="AQ2" s="3" t="s">
        <v>38</v>
      </c>
    </row>
    <row r="3" spans="1:43" x14ac:dyDescent="0.2">
      <c r="A3" t="s">
        <v>39</v>
      </c>
      <c r="B3">
        <v>11001</v>
      </c>
      <c r="C3">
        <v>2002002</v>
      </c>
      <c r="D3" s="1">
        <v>44240</v>
      </c>
      <c r="E3" s="2">
        <v>40000</v>
      </c>
      <c r="F3" s="2"/>
      <c r="H3">
        <v>17050275</v>
      </c>
      <c r="I3" s="1">
        <v>44206</v>
      </c>
      <c r="J3" s="1">
        <v>44221</v>
      </c>
      <c r="K3">
        <v>40000</v>
      </c>
      <c r="L3">
        <v>40000</v>
      </c>
      <c r="M3" t="s">
        <v>40</v>
      </c>
      <c r="N3" t="s">
        <v>41</v>
      </c>
      <c r="Y3">
        <f>J3-I3</f>
        <v>15</v>
      </c>
      <c r="Z3">
        <f>Y3*L3</f>
        <v>600000</v>
      </c>
      <c r="AA3">
        <f>D3-I3</f>
        <v>34</v>
      </c>
      <c r="AB3">
        <f>AA3*L3</f>
        <v>1360000</v>
      </c>
      <c r="AC3">
        <f>AA3-Y3</f>
        <v>19</v>
      </c>
      <c r="AD3">
        <f>AC3*L3</f>
        <v>760000</v>
      </c>
      <c r="AE3" t="str">
        <f>IF(AC3&lt;0,"Early",IF(AC3&gt;0,"Late","On-time"))</f>
        <v>Late</v>
      </c>
      <c r="AF3">
        <f>IF(AE3="Late",L3,0)</f>
        <v>40000</v>
      </c>
      <c r="AG3">
        <f>DAY(I3)</f>
        <v>10</v>
      </c>
      <c r="AH3">
        <f>AF3*AC3</f>
        <v>760000</v>
      </c>
      <c r="AI3">
        <f>DAY(I3)</f>
        <v>10</v>
      </c>
      <c r="AJ3">
        <f>DAY(J3)</f>
        <v>25</v>
      </c>
      <c r="AK3">
        <f>DAY(D3)</f>
        <v>13</v>
      </c>
      <c r="AL3" t="str">
        <f>TEXT(I3,"dddd")</f>
        <v>Sunday</v>
      </c>
      <c r="AM3" t="str">
        <f>TEXT(J3,"dddd")</f>
        <v>Monday</v>
      </c>
      <c r="AN3" t="str">
        <f>TEXT(D3,"dddd")</f>
        <v>Saturday</v>
      </c>
      <c r="AO3" s="5">
        <f>EOMONTH(I3,0)</f>
        <v>44227</v>
      </c>
      <c r="AP3" s="5">
        <f>EOMONTH(J3,0)</f>
        <v>44227</v>
      </c>
      <c r="AQ3" s="5">
        <f>EOMONTH(D3,0)</f>
        <v>44255</v>
      </c>
    </row>
    <row r="4" spans="1:43" x14ac:dyDescent="0.2">
      <c r="A4" t="s">
        <v>45</v>
      </c>
      <c r="B4">
        <v>11003</v>
      </c>
      <c r="C4">
        <f>C3+4</f>
        <v>2002006</v>
      </c>
      <c r="D4" s="1">
        <v>44285</v>
      </c>
      <c r="E4">
        <v>20000</v>
      </c>
      <c r="H4">
        <f>H3+20</f>
        <v>17050295</v>
      </c>
      <c r="I4" s="1">
        <f>I3+22</f>
        <v>44228</v>
      </c>
      <c r="J4" s="1">
        <v>44257</v>
      </c>
      <c r="K4">
        <v>20000</v>
      </c>
      <c r="L4">
        <v>20000</v>
      </c>
      <c r="M4" t="s">
        <v>46</v>
      </c>
      <c r="N4" t="s">
        <v>41</v>
      </c>
      <c r="Y4">
        <f>J4-I4</f>
        <v>29</v>
      </c>
      <c r="Z4">
        <f>Y4*L4</f>
        <v>580000</v>
      </c>
      <c r="AA4">
        <f>D4-I4</f>
        <v>57</v>
      </c>
      <c r="AB4">
        <f>AA4*L4</f>
        <v>1140000</v>
      </c>
      <c r="AC4">
        <f>AA4-Y4</f>
        <v>28</v>
      </c>
      <c r="AD4">
        <f>AC4*L4</f>
        <v>560000</v>
      </c>
      <c r="AE4" t="str">
        <f>IF(AC4&lt;0,"Early",IF(AC4&gt;0,"Late","On-time"))</f>
        <v>Late</v>
      </c>
      <c r="AF4">
        <f>IF(AE4="Late",L4,0)</f>
        <v>20000</v>
      </c>
      <c r="AG4">
        <f>DAY(I4)</f>
        <v>1</v>
      </c>
      <c r="AH4">
        <f>AF4*AC4</f>
        <v>560000</v>
      </c>
      <c r="AI4">
        <f>DAY(I4)</f>
        <v>1</v>
      </c>
      <c r="AJ4">
        <f>DAY(J4)</f>
        <v>2</v>
      </c>
      <c r="AK4">
        <f>DAY(D4)</f>
        <v>30</v>
      </c>
      <c r="AL4" t="str">
        <f>TEXT(I4,"dddd")</f>
        <v>Monday</v>
      </c>
      <c r="AM4" t="str">
        <f>TEXT(J4,"dddd")</f>
        <v>Tuesday</v>
      </c>
      <c r="AN4" t="str">
        <f>TEXT(D4,"dddd")</f>
        <v>Tuesday</v>
      </c>
      <c r="AO4" s="5">
        <f>EOMONTH(I4,0)</f>
        <v>44255</v>
      </c>
      <c r="AP4" s="5">
        <f>EOMONTH(J4,0)</f>
        <v>44286</v>
      </c>
      <c r="AQ4" s="5">
        <f>EOMONTH(D4,0)</f>
        <v>44286</v>
      </c>
    </row>
    <row r="5" spans="1:43" x14ac:dyDescent="0.2">
      <c r="A5" t="s">
        <v>48</v>
      </c>
      <c r="B5">
        <f>B4+5</f>
        <v>11008</v>
      </c>
      <c r="C5">
        <f>C4+4</f>
        <v>2002010</v>
      </c>
      <c r="D5" s="1">
        <f>D4+15</f>
        <v>44300</v>
      </c>
      <c r="E5">
        <v>1500</v>
      </c>
      <c r="H5">
        <f>H4+20</f>
        <v>17050315</v>
      </c>
      <c r="I5" s="1">
        <f>I4+22</f>
        <v>44250</v>
      </c>
      <c r="J5" s="1">
        <f>I5+30</f>
        <v>44280</v>
      </c>
      <c r="K5">
        <v>1500</v>
      </c>
      <c r="L5">
        <v>1500</v>
      </c>
      <c r="M5" t="s">
        <v>46</v>
      </c>
      <c r="N5" t="s">
        <v>50</v>
      </c>
      <c r="Y5">
        <f t="shared" ref="Y5:Y6" si="0">J5-I5</f>
        <v>30</v>
      </c>
      <c r="Z5">
        <f t="shared" ref="Z5:Z6" si="1">Y5*L5</f>
        <v>45000</v>
      </c>
      <c r="AA5">
        <f t="shared" ref="AA5:AA6" si="2">D5-I5</f>
        <v>50</v>
      </c>
      <c r="AB5">
        <f t="shared" ref="AB5:AB6" si="3">AA5*L5</f>
        <v>75000</v>
      </c>
      <c r="AC5">
        <f t="shared" ref="AC5:AC6" si="4">AA5-Y5</f>
        <v>20</v>
      </c>
      <c r="AD5">
        <f t="shared" ref="AD5:AD6" si="5">AC5*L5</f>
        <v>30000</v>
      </c>
      <c r="AE5" t="str">
        <f t="shared" ref="AE5:AE6" si="6">IF(AC5&lt;0,"Early",IF(AC5&gt;0,"Late","On-time"))</f>
        <v>Late</v>
      </c>
      <c r="AF5">
        <f t="shared" ref="AF5:AF6" si="7">IF(AE5="Late",L5,0)</f>
        <v>1500</v>
      </c>
      <c r="AG5">
        <f t="shared" ref="AG5:AG6" si="8">DAY(I5)</f>
        <v>23</v>
      </c>
      <c r="AH5">
        <f t="shared" ref="AH5:AH6" si="9">AF5*AC5</f>
        <v>30000</v>
      </c>
      <c r="AI5">
        <f t="shared" ref="AI5:AI6" si="10">DAY(I5)</f>
        <v>23</v>
      </c>
      <c r="AJ5">
        <f t="shared" ref="AJ5:AJ6" si="11">DAY(J5)</f>
        <v>25</v>
      </c>
      <c r="AK5">
        <f t="shared" ref="AK5:AK6" si="12">DAY(D5)</f>
        <v>14</v>
      </c>
      <c r="AL5" t="str">
        <f t="shared" ref="AL5:AL6" si="13">TEXT(I5,"dddd")</f>
        <v>Tuesday</v>
      </c>
      <c r="AM5" t="str">
        <f t="shared" ref="AM5:AM6" si="14">TEXT(J5,"dddd")</f>
        <v>Thursday</v>
      </c>
      <c r="AN5" t="str">
        <f t="shared" ref="AN5:AN6" si="15">TEXT(D5,"dddd")</f>
        <v>Wednesday</v>
      </c>
      <c r="AO5" s="5">
        <f t="shared" ref="AO5:AO6" si="16">EOMONTH(I5,0)</f>
        <v>44255</v>
      </c>
      <c r="AP5" s="5">
        <f t="shared" ref="AP5:AP6" si="17">EOMONTH(J5,0)</f>
        <v>44286</v>
      </c>
      <c r="AQ5" s="5">
        <f t="shared" ref="AQ5:AQ6" si="18">EOMONTH(D5,0)</f>
        <v>44316</v>
      </c>
    </row>
    <row r="6" spans="1:43" x14ac:dyDescent="0.2">
      <c r="A6" t="s">
        <v>49</v>
      </c>
      <c r="B6">
        <f>B5+5</f>
        <v>11013</v>
      </c>
      <c r="C6">
        <f>C5+4</f>
        <v>2002014</v>
      </c>
      <c r="D6" s="1">
        <f>D5+15</f>
        <v>44315</v>
      </c>
      <c r="E6">
        <v>3000</v>
      </c>
      <c r="H6">
        <f>H5+20</f>
        <v>17050335</v>
      </c>
      <c r="I6" s="1">
        <f>I5+22</f>
        <v>44272</v>
      </c>
      <c r="J6" s="1">
        <f>I6+30</f>
        <v>44302</v>
      </c>
      <c r="K6">
        <v>3000</v>
      </c>
      <c r="L6">
        <v>3000</v>
      </c>
      <c r="M6" t="s">
        <v>46</v>
      </c>
      <c r="N6" t="s">
        <v>50</v>
      </c>
      <c r="Y6">
        <f t="shared" si="0"/>
        <v>30</v>
      </c>
      <c r="Z6">
        <f t="shared" si="1"/>
        <v>90000</v>
      </c>
      <c r="AA6">
        <f t="shared" si="2"/>
        <v>43</v>
      </c>
      <c r="AB6">
        <f t="shared" si="3"/>
        <v>129000</v>
      </c>
      <c r="AC6">
        <f t="shared" si="4"/>
        <v>13</v>
      </c>
      <c r="AD6">
        <f t="shared" si="5"/>
        <v>39000</v>
      </c>
      <c r="AE6" t="str">
        <f t="shared" si="6"/>
        <v>Late</v>
      </c>
      <c r="AF6">
        <f t="shared" si="7"/>
        <v>3000</v>
      </c>
      <c r="AG6">
        <f t="shared" si="8"/>
        <v>17</v>
      </c>
      <c r="AH6">
        <f t="shared" si="9"/>
        <v>39000</v>
      </c>
      <c r="AI6">
        <f t="shared" si="10"/>
        <v>17</v>
      </c>
      <c r="AJ6">
        <f t="shared" si="11"/>
        <v>16</v>
      </c>
      <c r="AK6">
        <f t="shared" si="12"/>
        <v>29</v>
      </c>
      <c r="AL6" t="str">
        <f t="shared" si="13"/>
        <v>Wednesday</v>
      </c>
      <c r="AM6" t="str">
        <f t="shared" si="14"/>
        <v>Friday</v>
      </c>
      <c r="AN6" t="str">
        <f t="shared" si="15"/>
        <v>Thursday</v>
      </c>
      <c r="AO6" s="5">
        <f t="shared" si="16"/>
        <v>44286</v>
      </c>
      <c r="AP6" s="5">
        <f t="shared" si="17"/>
        <v>44316</v>
      </c>
      <c r="AQ6" s="5">
        <f t="shared" si="18"/>
        <v>44316</v>
      </c>
    </row>
  </sheetData>
  <mergeCells count="1">
    <mergeCell ref="P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 Open</vt:lpstr>
      <vt:lpstr>Custmer level data</vt:lpstr>
      <vt:lpstr>AR Closed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Magan</dc:creator>
  <cp:lastModifiedBy>Ankur Magan</cp:lastModifiedBy>
  <dcterms:created xsi:type="dcterms:W3CDTF">2021-06-14T17:17:03Z</dcterms:created>
  <dcterms:modified xsi:type="dcterms:W3CDTF">2025-04-21T03:07:07Z</dcterms:modified>
</cp:coreProperties>
</file>