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ortflio\Financial Models\1_3-Statement Models\"/>
    </mc:Choice>
  </mc:AlternateContent>
  <xr:revisionPtr revIDLastSave="0" documentId="13_ncr:1_{8ADC7786-DA3C-4789-8A26-06CBEBF38FEC}" xr6:coauthVersionLast="47" xr6:coauthVersionMax="47" xr10:uidLastSave="{00000000-0000-0000-0000-000000000000}"/>
  <bookViews>
    <workbookView xWindow="-108" yWindow="-108" windowWidth="23256" windowHeight="12456" xr2:uid="{725D8CF5-DBD3-4B90-99B0-355C294C4DE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" l="1"/>
  <c r="F65" i="1"/>
  <c r="D42" i="1"/>
  <c r="E42" i="1"/>
  <c r="G113" i="1"/>
  <c r="H113" i="1"/>
  <c r="I113" i="1"/>
  <c r="J113" i="1"/>
  <c r="F113" i="1"/>
  <c r="F9" i="1"/>
  <c r="G9" i="1" s="1"/>
  <c r="H9" i="1" s="1"/>
  <c r="I9" i="1" s="1"/>
  <c r="J9" i="1" s="1"/>
  <c r="E10" i="1"/>
  <c r="D10" i="1"/>
  <c r="D2" i="1"/>
  <c r="E2" i="1" s="1"/>
  <c r="F2" i="1" s="1"/>
  <c r="G2" i="1" s="1"/>
  <c r="H2" i="1" s="1"/>
  <c r="I2" i="1" s="1"/>
  <c r="J2" i="1" s="1"/>
  <c r="D124" i="1"/>
  <c r="E124" i="1"/>
  <c r="D117" i="1"/>
  <c r="E117" i="1"/>
  <c r="D118" i="1"/>
  <c r="E118" i="1"/>
  <c r="D119" i="1"/>
  <c r="E119" i="1"/>
  <c r="D120" i="1"/>
  <c r="E120" i="1"/>
  <c r="D121" i="1"/>
  <c r="D49" i="1" s="1"/>
  <c r="E121" i="1"/>
  <c r="D106" i="1"/>
  <c r="E106" i="1"/>
  <c r="D107" i="1"/>
  <c r="E107" i="1"/>
  <c r="D108" i="1"/>
  <c r="E108" i="1"/>
  <c r="C124" i="1"/>
  <c r="C121" i="1"/>
  <c r="C117" i="1"/>
  <c r="C120" i="1"/>
  <c r="C119" i="1"/>
  <c r="C118" i="1"/>
  <c r="D112" i="1"/>
  <c r="E112" i="1"/>
  <c r="D113" i="1"/>
  <c r="D35" i="1" s="1"/>
  <c r="E113" i="1"/>
  <c r="E35" i="1" s="1"/>
  <c r="C113" i="1"/>
  <c r="C35" i="1" s="1"/>
  <c r="C112" i="1"/>
  <c r="C108" i="1"/>
  <c r="C107" i="1"/>
  <c r="C106" i="1"/>
  <c r="D102" i="1"/>
  <c r="E102" i="1" s="1"/>
  <c r="F102" i="1" s="1"/>
  <c r="G102" i="1" s="1"/>
  <c r="H102" i="1" s="1"/>
  <c r="I102" i="1" s="1"/>
  <c r="J102" i="1" s="1"/>
  <c r="D74" i="1"/>
  <c r="E74" i="1" s="1"/>
  <c r="F74" i="1" s="1"/>
  <c r="G74" i="1" s="1"/>
  <c r="H74" i="1" s="1"/>
  <c r="I74" i="1" s="1"/>
  <c r="J74" i="1" s="1"/>
  <c r="E95" i="1"/>
  <c r="E94" i="1"/>
  <c r="D95" i="1"/>
  <c r="D94" i="1"/>
  <c r="E91" i="1"/>
  <c r="E90" i="1"/>
  <c r="D90" i="1"/>
  <c r="E89" i="1"/>
  <c r="D91" i="1"/>
  <c r="D89" i="1"/>
  <c r="E87" i="1"/>
  <c r="E88" i="1"/>
  <c r="D87" i="1"/>
  <c r="D88" i="1"/>
  <c r="E86" i="1"/>
  <c r="D86" i="1"/>
  <c r="E77" i="1"/>
  <c r="E78" i="1"/>
  <c r="E79" i="1"/>
  <c r="E80" i="1"/>
  <c r="E81" i="1"/>
  <c r="E82" i="1"/>
  <c r="D82" i="1"/>
  <c r="D81" i="1"/>
  <c r="D80" i="1"/>
  <c r="D79" i="1"/>
  <c r="D78" i="1"/>
  <c r="D77" i="1"/>
  <c r="D71" i="1"/>
  <c r="D105" i="1" s="1"/>
  <c r="E71" i="1"/>
  <c r="E105" i="1" s="1"/>
  <c r="C71" i="1"/>
  <c r="C105" i="1" s="1"/>
  <c r="D65" i="1"/>
  <c r="E65" i="1"/>
  <c r="C65" i="1"/>
  <c r="D59" i="1"/>
  <c r="E59" i="1"/>
  <c r="C59" i="1"/>
  <c r="D64" i="1"/>
  <c r="E64" i="1"/>
  <c r="F64" i="1" s="1"/>
  <c r="G64" i="1" s="1"/>
  <c r="H64" i="1" s="1"/>
  <c r="I64" i="1" s="1"/>
  <c r="J64" i="1" s="1"/>
  <c r="C64" i="1"/>
  <c r="D68" i="1"/>
  <c r="E68" i="1"/>
  <c r="C68" i="1"/>
  <c r="D63" i="1"/>
  <c r="E63" i="1"/>
  <c r="F63" i="1" s="1"/>
  <c r="G63" i="1" s="1"/>
  <c r="H63" i="1" s="1"/>
  <c r="I63" i="1" s="1"/>
  <c r="J63" i="1" s="1"/>
  <c r="C63" i="1"/>
  <c r="D60" i="1"/>
  <c r="E60" i="1"/>
  <c r="C60" i="1"/>
  <c r="D58" i="1"/>
  <c r="E58" i="1"/>
  <c r="C58" i="1"/>
  <c r="E55" i="1"/>
  <c r="E12" i="1" s="1"/>
  <c r="D55" i="1"/>
  <c r="D12" i="1" s="1"/>
  <c r="E54" i="1"/>
  <c r="E4" i="1" s="1"/>
  <c r="D54" i="1"/>
  <c r="D4" i="1" s="1"/>
  <c r="C55" i="1"/>
  <c r="C12" i="1" s="1"/>
  <c r="C54" i="1"/>
  <c r="C4" i="1" s="1"/>
  <c r="D52" i="1"/>
  <c r="E52" i="1" s="1"/>
  <c r="F52" i="1" s="1"/>
  <c r="G52" i="1" s="1"/>
  <c r="H52" i="1" s="1"/>
  <c r="I52" i="1" s="1"/>
  <c r="J52" i="1" s="1"/>
  <c r="C47" i="1" l="1"/>
  <c r="E47" i="1"/>
  <c r="F47" i="1" s="1"/>
  <c r="G47" i="1" s="1"/>
  <c r="H47" i="1" s="1"/>
  <c r="I47" i="1" s="1"/>
  <c r="J47" i="1" s="1"/>
  <c r="D47" i="1"/>
  <c r="D26" i="1"/>
  <c r="E26" i="1"/>
  <c r="F26" i="1" s="1"/>
  <c r="G26" i="1" s="1"/>
  <c r="H26" i="1" s="1"/>
  <c r="I26" i="1" s="1"/>
  <c r="J26" i="1" s="1"/>
  <c r="E29" i="1"/>
  <c r="D29" i="1"/>
  <c r="D24" i="1"/>
  <c r="D27" i="1"/>
  <c r="D28" i="1"/>
  <c r="E24" i="1"/>
  <c r="E28" i="1"/>
  <c r="E23" i="1"/>
  <c r="E27" i="1"/>
  <c r="D23" i="1"/>
  <c r="C15" i="1"/>
  <c r="E16" i="1"/>
  <c r="C16" i="1"/>
  <c r="E15" i="1"/>
  <c r="D16" i="1"/>
  <c r="D15" i="1"/>
  <c r="D5" i="1"/>
  <c r="F4" i="1"/>
  <c r="E5" i="1"/>
  <c r="E13" i="1"/>
  <c r="F12" i="1"/>
  <c r="G12" i="1" s="1"/>
  <c r="H12" i="1" s="1"/>
  <c r="D13" i="1"/>
  <c r="C56" i="1"/>
  <c r="C31" i="1" s="1"/>
  <c r="D92" i="1"/>
  <c r="D96" i="1"/>
  <c r="E96" i="1"/>
  <c r="D56" i="1"/>
  <c r="D32" i="1" s="1"/>
  <c r="E56" i="1"/>
  <c r="E114" i="1"/>
  <c r="D114" i="1"/>
  <c r="D83" i="1"/>
  <c r="E92" i="1"/>
  <c r="C114" i="1"/>
  <c r="E83" i="1"/>
  <c r="D122" i="1"/>
  <c r="E122" i="1"/>
  <c r="C122" i="1"/>
  <c r="F24" i="1" l="1"/>
  <c r="G24" i="1" s="1"/>
  <c r="H24" i="1" s="1"/>
  <c r="I24" i="1" s="1"/>
  <c r="J24" i="1" s="1"/>
  <c r="D50" i="1"/>
  <c r="D31" i="1"/>
  <c r="C32" i="1"/>
  <c r="D33" i="1"/>
  <c r="E61" i="1"/>
  <c r="E66" i="1" s="1"/>
  <c r="E70" i="1" s="1"/>
  <c r="E72" i="1" s="1"/>
  <c r="E31" i="1"/>
  <c r="F31" i="1" s="1"/>
  <c r="G31" i="1" s="1"/>
  <c r="H31" i="1" s="1"/>
  <c r="I31" i="1" s="1"/>
  <c r="J31" i="1" s="1"/>
  <c r="E50" i="1"/>
  <c r="E32" i="1"/>
  <c r="E33" i="1"/>
  <c r="C61" i="1"/>
  <c r="C66" i="1" s="1"/>
  <c r="C70" i="1" s="1"/>
  <c r="C20" i="1" s="1"/>
  <c r="C50" i="1"/>
  <c r="C33" i="1"/>
  <c r="F33" i="1" s="1"/>
  <c r="G33" i="1" s="1"/>
  <c r="H33" i="1" s="1"/>
  <c r="I33" i="1" s="1"/>
  <c r="J33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F27" i="1"/>
  <c r="G27" i="1" s="1"/>
  <c r="H27" i="1" s="1"/>
  <c r="I27" i="1" s="1"/>
  <c r="J27" i="1" s="1"/>
  <c r="E17" i="1"/>
  <c r="E22" i="1"/>
  <c r="F15" i="1"/>
  <c r="G15" i="1" s="1"/>
  <c r="H15" i="1" s="1"/>
  <c r="I15" i="1" s="1"/>
  <c r="J15" i="1" s="1"/>
  <c r="D61" i="1"/>
  <c r="D66" i="1" s="1"/>
  <c r="D70" i="1" s="1"/>
  <c r="D72" i="1" s="1"/>
  <c r="D22" i="1"/>
  <c r="F16" i="1"/>
  <c r="G16" i="1" s="1"/>
  <c r="H16" i="1" s="1"/>
  <c r="I16" i="1" s="1"/>
  <c r="J16" i="1" s="1"/>
  <c r="C19" i="1"/>
  <c r="C17" i="1"/>
  <c r="D17" i="1"/>
  <c r="G55" i="1"/>
  <c r="F55" i="1"/>
  <c r="I12" i="1"/>
  <c r="H55" i="1"/>
  <c r="F54" i="1"/>
  <c r="G4" i="1"/>
  <c r="E98" i="1"/>
  <c r="E100" i="1" s="1"/>
  <c r="D98" i="1"/>
  <c r="D100" i="1" s="1"/>
  <c r="C72" i="1" l="1"/>
  <c r="C45" i="1" s="1"/>
  <c r="E19" i="1"/>
  <c r="E104" i="1"/>
  <c r="E109" i="1" s="1"/>
  <c r="E45" i="1"/>
  <c r="D104" i="1"/>
  <c r="D109" i="1" s="1"/>
  <c r="D126" i="1" s="1"/>
  <c r="D45" i="1"/>
  <c r="F50" i="1"/>
  <c r="G50" i="1" s="1"/>
  <c r="H50" i="1" s="1"/>
  <c r="I50" i="1" s="1"/>
  <c r="J50" i="1" s="1"/>
  <c r="F32" i="1"/>
  <c r="G32" i="1" s="1"/>
  <c r="H32" i="1" s="1"/>
  <c r="I32" i="1" s="1"/>
  <c r="J32" i="1" s="1"/>
  <c r="E20" i="1"/>
  <c r="F58" i="1"/>
  <c r="F22" i="1"/>
  <c r="G22" i="1" s="1"/>
  <c r="H22" i="1" s="1"/>
  <c r="I22" i="1" s="1"/>
  <c r="J22" i="1" s="1"/>
  <c r="D19" i="1"/>
  <c r="F19" i="1" s="1"/>
  <c r="G19" i="1" s="1"/>
  <c r="H19" i="1" s="1"/>
  <c r="I19" i="1" s="1"/>
  <c r="J19" i="1" s="1"/>
  <c r="D20" i="1"/>
  <c r="H59" i="1"/>
  <c r="F59" i="1"/>
  <c r="G59" i="1"/>
  <c r="F17" i="1"/>
  <c r="G17" i="1" s="1"/>
  <c r="H17" i="1" s="1"/>
  <c r="I17" i="1" s="1"/>
  <c r="J17" i="1" s="1"/>
  <c r="F56" i="1"/>
  <c r="H4" i="1"/>
  <c r="G54" i="1"/>
  <c r="J12" i="1"/>
  <c r="J55" i="1" s="1"/>
  <c r="J59" i="1" s="1"/>
  <c r="I55" i="1"/>
  <c r="I59" i="1" s="1"/>
  <c r="F20" i="1" l="1"/>
  <c r="G20" i="1" s="1"/>
  <c r="H20" i="1" s="1"/>
  <c r="I20" i="1" s="1"/>
  <c r="J20" i="1" s="1"/>
  <c r="C104" i="1"/>
  <c r="C109" i="1" s="1"/>
  <c r="C126" i="1" s="1"/>
  <c r="E126" i="1"/>
  <c r="E38" i="1"/>
  <c r="E44" i="1" s="1"/>
  <c r="E46" i="1" s="1"/>
  <c r="F106" i="1"/>
  <c r="F112" i="1"/>
  <c r="F107" i="1"/>
  <c r="F82" i="1" s="1"/>
  <c r="F124" i="1"/>
  <c r="F78" i="1"/>
  <c r="F86" i="1"/>
  <c r="F79" i="1"/>
  <c r="G56" i="1"/>
  <c r="G58" i="1"/>
  <c r="F60" i="1"/>
  <c r="F91" i="1" s="1"/>
  <c r="I4" i="1"/>
  <c r="H54" i="1"/>
  <c r="F114" i="1" l="1"/>
  <c r="F80" i="1"/>
  <c r="G78" i="1"/>
  <c r="G124" i="1"/>
  <c r="G107" i="1"/>
  <c r="G82" i="1" s="1"/>
  <c r="G112" i="1"/>
  <c r="G114" i="1" s="1"/>
  <c r="G106" i="1"/>
  <c r="F88" i="1"/>
  <c r="F61" i="1"/>
  <c r="F66" i="1" s="1"/>
  <c r="F68" i="1" s="1"/>
  <c r="F70" i="1" s="1"/>
  <c r="F81" i="1"/>
  <c r="G79" i="1"/>
  <c r="G86" i="1"/>
  <c r="F87" i="1"/>
  <c r="H56" i="1"/>
  <c r="H58" i="1"/>
  <c r="G60" i="1"/>
  <c r="G91" i="1" s="1"/>
  <c r="J4" i="1"/>
  <c r="J54" i="1" s="1"/>
  <c r="I54" i="1"/>
  <c r="G80" i="1" l="1"/>
  <c r="H78" i="1"/>
  <c r="H124" i="1"/>
  <c r="H107" i="1"/>
  <c r="H82" i="1" s="1"/>
  <c r="H112" i="1"/>
  <c r="H114" i="1" s="1"/>
  <c r="H106" i="1"/>
  <c r="G87" i="1"/>
  <c r="F90" i="1"/>
  <c r="F108" i="1" s="1"/>
  <c r="G61" i="1"/>
  <c r="G66" i="1" s="1"/>
  <c r="G68" i="1" s="1"/>
  <c r="G70" i="1" s="1"/>
  <c r="G71" i="1" s="1"/>
  <c r="G81" i="1"/>
  <c r="H86" i="1"/>
  <c r="H79" i="1"/>
  <c r="G88" i="1"/>
  <c r="F71" i="1"/>
  <c r="I56" i="1"/>
  <c r="I58" i="1"/>
  <c r="J56" i="1"/>
  <c r="J58" i="1"/>
  <c r="H60" i="1"/>
  <c r="H88" i="1" s="1"/>
  <c r="H80" i="1" l="1"/>
  <c r="I78" i="1"/>
  <c r="I106" i="1"/>
  <c r="I124" i="1"/>
  <c r="I107" i="1"/>
  <c r="I82" i="1" s="1"/>
  <c r="J82" i="1" s="1"/>
  <c r="I112" i="1"/>
  <c r="I114" i="1" s="1"/>
  <c r="J78" i="1"/>
  <c r="J106" i="1"/>
  <c r="J124" i="1"/>
  <c r="J107" i="1"/>
  <c r="J112" i="1"/>
  <c r="J114" i="1" s="1"/>
  <c r="G72" i="1"/>
  <c r="G118" i="1" s="1"/>
  <c r="G105" i="1"/>
  <c r="G120" i="1" s="1"/>
  <c r="F72" i="1"/>
  <c r="F105" i="1"/>
  <c r="H87" i="1"/>
  <c r="G90" i="1"/>
  <c r="G108" i="1" s="1"/>
  <c r="H61" i="1"/>
  <c r="H81" i="1"/>
  <c r="H91" i="1"/>
  <c r="J79" i="1"/>
  <c r="J86" i="1"/>
  <c r="I79" i="1"/>
  <c r="I86" i="1"/>
  <c r="J60" i="1"/>
  <c r="J91" i="1" s="1"/>
  <c r="I60" i="1"/>
  <c r="I91" i="1" s="1"/>
  <c r="I80" i="1" l="1"/>
  <c r="J80" i="1" s="1"/>
  <c r="F120" i="1"/>
  <c r="F95" i="1" s="1"/>
  <c r="G95" i="1" s="1"/>
  <c r="J87" i="1"/>
  <c r="F118" i="1"/>
  <c r="F104" i="1"/>
  <c r="H108" i="1"/>
  <c r="G104" i="1"/>
  <c r="G109" i="1" s="1"/>
  <c r="H90" i="1"/>
  <c r="J61" i="1"/>
  <c r="J81" i="1"/>
  <c r="J88" i="1"/>
  <c r="I61" i="1"/>
  <c r="I81" i="1"/>
  <c r="I87" i="1"/>
  <c r="I88" i="1"/>
  <c r="F109" i="1" l="1"/>
  <c r="F38" i="1" s="1"/>
  <c r="F44" i="1" s="1"/>
  <c r="I90" i="1"/>
  <c r="I108" i="1" s="1"/>
  <c r="F46" i="1" l="1"/>
  <c r="F119" i="1" s="1"/>
  <c r="F117" i="1"/>
  <c r="J90" i="1"/>
  <c r="F121" i="1" l="1"/>
  <c r="F122" i="1" s="1"/>
  <c r="F126" i="1" s="1"/>
  <c r="F77" i="1" s="1"/>
  <c r="F89" i="1"/>
  <c r="F92" i="1" s="1"/>
  <c r="J108" i="1"/>
  <c r="G38" i="1" l="1"/>
  <c r="G44" i="1" s="1"/>
  <c r="F83" i="1"/>
  <c r="F94" i="1"/>
  <c r="F96" i="1" l="1"/>
  <c r="F98" i="1" s="1"/>
  <c r="F100" i="1" s="1"/>
  <c r="G117" i="1"/>
  <c r="G46" i="1"/>
  <c r="G119" i="1" s="1"/>
  <c r="G121" i="1" l="1"/>
  <c r="G94" i="1" s="1"/>
  <c r="G89" i="1"/>
  <c r="H65" i="1" s="1"/>
  <c r="H66" i="1" s="1"/>
  <c r="H68" i="1" s="1"/>
  <c r="H70" i="1" s="1"/>
  <c r="H71" i="1" l="1"/>
  <c r="H105" i="1" s="1"/>
  <c r="H72" i="1"/>
  <c r="G122" i="1"/>
  <c r="G126" i="1" s="1"/>
  <c r="G77" i="1" s="1"/>
  <c r="G83" i="1" s="1"/>
  <c r="G96" i="1"/>
  <c r="G92" i="1"/>
  <c r="G98" i="1" s="1"/>
  <c r="H118" i="1" l="1"/>
  <c r="H104" i="1"/>
  <c r="H109" i="1" s="1"/>
  <c r="H38" i="1" s="1"/>
  <c r="H44" i="1" s="1"/>
  <c r="H120" i="1"/>
  <c r="H95" i="1"/>
  <c r="G100" i="1"/>
  <c r="H117" i="1" l="1"/>
  <c r="H46" i="1"/>
  <c r="H119" i="1" s="1"/>
  <c r="H121" i="1"/>
  <c r="H122" i="1" s="1"/>
  <c r="H126" i="1" s="1"/>
  <c r="H77" i="1" s="1"/>
  <c r="H89" i="1"/>
  <c r="I65" i="1" s="1"/>
  <c r="I66" i="1" s="1"/>
  <c r="I68" i="1" s="1"/>
  <c r="I70" i="1" s="1"/>
  <c r="I71" i="1" l="1"/>
  <c r="I105" i="1" s="1"/>
  <c r="I72" i="1"/>
  <c r="H83" i="1"/>
  <c r="H92" i="1"/>
  <c r="H94" i="1"/>
  <c r="I118" i="1" l="1"/>
  <c r="I104" i="1"/>
  <c r="I109" i="1" s="1"/>
  <c r="I120" i="1"/>
  <c r="I95" i="1" s="1"/>
  <c r="H96" i="1"/>
  <c r="H98" i="1" s="1"/>
  <c r="H100" i="1" s="1"/>
  <c r="I38" i="1" l="1"/>
  <c r="I44" i="1" s="1"/>
  <c r="I117" i="1" l="1"/>
  <c r="I46" i="1"/>
  <c r="I119" i="1" s="1"/>
  <c r="I89" i="1" l="1"/>
  <c r="I121" i="1"/>
  <c r="I122" i="1" l="1"/>
  <c r="I126" i="1" s="1"/>
  <c r="I77" i="1" s="1"/>
  <c r="I94" i="1"/>
  <c r="I96" i="1" s="1"/>
  <c r="I98" i="1" s="1"/>
  <c r="J65" i="1"/>
  <c r="J66" i="1" s="1"/>
  <c r="J68" i="1" s="1"/>
  <c r="J70" i="1" s="1"/>
  <c r="I92" i="1"/>
  <c r="J71" i="1" l="1"/>
  <c r="J105" i="1" s="1"/>
  <c r="J72" i="1"/>
  <c r="I100" i="1"/>
  <c r="I83" i="1"/>
  <c r="J118" i="1" l="1"/>
  <c r="J104" i="1"/>
  <c r="J109" i="1" s="1"/>
  <c r="J120" i="1"/>
  <c r="J95" i="1" s="1"/>
  <c r="J38" i="1" l="1"/>
  <c r="J44" i="1" s="1"/>
  <c r="J46" i="1" l="1"/>
  <c r="J119" i="1" s="1"/>
  <c r="J117" i="1"/>
  <c r="J121" i="1" l="1"/>
  <c r="J94" i="1" s="1"/>
  <c r="J96" i="1" s="1"/>
  <c r="J89" i="1"/>
  <c r="J92" i="1" s="1"/>
  <c r="J122" i="1"/>
  <c r="J126" i="1" s="1"/>
  <c r="J77" i="1" s="1"/>
  <c r="J83" i="1" s="1"/>
  <c r="J98" i="1" l="1"/>
  <c r="J100" i="1" s="1"/>
</calcChain>
</file>

<file path=xl/sharedStrings.xml><?xml version="1.0" encoding="utf-8"?>
<sst xmlns="http://schemas.openxmlformats.org/spreadsheetml/2006/main" count="94" uniqueCount="87">
  <si>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</si>
  <si>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</si>
  <si>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</si>
  <si>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</si>
  <si>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</si>
  <si>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</si>
  <si>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</si>
  <si>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</si>
  <si>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</si>
  <si>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/ Pension (Expense):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</si>
  <si>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</si>
  <si>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</si>
  <si>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</si>
  <si>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</si>
  <si>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</si>
  <si>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</si>
  <si>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</si>
  <si>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</si>
  <si>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</si>
  <si>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</si>
  <si>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</si>
  <si>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</si>
  <si>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</si>
  <si>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</si>
  <si>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LIABILITIES &amp; EQUITY:</t>
  </si>
  <si>
    <t>Accounts Payable:</t>
  </si>
  <si>
    <t>Accrued Liabilities:</t>
  </si>
  <si>
    <t>Contract Liabilities:</t>
  </si>
  <si>
    <t xml:space="preserve">Total Liabilities: </t>
  </si>
  <si>
    <t xml:space="preserve">Total Debt: </t>
  </si>
  <si>
    <t xml:space="preserve">Op. Lease Liabilities: </t>
  </si>
  <si>
    <t xml:space="preserve">Other Liabilities: </t>
  </si>
  <si>
    <t>Common Shareholders' Equity:</t>
  </si>
  <si>
    <t xml:space="preserve">Noncontrolling Interests: </t>
  </si>
  <si>
    <t xml:space="preserve">Total Equity: </t>
  </si>
  <si>
    <t>TOTAL LIABILITIES &amp; EQUITY:</t>
  </si>
  <si>
    <t>Balance Check:</t>
  </si>
  <si>
    <t xml:space="preserve">Cash Flow Statement: </t>
  </si>
  <si>
    <t xml:space="preserve">Cash Flow From Operations: </t>
  </si>
  <si>
    <t>(+/-) Reversal of NCI Net Income:</t>
  </si>
  <si>
    <t>(+) Depreciation &amp; Amortization:</t>
  </si>
  <si>
    <t>(+/-) Pensions &amp; Other Items:</t>
  </si>
  <si>
    <t xml:space="preserve">(+/-) Change in WC &amp; Leases: </t>
  </si>
  <si>
    <t>Cash Flow from Investing:</t>
  </si>
  <si>
    <t>Cash Flow from Financing:</t>
  </si>
  <si>
    <t>(+/-) Changes in Debt:</t>
  </si>
  <si>
    <t>(-) CapEx:</t>
  </si>
  <si>
    <t>(-) Acquisitions &amp; Other:</t>
  </si>
  <si>
    <t>(-) Common Dividends:</t>
  </si>
  <si>
    <t>(-) Stock Repurchases:</t>
  </si>
  <si>
    <t>(-) Dividends to NCI:</t>
  </si>
  <si>
    <t xml:space="preserve">(+/-) Other Items: </t>
  </si>
  <si>
    <t>FX Rate Effect: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</si>
  <si>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</si>
  <si>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</si>
  <si>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</si>
  <si>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</si>
  <si>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</si>
  <si>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</si>
  <si>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</si>
  <si>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</si>
  <si>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</si>
  <si>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</si>
  <si>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</si>
  <si>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 Net Income: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</si>
  <si>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</si>
  <si>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</si>
  <si>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</si>
  <si>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</si>
  <si>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</si>
  <si>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</si>
  <si>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% Total Expenses:</t>
  </si>
  <si>
    <t>CapEx % Revenue:</t>
  </si>
  <si>
    <t>Depreciation &amp; Amortization % Revenue:</t>
  </si>
  <si>
    <t>Acquisitions &amp; Other:</t>
  </si>
  <si>
    <t>Changes in Debt:</t>
  </si>
  <si>
    <t>Common Dividends % Net Income:</t>
  </si>
  <si>
    <t>Stock Repurchases:</t>
  </si>
  <si>
    <t>FX Rate Effect % Revenue:</t>
  </si>
  <si>
    <t>Pensions &amp; Other Items % Revenue</t>
  </si>
  <si>
    <t>NCI Dividends % NCI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</si>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</sst>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FY&quot;\ yy"/>
    <numFmt numFmtId="165" formatCode="_(* #,##0_);_(* \(#,##0\);_(* &quot;-&quot;??_);_(@_)"/>
    <numFmt numFmtId="166" formatCode="_(&quot;$&quot;* #,##0_);_(&quot;$&quot;* \(#,##0\);_(&quot;$&quot;* &quot;-&quot;??_);_(@_)"/>
    <numFmt numFmtId="167" formatCode="0.0%;\(0.0%\)"/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2" fillId="0" borderId="1" xfId="0" applyFont="1" applyBorder="1"/>
    <xf numFmtId="0" fontId="3" fillId="0" borderId="1" xfId="0" applyFont="1" applyBorder="1"/>
    <xf numFmtId="37" fontId="3" fillId="0" borderId="0" xfId="0" applyNumberFormat="1" applyFont="1"/>
    <xf numFmtId="165" fontId="2" fillId="0" borderId="1" xfId="0" applyNumberFormat="1" applyFont="1" applyBorder="1"/>
    <xf numFmtId="41" fontId="3" fillId="0" borderId="0" xfId="0" applyNumberFormat="1" applyFont="1"/>
    <xf numFmtId="165" fontId="2" fillId="0" borderId="0" xfId="0" applyNumberFormat="1" applyFont="1"/>
    <xf numFmtId="166" fontId="3" fillId="0" borderId="0" xfId="1" applyNumberFormat="1" applyFont="1"/>
    <xf numFmtId="166" fontId="2" fillId="0" borderId="1" xfId="1" applyNumberFormat="1" applyFont="1" applyBorder="1"/>
    <xf numFmtId="1" fontId="3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37" fontId="2" fillId="0" borderId="1" xfId="1" applyNumberFormat="1" applyFont="1" applyBorder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 indent="2"/>
    </xf>
    <xf numFmtId="37" fontId="3" fillId="0" borderId="1" xfId="0" applyNumberFormat="1" applyFont="1" applyBorder="1"/>
    <xf numFmtId="37" fontId="2" fillId="0" borderId="1" xfId="0" applyNumberFormat="1" applyFont="1" applyBorder="1"/>
    <xf numFmtId="167" fontId="3" fillId="0" borderId="0" xfId="0" applyNumberFormat="1" applyFont="1"/>
    <xf numFmtId="168" fontId="4" fillId="0" borderId="0" xfId="0" applyNumberFormat="1" applyFont="1"/>
    <xf numFmtId="0" fontId="3" fillId="0" borderId="0" xfId="0" applyFont="1" applyAlignment="1">
      <alignment horizontal="left"/>
    </xf>
    <xf numFmtId="2" fontId="4" fillId="0" borderId="0" xfId="0" applyNumberFormat="1" applyFont="1"/>
    <xf numFmtId="2" fontId="5" fillId="0" borderId="0" xfId="0" applyNumberFormat="1" applyFont="1"/>
    <xf numFmtId="167" fontId="2" fillId="0" borderId="0" xfId="0" applyNumberFormat="1" applyFont="1"/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7" fontId="4" fillId="0" borderId="0" xfId="0" applyNumberFormat="1" applyFont="1"/>
    <xf numFmtId="167" fontId="6" fillId="0" borderId="0" xfId="0" applyNumberFormat="1" applyFont="1"/>
    <xf numFmtId="37" fontId="2" fillId="0" borderId="0" xfId="0" applyNumberFormat="1" applyFont="1"/>
    <xf numFmtId="37" fontId="6" fillId="0" borderId="0" xfId="0" applyNumberFormat="1" applyFont="1"/>
    <xf numFmtId="168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%20Folder\Financial_Report.xlsx" TargetMode="External"/><Relationship Id="rId1" Type="http://schemas.openxmlformats.org/officeDocument/2006/relationships/externalLinkPath" Target="/Downloads%20Folder/Financial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Audit Information"/>
      <sheetName val="Consolidated Statements of Oper"/>
      <sheetName val="Consolidated Statements of Comp"/>
      <sheetName val="Consolidated Balance Sheet"/>
      <sheetName val="Consolidated Balance Sheet (Par"/>
      <sheetName val="Consolidated Statements of Chan"/>
      <sheetName val="Consolidated Statements of Ch_2"/>
      <sheetName val="Consolidated Statements of Cash"/>
      <sheetName val="Consolidated Statements of Ca_2"/>
      <sheetName val="Business Overview"/>
      <sheetName val="Summary of Significant Accounti"/>
      <sheetName val="Earnings per Share"/>
      <sheetName val="Revenue Recognition"/>
      <sheetName val="Related Parties"/>
      <sheetName val="Accounts Receivable, Net"/>
      <sheetName val="Inventories"/>
      <sheetName val="Fixed Assets"/>
      <sheetName val="Business Acquisitions, Disposit"/>
      <sheetName val="Borrowings and Lines of Credit"/>
      <sheetName val="Accrued Liabilities"/>
      <sheetName val="Other Long-term Liabilities"/>
      <sheetName val="Employee Benefit Plans"/>
      <sheetName val="Stock"/>
      <sheetName val="Accumulated Other Comprehensive"/>
      <sheetName val="Income Taxes"/>
      <sheetName val="Restructuring Costs"/>
      <sheetName val="Financial Instruments"/>
      <sheetName val="Fair Value Measurements"/>
      <sheetName val="Guarantees"/>
      <sheetName val="Leases"/>
      <sheetName val="Contingent Liabilities"/>
      <sheetName val="Segment Financial Data"/>
      <sheetName val="SCHEDULE II - Valuation and Qua"/>
      <sheetName val="Summary of Significant Accoun_2"/>
      <sheetName val="Summary of Significant Accoun_3"/>
      <sheetName val="Earnings per Share (Tables)"/>
      <sheetName val="Revenue Recognition (Tables)"/>
      <sheetName val="Related Parties (Tables)"/>
      <sheetName val="Accounts Receivable, Net (Table"/>
      <sheetName val="Inventories (Tables)"/>
      <sheetName val="Fixed Assets (Tables)"/>
      <sheetName val="Business Acquisitions, Dispos_2"/>
      <sheetName val="Borrowings and Lines of Credit "/>
      <sheetName val="Accrued Liabilities (Tables)"/>
      <sheetName val="Other Long-term Liabilities (Ta"/>
      <sheetName val="Employee Benefit Plans (Tables)"/>
      <sheetName val="Accumulated Other Comprehensi_2"/>
      <sheetName val="Income Taxes (Tables)"/>
      <sheetName val="Restructuring Costs (Tables)"/>
      <sheetName val="Financial Instruments (Tables)"/>
      <sheetName val="Fair Value Measurements (Tables"/>
      <sheetName val="Guarantees (Tables)"/>
      <sheetName val="Leases (Tables)"/>
      <sheetName val="Segment Financial Data (Tables)"/>
      <sheetName val="Business Overview (Details)"/>
      <sheetName val="Summary of Significant Accoun_4"/>
      <sheetName val="Earnings per Share (Details)"/>
      <sheetName val="Revenue Recognition - Contract "/>
      <sheetName val="Revenue Recognition - Narrative"/>
      <sheetName val="Related Parties - Narrative (De"/>
      <sheetName val="Related Parties - Schedule of S"/>
      <sheetName val="Related Parties - Changes in Ba"/>
      <sheetName val="Related Parties - Schedule of_2"/>
      <sheetName val="Accounts Receivable, Net - Sche"/>
      <sheetName val="Accounts Receivable, Net - Sc_2"/>
      <sheetName val="Inventories (Details)"/>
      <sheetName val="Fixed Assets (Details)"/>
      <sheetName val="Business Acquisitions, Dispos_3"/>
      <sheetName val="Business Acquisitions, Dispos_4"/>
      <sheetName val="Business Acquisitions, Dispos_5"/>
      <sheetName val="Business Acquisitions, Dispos_6"/>
      <sheetName val="Borrowings and Lines of Credi_2"/>
      <sheetName val="Borrowings and Lines of Credi_3"/>
      <sheetName val="Borrowings and Lines of Credi_4"/>
      <sheetName val="Borrowings and Lines of Credi_5"/>
      <sheetName val="Borrowings and Lines of Credi_6"/>
      <sheetName val="Borrowings and Lines of Credi_7"/>
      <sheetName val="Accrued Liabilities (Details)"/>
      <sheetName val="Accrued Liabilities - Narrative"/>
      <sheetName val="Other Long-term Liabilities (De"/>
      <sheetName val="Employee Benefit Plans - Employ"/>
      <sheetName val="Employee Benefit Plans - Pensio"/>
      <sheetName val="Employee Benefit Plans - Obliga"/>
      <sheetName val="Employee Benefit Plans - Accumu"/>
      <sheetName val="Employee Benefit Plans - Projec"/>
      <sheetName val="Employee Benefit Plans - Net Pe"/>
      <sheetName val="Employee Benefit Plans - Assump"/>
      <sheetName val="Employee Benefit Plans - Plan A"/>
      <sheetName val="Employee Benefit Plans - Schedu"/>
      <sheetName val="Employee Benefit Plans - Multie"/>
      <sheetName val="Employee Benefit Plans - Share-"/>
      <sheetName val="Employee Benefit Plans - Sche_2"/>
      <sheetName val="Employee Benefit Plans - Sche_3"/>
      <sheetName val="Employee Benefit Plans - Sche_4"/>
      <sheetName val="Employee Benefit Plans - Stock "/>
      <sheetName val="Employee Benefit Plans - Stoc_2"/>
      <sheetName val="Equity (Details)"/>
      <sheetName val="Accumulated Other Comprehensi_3"/>
      <sheetName val="Income Taxes - Income Before In"/>
      <sheetName val="Income Taxes - Narrative (Detai"/>
      <sheetName val="Income Taxes - Provision for In"/>
      <sheetName val="Income Taxes - Reconciliation o"/>
      <sheetName val="Income Taxes - Deferred Tax Ass"/>
      <sheetName val="Income Taxes - Tax Credit and L"/>
      <sheetName val="Income Taxes - Unrecognized Tax"/>
      <sheetName val="Restructuring Costs - Narrative"/>
      <sheetName val="Restructuring Costs - Schedule "/>
      <sheetName val="Restructuring Costs - Restructu"/>
      <sheetName val="Financial Instruments - Narrati"/>
      <sheetName val="Financial Instruments - Schedul"/>
      <sheetName val="Financial Instruments - Sched_2"/>
      <sheetName val="Financial Instruments - Sched_3"/>
      <sheetName val="Fair Value Measurements - Recur"/>
      <sheetName val="Fair Value Measurements - Balan"/>
      <sheetName val="Fair Value Measurements - Narra"/>
      <sheetName val="Guarantees - Product Warranty D"/>
      <sheetName val="Guarantees - Narrative (Details"/>
      <sheetName val="Leases - Narrative (Details)"/>
      <sheetName val="Leases - Supplemental Operating"/>
      <sheetName val="Leases - Operating Lease ROU As"/>
      <sheetName val="Leases - Supplemental Informati"/>
      <sheetName val="Leases - Operating Lease Liabil"/>
      <sheetName val="Contingent Liabilities (Details"/>
      <sheetName val="Segment Financial Data - Segmen"/>
      <sheetName val="Segment Financial Data - Geogra"/>
      <sheetName val="Segment Financial Data - Net Sa"/>
      <sheetName val="SCHEDULE II - Valuation and Q_2"/>
      <sheetName val="Uncategorized Items - otis-2022"/>
    </sheetNames>
    <sheetDataSet>
      <sheetData sheetId="0"/>
      <sheetData sheetId="1"/>
      <sheetData sheetId="2">
        <row r="6">
          <cell r="B6">
            <v>152</v>
          </cell>
          <cell r="C6">
            <v>159</v>
          </cell>
          <cell r="D6">
            <v>150</v>
          </cell>
        </row>
        <row r="7">
          <cell r="B7">
            <v>1924</v>
          </cell>
          <cell r="C7">
            <v>1948</v>
          </cell>
          <cell r="D7">
            <v>1763</v>
          </cell>
        </row>
        <row r="9">
          <cell r="B9">
            <v>-64</v>
          </cell>
          <cell r="C9">
            <v>22</v>
          </cell>
          <cell r="D9">
            <v>26</v>
          </cell>
        </row>
        <row r="11">
          <cell r="B11">
            <v>6</v>
          </cell>
          <cell r="C11">
            <v>11</v>
          </cell>
          <cell r="D11">
            <v>2</v>
          </cell>
        </row>
        <row r="12">
          <cell r="B12">
            <v>122</v>
          </cell>
          <cell r="C12">
            <v>136</v>
          </cell>
          <cell r="D12">
            <v>143</v>
          </cell>
        </row>
        <row r="14">
          <cell r="B14">
            <v>455</v>
          </cell>
          <cell r="C14">
            <v>541</v>
          </cell>
          <cell r="D14">
            <v>519</v>
          </cell>
        </row>
        <row r="16">
          <cell r="B16">
            <v>150</v>
          </cell>
          <cell r="C16">
            <v>174</v>
          </cell>
          <cell r="D16">
            <v>116</v>
          </cell>
        </row>
        <row r="27">
          <cell r="B27">
            <v>5371</v>
          </cell>
          <cell r="C27">
            <v>6428</v>
          </cell>
          <cell r="D27">
            <v>5864</v>
          </cell>
        </row>
        <row r="29">
          <cell r="B29">
            <v>4439</v>
          </cell>
          <cell r="C29">
            <v>5293</v>
          </cell>
          <cell r="D29">
            <v>4949</v>
          </cell>
        </row>
        <row r="33">
          <cell r="B33">
            <v>7385</v>
          </cell>
          <cell r="C33">
            <v>7870</v>
          </cell>
          <cell r="D33">
            <v>7821</v>
          </cell>
        </row>
        <row r="35">
          <cell r="B35">
            <v>4538</v>
          </cell>
          <cell r="C35">
            <v>4812</v>
          </cell>
          <cell r="D35">
            <v>4816</v>
          </cell>
        </row>
      </sheetData>
      <sheetData sheetId="3"/>
      <sheetData sheetId="4">
        <row r="3">
          <cell r="B3">
            <v>1565</v>
          </cell>
          <cell r="C3">
            <v>1189</v>
          </cell>
        </row>
        <row r="4">
          <cell r="B4">
            <v>1910</v>
          </cell>
          <cell r="C4">
            <v>5</v>
          </cell>
        </row>
        <row r="5">
          <cell r="B5">
            <v>3232</v>
          </cell>
          <cell r="C5">
            <v>3357</v>
          </cell>
        </row>
        <row r="6">
          <cell r="B6">
            <v>550</v>
          </cell>
          <cell r="C6">
            <v>664</v>
          </cell>
        </row>
        <row r="7">
          <cell r="B7">
            <v>622</v>
          </cell>
          <cell r="C7">
            <v>617</v>
          </cell>
        </row>
        <row r="8">
          <cell r="B8">
            <v>382</v>
          </cell>
          <cell r="C8">
            <v>311</v>
          </cell>
        </row>
        <row r="10">
          <cell r="B10">
            <v>335</v>
          </cell>
          <cell r="C10">
            <v>285</v>
          </cell>
        </row>
        <row r="11">
          <cell r="B11">
            <v>774</v>
          </cell>
          <cell r="C11">
            <v>719</v>
          </cell>
        </row>
        <row r="12">
          <cell r="B12">
            <v>526</v>
          </cell>
          <cell r="C12">
            <v>449</v>
          </cell>
        </row>
        <row r="13">
          <cell r="B13">
            <v>419</v>
          </cell>
          <cell r="C13">
            <v>369</v>
          </cell>
        </row>
        <row r="14">
          <cell r="B14">
            <v>1667</v>
          </cell>
          <cell r="C14">
            <v>1567</v>
          </cell>
        </row>
        <row r="15">
          <cell r="B15">
            <v>297</v>
          </cell>
          <cell r="C15">
            <v>287</v>
          </cell>
        </row>
        <row r="18">
          <cell r="B18">
            <v>24</v>
          </cell>
          <cell r="C18">
            <v>670</v>
          </cell>
        </row>
        <row r="19">
          <cell r="B19">
            <v>1556</v>
          </cell>
          <cell r="C19">
            <v>1717</v>
          </cell>
        </row>
        <row r="20">
          <cell r="B20">
            <v>1993</v>
          </cell>
          <cell r="C20">
            <v>1794</v>
          </cell>
        </row>
        <row r="21">
          <cell r="B21">
            <v>2674</v>
          </cell>
          <cell r="C21">
            <v>2662</v>
          </cell>
        </row>
        <row r="23">
          <cell r="B23">
            <v>7249</v>
          </cell>
          <cell r="C23">
            <v>6098</v>
          </cell>
        </row>
        <row r="24">
          <cell r="B24">
            <v>558</v>
          </cell>
          <cell r="C24">
            <v>392</v>
          </cell>
        </row>
        <row r="25">
          <cell r="B25">
            <v>336</v>
          </cell>
          <cell r="C25">
            <v>315</v>
          </cell>
        </row>
        <row r="26">
          <cell r="B26">
            <v>267</v>
          </cell>
          <cell r="C26">
            <v>279</v>
          </cell>
        </row>
        <row r="27">
          <cell r="B27">
            <v>606</v>
          </cell>
          <cell r="C27">
            <v>556</v>
          </cell>
        </row>
        <row r="30">
          <cell r="B30">
            <v>160</v>
          </cell>
          <cell r="C30">
            <v>135</v>
          </cell>
        </row>
        <row r="36">
          <cell r="B36">
            <v>-3625</v>
          </cell>
          <cell r="C36">
            <v>-4870</v>
          </cell>
        </row>
        <row r="37">
          <cell r="B37">
            <v>481</v>
          </cell>
          <cell r="C37">
            <v>71</v>
          </cell>
        </row>
      </sheetData>
      <sheetData sheetId="5"/>
      <sheetData sheetId="6"/>
      <sheetData sheetId="7"/>
      <sheetData sheetId="8">
        <row r="6">
          <cell r="B6">
            <v>191</v>
          </cell>
          <cell r="C6">
            <v>203</v>
          </cell>
          <cell r="D6">
            <v>191</v>
          </cell>
        </row>
        <row r="7">
          <cell r="B7">
            <v>-51</v>
          </cell>
          <cell r="C7">
            <v>-92</v>
          </cell>
          <cell r="D7">
            <v>-16</v>
          </cell>
        </row>
        <row r="8">
          <cell r="B8">
            <v>63</v>
          </cell>
          <cell r="C8">
            <v>65</v>
          </cell>
          <cell r="D8">
            <v>67</v>
          </cell>
        </row>
        <row r="9">
          <cell r="B9">
            <v>71</v>
          </cell>
          <cell r="C9">
            <v>0</v>
          </cell>
          <cell r="D9">
            <v>0</v>
          </cell>
        </row>
        <row r="11">
          <cell r="B11">
            <v>-163</v>
          </cell>
          <cell r="C11">
            <v>-152</v>
          </cell>
          <cell r="D11">
            <v>-309</v>
          </cell>
        </row>
        <row r="12">
          <cell r="B12">
            <v>282</v>
          </cell>
          <cell r="C12">
            <v>53</v>
          </cell>
          <cell r="D12">
            <v>38</v>
          </cell>
        </row>
        <row r="13">
          <cell r="B13">
            <v>-76</v>
          </cell>
          <cell r="C13">
            <v>14</v>
          </cell>
          <cell r="D13">
            <v>-65</v>
          </cell>
        </row>
        <row r="14">
          <cell r="B14">
            <v>28</v>
          </cell>
          <cell r="C14">
            <v>43</v>
          </cell>
          <cell r="D14">
            <v>52</v>
          </cell>
        </row>
        <row r="15">
          <cell r="B15">
            <v>20</v>
          </cell>
          <cell r="C15">
            <v>130</v>
          </cell>
          <cell r="D15">
            <v>272</v>
          </cell>
        </row>
        <row r="16">
          <cell r="B16">
            <v>-14</v>
          </cell>
          <cell r="C16">
            <v>72</v>
          </cell>
          <cell r="D16">
            <v>-84</v>
          </cell>
        </row>
        <row r="17">
          <cell r="B17">
            <v>-64</v>
          </cell>
          <cell r="C17">
            <v>-37</v>
          </cell>
          <cell r="D17">
            <v>-34</v>
          </cell>
        </row>
        <row r="18">
          <cell r="B18">
            <v>137</v>
          </cell>
          <cell r="C18">
            <v>31</v>
          </cell>
          <cell r="D18">
            <v>79</v>
          </cell>
        </row>
        <row r="21">
          <cell r="B21">
            <v>-183</v>
          </cell>
          <cell r="C21">
            <v>-156</v>
          </cell>
          <cell r="D21">
            <v>-115</v>
          </cell>
        </row>
        <row r="22">
          <cell r="B22">
            <v>-53</v>
          </cell>
          <cell r="C22">
            <v>-80</v>
          </cell>
          <cell r="D22">
            <v>-46</v>
          </cell>
        </row>
        <row r="23">
          <cell r="B23">
            <v>0</v>
          </cell>
          <cell r="C23">
            <v>0</v>
          </cell>
          <cell r="D23">
            <v>61</v>
          </cell>
        </row>
        <row r="24">
          <cell r="B24" t="str">
            <v> </v>
          </cell>
          <cell r="C24">
            <v>40</v>
          </cell>
          <cell r="D24" t="str">
            <v> </v>
          </cell>
        </row>
        <row r="25">
          <cell r="B25">
            <v>-51</v>
          </cell>
          <cell r="C25" t="str">
            <v> </v>
          </cell>
          <cell r="D25">
            <v>-7</v>
          </cell>
        </row>
        <row r="26">
          <cell r="B26">
            <v>-69</v>
          </cell>
          <cell r="C26">
            <v>73</v>
          </cell>
          <cell r="D26">
            <v>65</v>
          </cell>
        </row>
        <row r="27">
          <cell r="B27">
            <v>3</v>
          </cell>
          <cell r="C27">
            <v>34</v>
          </cell>
          <cell r="D27">
            <v>9</v>
          </cell>
        </row>
        <row r="30">
          <cell r="B30">
            <v>647</v>
          </cell>
          <cell r="C30">
            <v>-304</v>
          </cell>
          <cell r="D30">
            <v>113</v>
          </cell>
        </row>
        <row r="31">
          <cell r="B31">
            <v>0</v>
          </cell>
          <cell r="C31">
            <v>152</v>
          </cell>
          <cell r="D31">
            <v>0</v>
          </cell>
        </row>
        <row r="32">
          <cell r="B32">
            <v>0</v>
          </cell>
          <cell r="C32">
            <v>-503</v>
          </cell>
          <cell r="D32">
            <v>0</v>
          </cell>
        </row>
        <row r="33">
          <cell r="B33">
            <v>6300</v>
          </cell>
          <cell r="C33">
            <v>2030</v>
          </cell>
          <cell r="D33">
            <v>0</v>
          </cell>
        </row>
        <row r="34">
          <cell r="B34">
            <v>-43</v>
          </cell>
          <cell r="C34">
            <v>-25</v>
          </cell>
          <cell r="D34">
            <v>0</v>
          </cell>
        </row>
        <row r="35">
          <cell r="B35">
            <v>-1000</v>
          </cell>
          <cell r="C35">
            <v>0</v>
          </cell>
          <cell r="D35">
            <v>-500</v>
          </cell>
        </row>
        <row r="36">
          <cell r="B36">
            <v>-260</v>
          </cell>
          <cell r="C36">
            <v>-393</v>
          </cell>
          <cell r="D36">
            <v>-465</v>
          </cell>
        </row>
        <row r="37">
          <cell r="B37">
            <v>0</v>
          </cell>
          <cell r="C37">
            <v>-725</v>
          </cell>
          <cell r="D37">
            <v>-850</v>
          </cell>
        </row>
        <row r="38">
          <cell r="B38">
            <v>-149</v>
          </cell>
          <cell r="C38">
            <v>-155</v>
          </cell>
          <cell r="D38">
            <v>-118</v>
          </cell>
        </row>
        <row r="39">
          <cell r="B39">
            <v>0</v>
          </cell>
          <cell r="C39">
            <v>0</v>
          </cell>
          <cell r="D39">
            <v>-1802</v>
          </cell>
        </row>
        <row r="40">
          <cell r="B40">
            <v>-6330</v>
          </cell>
          <cell r="C40">
            <v>0</v>
          </cell>
          <cell r="D40">
            <v>0</v>
          </cell>
        </row>
        <row r="41">
          <cell r="B41">
            <v>-9</v>
          </cell>
          <cell r="C41">
            <v>-19</v>
          </cell>
          <cell r="D41">
            <v>-30</v>
          </cell>
        </row>
        <row r="43">
          <cell r="B43">
            <v>59</v>
          </cell>
          <cell r="C43">
            <v>-43</v>
          </cell>
          <cell r="D43">
            <v>-157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FE50-093C-4EFC-975C-E299200E8165}">
  <dimension ref="A2:J126"/>
  <sheetViews>
    <sheetView showGridLines="0" tabSelected="1" workbookViewId="0">
      <selection activeCell="F65" sqref="F65:J65"/>
    </sheetView>
  </sheetViews>
  <sheetFormatPr defaultRowHeight="15.6" x14ac:dyDescent="0.3"/>
  <cols>
    <col min="1" max="1" width="2.77734375" style="2" customWidth="1"/>
    <col min="2" max="2" width="40.109375" style="2" bestFit="1" customWidth="1"/>
    <col min="3" max="5" width="12.33203125" style="2" bestFit="1" customWidth="1"/>
    <col min="6" max="6" width="11.88671875" style="2" bestFit="1" customWidth="1"/>
    <col min="7" max="9" width="11.21875" style="2" bestFit="1" customWidth="1"/>
    <col min="10" max="10" width="12.33203125" style="2" bestFit="1" customWidth="1"/>
    <col min="11" max="16384" width="8.88671875" style="2"/>
  </cols>
  <sheetData>
    <row r="2" spans="2:10" x14ac:dyDescent="0.3">
      <c r="B2" s="16" t="s">
        <v>54</v>
      </c>
      <c r="C2" s="17">
        <v>44196</v>
      </c>
      <c r="D2" s="17">
        <f>EOMONTH(C2,12)</f>
        <v>44561</v>
      </c>
      <c r="E2" s="17">
        <f>EOMONTH(D2,12)</f>
        <v>44926</v>
      </c>
      <c r="F2" s="17">
        <f>EOMONTH(E2,12)</f>
        <v>45291</v>
      </c>
      <c r="G2" s="17">
        <f t="shared" ref="G2" si="0">EOMONTH(F2,12)</f>
        <v>45657</v>
      </c>
      <c r="H2" s="17">
        <f t="shared" ref="H2" si="1">EOMONTH(G2,12)</f>
        <v>46022</v>
      </c>
      <c r="I2" s="17">
        <f t="shared" ref="I2" si="2">EOMONTH(H2,12)</f>
        <v>46387</v>
      </c>
      <c r="J2" s="17">
        <f t="shared" ref="J2" si="3">EOMONTH(I2,12)</f>
        <v>46752</v>
      </c>
    </row>
    <row r="4" spans="2:10" x14ac:dyDescent="0.3">
      <c r="B4" s="2" t="s">
        <v>55</v>
      </c>
      <c r="C4" s="13">
        <f>C54/C7</f>
        <v>31594.117647058822</v>
      </c>
      <c r="D4" s="13">
        <f>D54/D7</f>
        <v>35711.111111111109</v>
      </c>
      <c r="E4" s="13">
        <f>E54/E7</f>
        <v>30863.157894736843</v>
      </c>
      <c r="F4" s="13">
        <f>E4*(1+F5)</f>
        <v>32406.315789473687</v>
      </c>
      <c r="G4" s="13">
        <f t="shared" ref="G4:J4" si="4">F4*(1+G5)</f>
        <v>33702.568421052638</v>
      </c>
      <c r="H4" s="13">
        <f t="shared" si="4"/>
        <v>35050.671157894743</v>
      </c>
      <c r="I4" s="13">
        <f t="shared" si="4"/>
        <v>36102.191292631585</v>
      </c>
      <c r="J4" s="13">
        <f t="shared" si="4"/>
        <v>37185.257031410532</v>
      </c>
    </row>
    <row r="5" spans="2:10" x14ac:dyDescent="0.3">
      <c r="B5" s="3" t="s">
        <v>56</v>
      </c>
      <c r="D5" s="21">
        <f>D4/C4-1</f>
        <v>0.13030886034051181</v>
      </c>
      <c r="E5" s="21">
        <f>E4/D4-1</f>
        <v>-0.13575475714800367</v>
      </c>
      <c r="F5" s="22">
        <v>0.05</v>
      </c>
      <c r="G5" s="22">
        <v>0.04</v>
      </c>
      <c r="H5" s="22">
        <v>0.04</v>
      </c>
      <c r="I5" s="22">
        <v>0.03</v>
      </c>
      <c r="J5" s="22">
        <v>0.03</v>
      </c>
    </row>
    <row r="6" spans="2:10" x14ac:dyDescent="0.3">
      <c r="B6" s="3"/>
    </row>
    <row r="7" spans="2:10" x14ac:dyDescent="0.3">
      <c r="B7" s="2" t="s">
        <v>57</v>
      </c>
      <c r="C7" s="22">
        <v>0.17</v>
      </c>
      <c r="D7" s="22">
        <v>0.18</v>
      </c>
      <c r="E7" s="22">
        <v>0.19</v>
      </c>
      <c r="F7" s="22">
        <v>0.192</v>
      </c>
      <c r="G7" s="22">
        <v>0.19400000000000001</v>
      </c>
      <c r="H7" s="22">
        <v>0.19600000000000001</v>
      </c>
      <c r="I7" s="22">
        <v>0.19700000000000001</v>
      </c>
      <c r="J7" s="22">
        <v>0.19700000000000001</v>
      </c>
    </row>
    <row r="8" spans="2:10" x14ac:dyDescent="0.3">
      <c r="B8" s="3"/>
    </row>
    <row r="9" spans="2:10" x14ac:dyDescent="0.3">
      <c r="B9" s="23" t="s">
        <v>58</v>
      </c>
      <c r="C9" s="24">
        <v>2.1</v>
      </c>
      <c r="D9" s="24">
        <v>2.15</v>
      </c>
      <c r="E9" s="25">
        <v>2.2145000000000001</v>
      </c>
      <c r="F9" s="25">
        <f>E9*(1+F10)</f>
        <v>2.2809350000000004</v>
      </c>
      <c r="G9" s="25">
        <f t="shared" ref="G9:J9" si="5">F9*(1+G10)</f>
        <v>2.3493630500000005</v>
      </c>
      <c r="H9" s="25">
        <f t="shared" si="5"/>
        <v>2.4198439415000004</v>
      </c>
      <c r="I9" s="25">
        <f t="shared" si="5"/>
        <v>2.4924392597450002</v>
      </c>
      <c r="J9" s="25">
        <f t="shared" si="5"/>
        <v>2.5672124375373504</v>
      </c>
    </row>
    <row r="10" spans="2:10" x14ac:dyDescent="0.3">
      <c r="B10" s="3" t="s">
        <v>56</v>
      </c>
      <c r="D10" s="21">
        <f>D9/C9-1</f>
        <v>2.3809523809523725E-2</v>
      </c>
      <c r="E10" s="21">
        <f>E9/D9-1</f>
        <v>3.0000000000000027E-2</v>
      </c>
      <c r="F10" s="22">
        <v>0.03</v>
      </c>
      <c r="G10" s="22">
        <v>0.03</v>
      </c>
      <c r="H10" s="22">
        <v>0.03</v>
      </c>
      <c r="I10" s="22">
        <v>0.03</v>
      </c>
      <c r="J10" s="22">
        <v>0.03</v>
      </c>
    </row>
    <row r="11" spans="2:10" x14ac:dyDescent="0.3">
      <c r="B11" s="23"/>
    </row>
    <row r="12" spans="2:10" x14ac:dyDescent="0.3">
      <c r="B12" s="23" t="s">
        <v>59</v>
      </c>
      <c r="C12" s="10">
        <f>C55/C9</f>
        <v>3516.6666666666665</v>
      </c>
      <c r="D12" s="10">
        <f>D55/D9</f>
        <v>3660.4651162790701</v>
      </c>
      <c r="E12" s="10">
        <f>E55/E9</f>
        <v>3531.72273650937</v>
      </c>
      <c r="F12" s="10">
        <f>E12*(1+F13)</f>
        <v>3637.6744186046512</v>
      </c>
      <c r="G12" s="10">
        <f t="shared" ref="G12:J12" si="6">F12*(1+G13)</f>
        <v>3739.5293023255817</v>
      </c>
      <c r="H12" s="10">
        <f t="shared" si="6"/>
        <v>3844.2361227906981</v>
      </c>
      <c r="I12" s="10">
        <f t="shared" si="6"/>
        <v>3940.3420258604651</v>
      </c>
      <c r="J12" s="10">
        <f t="shared" si="6"/>
        <v>4038.8505765069763</v>
      </c>
    </row>
    <row r="13" spans="2:10" x14ac:dyDescent="0.3">
      <c r="B13" s="3" t="s">
        <v>56</v>
      </c>
      <c r="D13" s="21">
        <f>D12/C12-1</f>
        <v>4.0890554392152723E-2</v>
      </c>
      <c r="E13" s="21">
        <f>E12/D12-1</f>
        <v>-3.5171044028571186E-2</v>
      </c>
      <c r="F13" s="22">
        <v>0.03</v>
      </c>
      <c r="G13" s="22">
        <v>2.8000000000000001E-2</v>
      </c>
      <c r="H13" s="22">
        <v>2.8000000000000001E-2</v>
      </c>
      <c r="I13" s="22">
        <v>2.5000000000000001E-2</v>
      </c>
      <c r="J13" s="22">
        <v>2.5000000000000001E-2</v>
      </c>
    </row>
    <row r="14" spans="2:10" x14ac:dyDescent="0.3">
      <c r="B14" s="23"/>
    </row>
    <row r="15" spans="2:10" x14ac:dyDescent="0.3">
      <c r="B15" s="23" t="s">
        <v>60</v>
      </c>
      <c r="C15" s="21">
        <f>-C58/C54</f>
        <v>0.82647551666356356</v>
      </c>
      <c r="D15" s="21">
        <f t="shared" ref="D15:E15" si="7">-D58/D54</f>
        <v>0.82342874922215303</v>
      </c>
      <c r="E15" s="21">
        <f t="shared" si="7"/>
        <v>0.84396316507503411</v>
      </c>
      <c r="F15" s="26">
        <f>AVERAGE(C15:E15)</f>
        <v>0.83128914365358353</v>
      </c>
      <c r="G15" s="21">
        <f>F15</f>
        <v>0.83128914365358353</v>
      </c>
      <c r="H15" s="21">
        <f t="shared" ref="H15:J15" si="8">G15</f>
        <v>0.83128914365358353</v>
      </c>
      <c r="I15" s="21">
        <f t="shared" si="8"/>
        <v>0.83128914365358353</v>
      </c>
      <c r="J15" s="21">
        <f t="shared" si="8"/>
        <v>0.83128914365358353</v>
      </c>
    </row>
    <row r="16" spans="2:10" x14ac:dyDescent="0.3">
      <c r="B16" s="23" t="s">
        <v>61</v>
      </c>
      <c r="C16" s="21">
        <f>-C59/C55</f>
        <v>0.61448882870683819</v>
      </c>
      <c r="D16" s="21">
        <f t="shared" ref="D16:E16" si="9">-D59/D55</f>
        <v>0.61143583227445997</v>
      </c>
      <c r="E16" s="21">
        <f t="shared" si="9"/>
        <v>0.61577803349955251</v>
      </c>
      <c r="F16" s="26">
        <f>AVERAGE(C16:E16)</f>
        <v>0.61390089816028359</v>
      </c>
      <c r="G16" s="21">
        <f>F16</f>
        <v>0.61390089816028359</v>
      </c>
      <c r="H16" s="21">
        <f t="shared" ref="H16:J16" si="10">G16</f>
        <v>0.61390089816028359</v>
      </c>
      <c r="I16" s="21">
        <f t="shared" si="10"/>
        <v>0.61390089816028359</v>
      </c>
      <c r="J16" s="21">
        <f t="shared" si="10"/>
        <v>0.61390089816028359</v>
      </c>
    </row>
    <row r="17" spans="1:10" x14ac:dyDescent="0.3">
      <c r="B17" s="23" t="s">
        <v>62</v>
      </c>
      <c r="C17" s="21">
        <f>-C60/C56</f>
        <v>0.16274694261523989</v>
      </c>
      <c r="D17" s="21">
        <f>-D60/D56</f>
        <v>0.1473632675898727</v>
      </c>
      <c r="E17" s="21">
        <f>-E60/E56</f>
        <v>0.13978808914870297</v>
      </c>
      <c r="F17" s="26">
        <f>AVERAGE(C17:E17)</f>
        <v>0.14996609978460518</v>
      </c>
      <c r="G17" s="21">
        <f>F17</f>
        <v>0.14996609978460518</v>
      </c>
      <c r="H17" s="21">
        <f t="shared" ref="H17:J17" si="11">G17</f>
        <v>0.14996609978460518</v>
      </c>
      <c r="I17" s="21">
        <f t="shared" si="11"/>
        <v>0.14996609978460518</v>
      </c>
      <c r="J17" s="21">
        <f t="shared" si="11"/>
        <v>0.14996609978460518</v>
      </c>
    </row>
    <row r="18" spans="1:10" x14ac:dyDescent="0.3">
      <c r="B18" s="23"/>
    </row>
    <row r="19" spans="1:10" x14ac:dyDescent="0.3">
      <c r="B19" s="23" t="s">
        <v>63</v>
      </c>
      <c r="C19" s="21">
        <f>-C68/C66</f>
        <v>0.3011250827266711</v>
      </c>
      <c r="D19" s="21">
        <f t="shared" ref="D19:E19" si="12">-D68/D66</f>
        <v>0.27587965323814378</v>
      </c>
      <c r="E19" s="21">
        <f t="shared" si="12"/>
        <v>0.27489406779661019</v>
      </c>
      <c r="F19" s="26">
        <f>AVERAGE(C19:E19)</f>
        <v>0.28396626792047502</v>
      </c>
      <c r="G19" s="21">
        <f>F19</f>
        <v>0.28396626792047502</v>
      </c>
      <c r="H19" s="21">
        <f t="shared" ref="H19:J19" si="13">G19</f>
        <v>0.28396626792047502</v>
      </c>
      <c r="I19" s="21">
        <f t="shared" si="13"/>
        <v>0.28396626792047502</v>
      </c>
      <c r="J19" s="21">
        <f t="shared" si="13"/>
        <v>0.28396626792047502</v>
      </c>
    </row>
    <row r="20" spans="1:10" x14ac:dyDescent="0.3">
      <c r="B20" s="23" t="s">
        <v>64</v>
      </c>
      <c r="C20" s="21">
        <f>-C71/C70</f>
        <v>0.14204545454545456</v>
      </c>
      <c r="D20" s="21">
        <f t="shared" ref="D20:E20" si="14">-D71/D70</f>
        <v>0.12253521126760564</v>
      </c>
      <c r="E20" s="21">
        <f t="shared" si="14"/>
        <v>8.473338203067933E-2</v>
      </c>
      <c r="F20" s="26">
        <f>AVERAGE(C20:E20)</f>
        <v>0.11643801594791316</v>
      </c>
      <c r="G20" s="21">
        <f>F20</f>
        <v>0.11643801594791316</v>
      </c>
      <c r="H20" s="21">
        <f t="shared" ref="H20:J22" si="15">G20</f>
        <v>0.11643801594791316</v>
      </c>
      <c r="I20" s="21">
        <f t="shared" si="15"/>
        <v>0.11643801594791316</v>
      </c>
      <c r="J20" s="21">
        <f t="shared" si="15"/>
        <v>0.11643801594791316</v>
      </c>
    </row>
    <row r="21" spans="1:10" x14ac:dyDescent="0.3">
      <c r="B21" s="23"/>
    </row>
    <row r="22" spans="1:10" x14ac:dyDescent="0.3">
      <c r="A22" s="5"/>
      <c r="B22" s="27" t="s">
        <v>65</v>
      </c>
      <c r="C22" s="21"/>
      <c r="D22" s="21">
        <f>D78/D56</f>
        <v>0.22604560078332633</v>
      </c>
      <c r="E22" s="21">
        <f>E78/E56</f>
        <v>0.24530507855316039</v>
      </c>
      <c r="F22" s="26">
        <f>AVERAGE(C22:E22)</f>
        <v>0.23567533966824336</v>
      </c>
      <c r="G22" s="21">
        <f>F22</f>
        <v>0.23567533966824336</v>
      </c>
      <c r="H22" s="21">
        <f t="shared" si="15"/>
        <v>0.23567533966824336</v>
      </c>
      <c r="I22" s="21">
        <f t="shared" si="15"/>
        <v>0.23567533966824336</v>
      </c>
      <c r="J22" s="21">
        <f t="shared" si="15"/>
        <v>0.23567533966824336</v>
      </c>
    </row>
    <row r="23" spans="1:10" x14ac:dyDescent="0.3">
      <c r="B23" s="23" t="s">
        <v>66</v>
      </c>
      <c r="C23" s="21"/>
      <c r="D23" s="21">
        <f>-D79/SUM(D58:D59)</f>
        <v>0.15378525482434438</v>
      </c>
      <c r="E23" s="21">
        <f>-E79/SUM(E58:E59)</f>
        <v>0.16303123399897593</v>
      </c>
      <c r="F23" s="26">
        <f t="shared" ref="F23:F24" si="16">AVERAGE(C23:E23)</f>
        <v>0.15840824441166015</v>
      </c>
      <c r="G23" s="21">
        <f t="shared" ref="G23:J23" si="17">F23</f>
        <v>0.15840824441166015</v>
      </c>
      <c r="H23" s="21">
        <f t="shared" si="17"/>
        <v>0.15840824441166015</v>
      </c>
      <c r="I23" s="21">
        <f t="shared" si="17"/>
        <v>0.15840824441166015</v>
      </c>
      <c r="J23" s="21">
        <f t="shared" si="17"/>
        <v>0.15840824441166015</v>
      </c>
    </row>
    <row r="24" spans="1:10" x14ac:dyDescent="0.3">
      <c r="B24" s="23" t="s">
        <v>67</v>
      </c>
      <c r="C24" s="21"/>
      <c r="D24" s="21">
        <f>-D81/D60</f>
        <v>0.24964404366397722</v>
      </c>
      <c r="E24" s="21">
        <f>-E81/E60</f>
        <v>0.23470987976999477</v>
      </c>
      <c r="F24" s="26">
        <f t="shared" si="16"/>
        <v>0.24217696171698599</v>
      </c>
      <c r="G24" s="21">
        <f t="shared" ref="G24:J24" si="18">F24</f>
        <v>0.24217696171698599</v>
      </c>
      <c r="H24" s="21">
        <f t="shared" si="18"/>
        <v>0.24217696171698599</v>
      </c>
      <c r="I24" s="21">
        <f t="shared" si="18"/>
        <v>0.24217696171698599</v>
      </c>
      <c r="J24" s="21">
        <f t="shared" si="18"/>
        <v>0.24217696171698599</v>
      </c>
    </row>
    <row r="25" spans="1:10" x14ac:dyDescent="0.3">
      <c r="B25" s="23"/>
      <c r="C25" s="21"/>
      <c r="D25" s="21"/>
      <c r="E25" s="21"/>
      <c r="F25" s="26"/>
      <c r="G25" s="21"/>
      <c r="H25" s="21"/>
      <c r="I25" s="21"/>
      <c r="J25" s="21"/>
    </row>
    <row r="26" spans="1:10" x14ac:dyDescent="0.3">
      <c r="B26" s="23" t="s">
        <v>68</v>
      </c>
      <c r="C26" s="21"/>
      <c r="D26" s="21">
        <f>-D86/SUM(D58:D59)</f>
        <v>0.15398317664522512</v>
      </c>
      <c r="E26" s="21">
        <f>-E86/SUM(E58:E59)</f>
        <v>0.17583205325140808</v>
      </c>
      <c r="F26" s="26">
        <f t="shared" ref="F26:F29" si="19">AVERAGE(C26:E26)</f>
        <v>0.1649076149483166</v>
      </c>
      <c r="G26" s="21">
        <f t="shared" ref="G26:J26" si="20">F26</f>
        <v>0.1649076149483166</v>
      </c>
      <c r="H26" s="21">
        <f t="shared" si="20"/>
        <v>0.1649076149483166</v>
      </c>
      <c r="I26" s="21">
        <f t="shared" si="20"/>
        <v>0.1649076149483166</v>
      </c>
      <c r="J26" s="21">
        <f t="shared" si="20"/>
        <v>0.1649076149483166</v>
      </c>
    </row>
    <row r="27" spans="1:10" x14ac:dyDescent="0.3">
      <c r="B27" s="23" t="s">
        <v>69</v>
      </c>
      <c r="C27" s="21"/>
      <c r="D27" s="21">
        <f>-D87/SUM(D58:D60)</f>
        <v>0.16320013101867015</v>
      </c>
      <c r="E27" s="21">
        <f>-E87/SUM(E58:E60)</f>
        <v>0.15362219558143517</v>
      </c>
      <c r="F27" s="26">
        <f t="shared" si="19"/>
        <v>0.15841116330005267</v>
      </c>
      <c r="G27" s="21">
        <f t="shared" ref="G27:J27" si="21">F27</f>
        <v>0.15841116330005267</v>
      </c>
      <c r="H27" s="21">
        <f t="shared" si="21"/>
        <v>0.15841116330005267</v>
      </c>
      <c r="I27" s="21">
        <f t="shared" si="21"/>
        <v>0.15841116330005267</v>
      </c>
      <c r="J27" s="21">
        <f t="shared" si="21"/>
        <v>0.15841116330005267</v>
      </c>
    </row>
    <row r="28" spans="1:10" x14ac:dyDescent="0.3">
      <c r="B28" s="23" t="s">
        <v>70</v>
      </c>
      <c r="C28" s="21"/>
      <c r="D28" s="21">
        <f>-D88/SUM(D58:D60)</f>
        <v>0.21896495250573206</v>
      </c>
      <c r="E28" s="21">
        <f>-E88/SUM(E58:E60)</f>
        <v>0.22794999143688988</v>
      </c>
      <c r="F28" s="26">
        <f t="shared" si="19"/>
        <v>0.22345747197131097</v>
      </c>
      <c r="G28" s="21">
        <f t="shared" ref="G28:J28" si="22">F28</f>
        <v>0.22345747197131097</v>
      </c>
      <c r="H28" s="21">
        <f t="shared" si="22"/>
        <v>0.22345747197131097</v>
      </c>
      <c r="I28" s="21">
        <f t="shared" si="22"/>
        <v>0.22345747197131097</v>
      </c>
      <c r="J28" s="21">
        <f t="shared" si="22"/>
        <v>0.22345747197131097</v>
      </c>
    </row>
    <row r="29" spans="1:10" x14ac:dyDescent="0.3">
      <c r="B29" s="23" t="s">
        <v>71</v>
      </c>
      <c r="C29" s="21"/>
      <c r="D29" s="21">
        <f>-D91/SUM(D58:D60)</f>
        <v>0.11717982312479529</v>
      </c>
      <c r="E29" s="21">
        <f>-E91/SUM(E58:E60)</f>
        <v>0.10506936119198493</v>
      </c>
      <c r="F29" s="26">
        <f t="shared" si="19"/>
        <v>0.1111245921583901</v>
      </c>
      <c r="G29" s="21">
        <f t="shared" ref="G29:J33" si="23">F29</f>
        <v>0.1111245921583901</v>
      </c>
      <c r="H29" s="21">
        <f t="shared" si="23"/>
        <v>0.1111245921583901</v>
      </c>
      <c r="I29" s="21">
        <f t="shared" si="23"/>
        <v>0.1111245921583901</v>
      </c>
      <c r="J29" s="21">
        <f t="shared" si="23"/>
        <v>0.1111245921583901</v>
      </c>
    </row>
    <row r="30" spans="1:10" x14ac:dyDescent="0.3">
      <c r="B30" s="23"/>
    </row>
    <row r="31" spans="1:10" x14ac:dyDescent="0.3">
      <c r="B31" s="28" t="s">
        <v>72</v>
      </c>
      <c r="C31" s="21">
        <f>-C112/C56</f>
        <v>1.4346190028222013E-2</v>
      </c>
      <c r="D31" s="21">
        <f t="shared" ref="D31:E31" si="24">-D112/D56</f>
        <v>1.0910616869492237E-2</v>
      </c>
      <c r="E31" s="21">
        <f t="shared" si="24"/>
        <v>8.4033613445378148E-3</v>
      </c>
      <c r="F31" s="26">
        <f t="shared" ref="F31:F33" si="25">AVERAGE(C31:E31)</f>
        <v>1.1220056080750688E-2</v>
      </c>
      <c r="G31" s="21">
        <f t="shared" si="23"/>
        <v>1.1220056080750688E-2</v>
      </c>
      <c r="H31" s="21">
        <f t="shared" si="23"/>
        <v>1.1220056080750688E-2</v>
      </c>
      <c r="I31" s="21">
        <f t="shared" si="23"/>
        <v>1.1220056080750688E-2</v>
      </c>
      <c r="J31" s="21">
        <f t="shared" si="23"/>
        <v>1.1220056080750688E-2</v>
      </c>
    </row>
    <row r="32" spans="1:10" x14ac:dyDescent="0.3">
      <c r="B32" s="28" t="s">
        <v>73</v>
      </c>
      <c r="C32" s="21">
        <f>C106/C56</f>
        <v>1.4973345876450299E-2</v>
      </c>
      <c r="D32" s="21">
        <f t="shared" ref="D32:E32" si="26">D106/D56</f>
        <v>1.4197789900685411E-2</v>
      </c>
      <c r="E32" s="21">
        <f t="shared" si="26"/>
        <v>1.3956887102667154E-2</v>
      </c>
      <c r="F32" s="26">
        <f t="shared" si="25"/>
        <v>1.4376007626600955E-2</v>
      </c>
      <c r="G32" s="21">
        <f t="shared" si="23"/>
        <v>1.4376007626600955E-2</v>
      </c>
      <c r="H32" s="21">
        <f t="shared" si="23"/>
        <v>1.4376007626600955E-2</v>
      </c>
      <c r="I32" s="21">
        <f t="shared" si="23"/>
        <v>1.4376007626600955E-2</v>
      </c>
      <c r="J32" s="21">
        <f t="shared" si="23"/>
        <v>1.4376007626600955E-2</v>
      </c>
    </row>
    <row r="33" spans="2:10" x14ac:dyDescent="0.3">
      <c r="B33" s="28" t="s">
        <v>79</v>
      </c>
      <c r="C33" s="21">
        <f>C107/C56</f>
        <v>1.2229539040451553E-2</v>
      </c>
      <c r="D33" s="21">
        <f t="shared" ref="D33:E33" si="27">D107/D56</f>
        <v>-2.3080151070079733E-3</v>
      </c>
      <c r="E33" s="21">
        <f t="shared" si="27"/>
        <v>7.0149799050054805E-3</v>
      </c>
      <c r="F33" s="26">
        <f t="shared" si="25"/>
        <v>5.6455012794830199E-3</v>
      </c>
      <c r="G33" s="21">
        <f t="shared" si="23"/>
        <v>5.6455012794830199E-3</v>
      </c>
      <c r="H33" s="21">
        <f t="shared" si="23"/>
        <v>5.6455012794830199E-3</v>
      </c>
      <c r="I33" s="21">
        <f t="shared" si="23"/>
        <v>5.6455012794830199E-3</v>
      </c>
      <c r="J33" s="21">
        <f t="shared" si="23"/>
        <v>5.6455012794830199E-3</v>
      </c>
    </row>
    <row r="34" spans="2:10" x14ac:dyDescent="0.3">
      <c r="B34" s="28"/>
    </row>
    <row r="35" spans="2:10" x14ac:dyDescent="0.3">
      <c r="B35" s="28" t="s">
        <v>74</v>
      </c>
      <c r="C35" s="6">
        <f>C113</f>
        <v>-170</v>
      </c>
      <c r="D35" s="6">
        <f t="shared" ref="D35:E35" si="28">D113</f>
        <v>67</v>
      </c>
      <c r="E35" s="6">
        <f t="shared" si="28"/>
        <v>82</v>
      </c>
      <c r="F35" s="32">
        <v>-75</v>
      </c>
      <c r="G35" s="6">
        <v>-75</v>
      </c>
      <c r="H35" s="6">
        <v>-75</v>
      </c>
      <c r="I35" s="6">
        <v>-75</v>
      </c>
      <c r="J35" s="6">
        <v>-75</v>
      </c>
    </row>
    <row r="36" spans="2:10" x14ac:dyDescent="0.3">
      <c r="B36" s="28"/>
      <c r="C36" s="6"/>
      <c r="D36" s="6"/>
      <c r="E36" s="6"/>
      <c r="F36" s="32"/>
      <c r="G36" s="6"/>
      <c r="H36" s="6"/>
      <c r="I36" s="6"/>
      <c r="J36" s="6"/>
    </row>
    <row r="37" spans="2:10" x14ac:dyDescent="0.3">
      <c r="B37" s="23" t="s">
        <v>81</v>
      </c>
      <c r="C37" s="6"/>
      <c r="D37" s="10">
        <v>3000</v>
      </c>
      <c r="E37" s="6"/>
      <c r="F37" s="32"/>
      <c r="G37" s="6"/>
      <c r="H37" s="6"/>
      <c r="I37" s="6"/>
      <c r="J37" s="6"/>
    </row>
    <row r="38" spans="2:10" x14ac:dyDescent="0.3">
      <c r="B38" s="23" t="s">
        <v>82</v>
      </c>
      <c r="C38" s="6"/>
      <c r="D38" s="6"/>
      <c r="E38" s="10">
        <f>D77+E109+E114+E118+E120+E124-$D$37</f>
        <v>1262</v>
      </c>
      <c r="F38" s="10">
        <f t="shared" ref="F38:J38" si="29">E77+F109+F114+F118+F120+F124-$D$37</f>
        <v>-703.79107236212622</v>
      </c>
      <c r="G38" s="10">
        <f t="shared" si="29"/>
        <v>963.30044681362097</v>
      </c>
      <c r="H38" s="10">
        <f t="shared" si="29"/>
        <v>987.39529799510183</v>
      </c>
      <c r="I38" s="10">
        <f t="shared" si="29"/>
        <v>1005.696973323978</v>
      </c>
      <c r="J38" s="10">
        <f t="shared" si="29"/>
        <v>1059.7540453193424</v>
      </c>
    </row>
    <row r="39" spans="2:10" x14ac:dyDescent="0.3">
      <c r="B39" s="3" t="s">
        <v>83</v>
      </c>
      <c r="C39" s="6"/>
      <c r="D39" s="33">
        <v>0.85</v>
      </c>
      <c r="E39" s="6"/>
      <c r="F39" s="32"/>
      <c r="G39" s="6"/>
      <c r="H39" s="6"/>
      <c r="I39" s="6"/>
      <c r="J39" s="6"/>
    </row>
    <row r="40" spans="2:10" x14ac:dyDescent="0.3">
      <c r="B40" s="3" t="s">
        <v>84</v>
      </c>
      <c r="C40" s="6"/>
      <c r="D40" s="33">
        <v>0.15</v>
      </c>
      <c r="E40" s="6"/>
      <c r="F40" s="32"/>
      <c r="G40" s="6"/>
      <c r="H40" s="6"/>
      <c r="I40" s="6"/>
      <c r="J40" s="6"/>
    </row>
    <row r="41" spans="2:10" x14ac:dyDescent="0.3">
      <c r="B41" s="3"/>
      <c r="C41" s="6"/>
      <c r="D41" s="33"/>
      <c r="E41" s="6"/>
      <c r="F41" s="32"/>
      <c r="G41" s="6"/>
      <c r="H41" s="6"/>
      <c r="I41" s="6"/>
      <c r="J41" s="6"/>
    </row>
    <row r="42" spans="2:10" x14ac:dyDescent="0.3">
      <c r="B42" s="23" t="s">
        <v>86</v>
      </c>
      <c r="C42" s="6"/>
      <c r="D42" s="21">
        <f>-D65/D89</f>
        <v>1.8699298776295888E-2</v>
      </c>
      <c r="E42" s="21">
        <f>-E65/E89</f>
        <v>2.1128841607565011E-2</v>
      </c>
      <c r="F42" s="29">
        <v>2.5000000000000001E-2</v>
      </c>
      <c r="G42" s="29">
        <v>0.03</v>
      </c>
      <c r="H42" s="29">
        <v>0.03</v>
      </c>
      <c r="I42" s="29">
        <v>3.5000000000000003E-2</v>
      </c>
      <c r="J42" s="29">
        <v>3.5000000000000003E-2</v>
      </c>
    </row>
    <row r="43" spans="2:10" x14ac:dyDescent="0.3">
      <c r="B43" s="23"/>
    </row>
    <row r="44" spans="2:10" x14ac:dyDescent="0.3">
      <c r="B44" s="23" t="s">
        <v>75</v>
      </c>
      <c r="E44" s="6">
        <f>IF(E38&lt;0,-E38,-E38*$D$40)</f>
        <v>-189.29999999999998</v>
      </c>
      <c r="F44" s="6">
        <f t="shared" ref="F44:J44" si="30">IF(F38&lt;0,-F38,-F38*$D$40)</f>
        <v>703.79107236212622</v>
      </c>
      <c r="G44" s="6">
        <f t="shared" si="30"/>
        <v>-144.49506702204314</v>
      </c>
      <c r="H44" s="6">
        <f t="shared" si="30"/>
        <v>-148.10929469926526</v>
      </c>
      <c r="I44" s="6">
        <f t="shared" si="30"/>
        <v>-150.85454599859671</v>
      </c>
      <c r="J44" s="6">
        <f t="shared" si="30"/>
        <v>-158.96310679790136</v>
      </c>
    </row>
    <row r="45" spans="2:10" x14ac:dyDescent="0.3">
      <c r="B45" s="28" t="s">
        <v>76</v>
      </c>
      <c r="C45" s="21">
        <f>-C118/C72</f>
        <v>0.28697571743929362</v>
      </c>
      <c r="D45" s="21">
        <f t="shared" ref="D45:E45" si="31">-D118/D72</f>
        <v>0.31540930979133225</v>
      </c>
      <c r="E45" s="21">
        <f t="shared" si="31"/>
        <v>0.37110933758978454</v>
      </c>
      <c r="F45" s="30">
        <v>0.375</v>
      </c>
      <c r="G45" s="29">
        <v>0.38</v>
      </c>
      <c r="H45" s="29">
        <v>0.4</v>
      </c>
      <c r="I45" s="29">
        <v>0.4</v>
      </c>
      <c r="J45" s="29">
        <v>0.4</v>
      </c>
    </row>
    <row r="46" spans="2:10" x14ac:dyDescent="0.3">
      <c r="B46" s="23" t="s">
        <v>77</v>
      </c>
      <c r="E46" s="6">
        <f>IF(E44&lt;0,-E38*$D$39)</f>
        <v>-1072.7</v>
      </c>
      <c r="F46" s="6">
        <f>IF(F44&lt;0,-F38*$D$39,0)</f>
        <v>0</v>
      </c>
      <c r="G46" s="6">
        <f>IF(G44&lt;0,-G38*$D$39)</f>
        <v>-818.80537979157782</v>
      </c>
      <c r="H46" s="6">
        <f>IF(H44&lt;0,-H38*$D$39)</f>
        <v>-839.28600329583651</v>
      </c>
      <c r="I46" s="6">
        <f>IF(I44&lt;0,-I38*$D$39)</f>
        <v>-854.84242732538132</v>
      </c>
      <c r="J46" s="6">
        <f>IF(J44&lt;0,-J38*$D$39)</f>
        <v>-900.79093852144103</v>
      </c>
    </row>
    <row r="47" spans="2:10" x14ac:dyDescent="0.3">
      <c r="B47" s="28" t="s">
        <v>80</v>
      </c>
      <c r="C47" s="21">
        <f>-C120/C105</f>
        <v>0.99333333333333329</v>
      </c>
      <c r="D47" s="21">
        <f t="shared" ref="D47:E47" si="32">-D120/D105</f>
        <v>0.89080459770114939</v>
      </c>
      <c r="E47" s="21">
        <f t="shared" si="32"/>
        <v>1.0172413793103448</v>
      </c>
      <c r="F47" s="26">
        <f t="shared" ref="F47" si="33">AVERAGE(C47:E47)</f>
        <v>0.96712643678160914</v>
      </c>
      <c r="G47" s="21">
        <f t="shared" ref="G47:J47" si="34">F47</f>
        <v>0.96712643678160914</v>
      </c>
      <c r="H47" s="21">
        <f t="shared" si="34"/>
        <v>0.96712643678160914</v>
      </c>
      <c r="I47" s="21">
        <f t="shared" si="34"/>
        <v>0.96712643678160914</v>
      </c>
      <c r="J47" s="21">
        <f t="shared" si="34"/>
        <v>0.96712643678160914</v>
      </c>
    </row>
    <row r="49" spans="2:10" x14ac:dyDescent="0.3">
      <c r="B49" s="23" t="s">
        <v>85</v>
      </c>
      <c r="D49" s="21">
        <f>-D121/D117</f>
        <v>3.2000000000000001E-2</v>
      </c>
      <c r="E49" s="29">
        <v>0.02</v>
      </c>
      <c r="F49" s="29">
        <v>0.02</v>
      </c>
      <c r="G49" s="29">
        <v>0.02</v>
      </c>
      <c r="H49" s="29">
        <v>0.02</v>
      </c>
      <c r="I49" s="29">
        <v>0.02</v>
      </c>
      <c r="J49" s="29">
        <v>0.02</v>
      </c>
    </row>
    <row r="50" spans="2:10" x14ac:dyDescent="0.3">
      <c r="B50" s="28" t="s">
        <v>78</v>
      </c>
      <c r="C50" s="21">
        <f>C124/C56</f>
        <v>4.6252743806835996E-3</v>
      </c>
      <c r="D50" s="21">
        <f t="shared" ref="D50:E50" si="35">D124/D56</f>
        <v>-3.0074136242831165E-3</v>
      </c>
      <c r="E50" s="21">
        <f t="shared" si="35"/>
        <v>-1.1472415052977712E-2</v>
      </c>
      <c r="F50" s="26">
        <f t="shared" ref="F50" si="36">AVERAGE(C50:E50)</f>
        <v>-3.28485143219241E-3</v>
      </c>
      <c r="G50" s="21">
        <f t="shared" ref="G50:J50" si="37">F50</f>
        <v>-3.28485143219241E-3</v>
      </c>
      <c r="H50" s="21">
        <f t="shared" si="37"/>
        <v>-3.28485143219241E-3</v>
      </c>
      <c r="I50" s="21">
        <f t="shared" si="37"/>
        <v>-3.28485143219241E-3</v>
      </c>
      <c r="J50" s="21">
        <f t="shared" si="37"/>
        <v>-3.28485143219241E-3</v>
      </c>
    </row>
    <row r="52" spans="2:10" x14ac:dyDescent="0.3">
      <c r="B52" s="16" t="s">
        <v>0</v>
      </c>
      <c r="C52" s="17">
        <v>44196</v>
      </c>
      <c r="D52" s="17">
        <f>EOMONTH(C52,12)</f>
        <v>44561</v>
      </c>
      <c r="E52" s="17">
        <f>EOMONTH(D52,12)</f>
        <v>44926</v>
      </c>
      <c r="F52" s="17">
        <f>EOMONTH(E52,12)</f>
        <v>45291</v>
      </c>
      <c r="G52" s="17">
        <f t="shared" ref="G52:J52" si="38">EOMONTH(F52,12)</f>
        <v>45657</v>
      </c>
      <c r="H52" s="17">
        <f t="shared" si="38"/>
        <v>46022</v>
      </c>
      <c r="I52" s="17">
        <f t="shared" si="38"/>
        <v>46387</v>
      </c>
      <c r="J52" s="17">
        <f t="shared" si="38"/>
        <v>46752</v>
      </c>
    </row>
    <row r="54" spans="2:10" x14ac:dyDescent="0.3">
      <c r="B54" s="3" t="s">
        <v>1</v>
      </c>
      <c r="C54" s="10">
        <f>'[1]Consolidated Statements of Oper'!B27</f>
        <v>5371</v>
      </c>
      <c r="D54" s="10">
        <f>'[1]Consolidated Statements of Oper'!C27</f>
        <v>6428</v>
      </c>
      <c r="E54" s="10">
        <f>'[1]Consolidated Statements of Oper'!D27</f>
        <v>5864</v>
      </c>
      <c r="F54" s="10">
        <f>F4*F7</f>
        <v>6222.0126315789485</v>
      </c>
      <c r="G54" s="10">
        <f>G4*G7</f>
        <v>6538.2982736842123</v>
      </c>
      <c r="H54" s="10">
        <f>H4*H7</f>
        <v>6869.9315469473704</v>
      </c>
      <c r="I54" s="10">
        <f>I4*I7</f>
        <v>7112.1316846484224</v>
      </c>
      <c r="J54" s="10">
        <f>J4*J7</f>
        <v>7325.4956351878755</v>
      </c>
    </row>
    <row r="55" spans="2:10" x14ac:dyDescent="0.3">
      <c r="B55" s="3" t="s">
        <v>2</v>
      </c>
      <c r="C55" s="6">
        <f>'[1]Consolidated Statements of Oper'!B33</f>
        <v>7385</v>
      </c>
      <c r="D55" s="6">
        <f>'[1]Consolidated Statements of Oper'!C33</f>
        <v>7870</v>
      </c>
      <c r="E55" s="6">
        <f>'[1]Consolidated Statements of Oper'!D33</f>
        <v>7821</v>
      </c>
      <c r="F55" s="6">
        <f>F9*F12</f>
        <v>8297.2989000000016</v>
      </c>
      <c r="G55" s="6">
        <f>G9*G12</f>
        <v>8785.5119672760029</v>
      </c>
      <c r="H55" s="6">
        <f>H9*H12</f>
        <v>9302.4514914305219</v>
      </c>
      <c r="I55" s="6">
        <f>I9*I12</f>
        <v>9821.0631620777731</v>
      </c>
      <c r="J55" s="6">
        <f>J9*J12</f>
        <v>10368.587433363607</v>
      </c>
    </row>
    <row r="56" spans="2:10" x14ac:dyDescent="0.3">
      <c r="B56" s="4" t="s">
        <v>3</v>
      </c>
      <c r="C56" s="7">
        <f>SUM(C54:C55)</f>
        <v>12756</v>
      </c>
      <c r="D56" s="7">
        <f t="shared" ref="D56:J56" si="39">SUM(D54:D55)</f>
        <v>14298</v>
      </c>
      <c r="E56" s="7">
        <f t="shared" si="39"/>
        <v>13685</v>
      </c>
      <c r="F56" s="7">
        <f t="shared" si="39"/>
        <v>14519.311531578951</v>
      </c>
      <c r="G56" s="7">
        <f t="shared" si="39"/>
        <v>15323.810240960214</v>
      </c>
      <c r="H56" s="7">
        <f t="shared" si="39"/>
        <v>16172.383038377891</v>
      </c>
      <c r="I56" s="7">
        <f t="shared" si="39"/>
        <v>16933.194846726197</v>
      </c>
      <c r="J56" s="7">
        <f t="shared" si="39"/>
        <v>17694.083068551481</v>
      </c>
    </row>
    <row r="58" spans="2:10" x14ac:dyDescent="0.3">
      <c r="B58" s="3" t="s">
        <v>4</v>
      </c>
      <c r="C58" s="6">
        <f>-'[1]Consolidated Statements of Oper'!B29</f>
        <v>-4439</v>
      </c>
      <c r="D58" s="6">
        <f>-'[1]Consolidated Statements of Oper'!C29</f>
        <v>-5293</v>
      </c>
      <c r="E58" s="6">
        <f>-'[1]Consolidated Statements of Oper'!D29</f>
        <v>-4949</v>
      </c>
      <c r="F58" s="8">
        <f>-F54*F15</f>
        <v>-5172.2915523070442</v>
      </c>
      <c r="G58" s="8">
        <f>-G54*G15</f>
        <v>-5435.2163728826526</v>
      </c>
      <c r="H58" s="8">
        <f>-H54*H15</f>
        <v>-5710.8995126206182</v>
      </c>
      <c r="I58" s="8">
        <f>-I54*I15</f>
        <v>-5912.2378576829051</v>
      </c>
      <c r="J58" s="8">
        <f>-J54*J15</f>
        <v>-6089.6049934133925</v>
      </c>
    </row>
    <row r="59" spans="2:10" x14ac:dyDescent="0.3">
      <c r="B59" s="3" t="s">
        <v>5</v>
      </c>
      <c r="C59" s="8">
        <f>-'[1]Consolidated Statements of Oper'!B35</f>
        <v>-4538</v>
      </c>
      <c r="D59" s="8">
        <f>-'[1]Consolidated Statements of Oper'!C35</f>
        <v>-4812</v>
      </c>
      <c r="E59" s="8">
        <f>-'[1]Consolidated Statements of Oper'!D35</f>
        <v>-4816</v>
      </c>
      <c r="F59" s="8">
        <f>-F55*F16</f>
        <v>-5093.7192470143336</v>
      </c>
      <c r="G59" s="8">
        <f>-G55*G16</f>
        <v>-5393.4336875086583</v>
      </c>
      <c r="H59" s="8">
        <f>-H55*H16</f>
        <v>-5710.7833256816666</v>
      </c>
      <c r="I59" s="8">
        <f>-I55*I16</f>
        <v>-6029.1594960884195</v>
      </c>
      <c r="J59" s="8">
        <f>-J55*J16</f>
        <v>-6365.2851379953481</v>
      </c>
    </row>
    <row r="60" spans="2:10" x14ac:dyDescent="0.3">
      <c r="B60" s="3" t="s">
        <v>6</v>
      </c>
      <c r="C60" s="6">
        <f>-SUM('[1]Consolidated Statements of Oper'!B6:B7)</f>
        <v>-2076</v>
      </c>
      <c r="D60" s="6">
        <f>-SUM('[1]Consolidated Statements of Oper'!C6:C7)</f>
        <v>-2107</v>
      </c>
      <c r="E60" s="6">
        <f>-SUM('[1]Consolidated Statements of Oper'!D6:D7)</f>
        <v>-1913</v>
      </c>
      <c r="F60" s="8">
        <f>-F56*F17</f>
        <v>-2177.4045219485374</v>
      </c>
      <c r="G60" s="8">
        <f>-G56*G17</f>
        <v>-2298.0520556761944</v>
      </c>
      <c r="H60" s="8">
        <f>-H56*H17</f>
        <v>-2425.3092084882351</v>
      </c>
      <c r="I60" s="8">
        <f>-I56*I17</f>
        <v>-2539.4051880563029</v>
      </c>
      <c r="J60" s="8">
        <f>-J56*J17</f>
        <v>-2653.5126270554842</v>
      </c>
    </row>
    <row r="61" spans="2:10" x14ac:dyDescent="0.3">
      <c r="B61" s="4" t="s">
        <v>7</v>
      </c>
      <c r="C61" s="7">
        <f>SUM(C56,C58:C60)</f>
        <v>1703</v>
      </c>
      <c r="D61" s="7">
        <f t="shared" ref="D61:F61" si="40">SUM(D56,D58:D60)</f>
        <v>2086</v>
      </c>
      <c r="E61" s="7">
        <f t="shared" si="40"/>
        <v>2007</v>
      </c>
      <c r="F61" s="7">
        <f t="shared" si="40"/>
        <v>2075.8962103090357</v>
      </c>
      <c r="G61" s="7">
        <f t="shared" ref="G61:J61" si="41">SUM(G56,G58:G60)</f>
        <v>2197.1081248927089</v>
      </c>
      <c r="H61" s="7">
        <f t="shared" si="41"/>
        <v>2325.3909915873724</v>
      </c>
      <c r="I61" s="7">
        <f t="shared" si="41"/>
        <v>2452.3923048985698</v>
      </c>
      <c r="J61" s="7">
        <f t="shared" si="41"/>
        <v>2585.6803100872571</v>
      </c>
    </row>
    <row r="63" spans="2:10" x14ac:dyDescent="0.3">
      <c r="B63" s="3" t="s">
        <v>8</v>
      </c>
      <c r="C63" s="6">
        <f>'[1]Consolidated Statements of Oper'!B9</f>
        <v>-64</v>
      </c>
      <c r="D63" s="6">
        <f>'[1]Consolidated Statements of Oper'!C9</f>
        <v>22</v>
      </c>
      <c r="E63" s="6">
        <f>'[1]Consolidated Statements of Oper'!D9</f>
        <v>26</v>
      </c>
      <c r="F63" s="6">
        <f>E63</f>
        <v>26</v>
      </c>
      <c r="G63" s="6">
        <f t="shared" ref="G63:J63" si="42">F63</f>
        <v>26</v>
      </c>
      <c r="H63" s="6">
        <f t="shared" si="42"/>
        <v>26</v>
      </c>
      <c r="I63" s="6">
        <f t="shared" si="42"/>
        <v>26</v>
      </c>
      <c r="J63" s="6">
        <f t="shared" si="42"/>
        <v>26</v>
      </c>
    </row>
    <row r="64" spans="2:10" x14ac:dyDescent="0.3">
      <c r="B64" s="3" t="s">
        <v>9</v>
      </c>
      <c r="C64" s="6">
        <f>-'[1]Consolidated Statements of Oper'!B11</f>
        <v>-6</v>
      </c>
      <c r="D64" s="6">
        <f>-'[1]Consolidated Statements of Oper'!C11</f>
        <v>-11</v>
      </c>
      <c r="E64" s="6">
        <f>-'[1]Consolidated Statements of Oper'!D11</f>
        <v>-2</v>
      </c>
      <c r="F64" s="6">
        <f>E64</f>
        <v>-2</v>
      </c>
      <c r="G64" s="6">
        <f t="shared" ref="G64:J64" si="43">F64</f>
        <v>-2</v>
      </c>
      <c r="H64" s="6">
        <f t="shared" si="43"/>
        <v>-2</v>
      </c>
      <c r="I64" s="6">
        <f t="shared" si="43"/>
        <v>-2</v>
      </c>
      <c r="J64" s="6">
        <f t="shared" si="43"/>
        <v>-2</v>
      </c>
    </row>
    <row r="65" spans="2:10" x14ac:dyDescent="0.3">
      <c r="B65" s="3" t="s">
        <v>10</v>
      </c>
      <c r="C65" s="6">
        <f>-'[1]Consolidated Statements of Oper'!B12</f>
        <v>-122</v>
      </c>
      <c r="D65" s="6">
        <f>-'[1]Consolidated Statements of Oper'!C12</f>
        <v>-136</v>
      </c>
      <c r="E65" s="6">
        <f>-'[1]Consolidated Statements of Oper'!D12</f>
        <v>-143</v>
      </c>
      <c r="F65" s="6">
        <f>-F42*E89</f>
        <v>-169.20000000000002</v>
      </c>
      <c r="G65" s="6">
        <f t="shared" ref="G65:J65" si="44">-G42*F89</f>
        <v>-224.15373217086378</v>
      </c>
      <c r="H65" s="6">
        <f t="shared" si="44"/>
        <v>-219.81888016020247</v>
      </c>
      <c r="I65" s="6">
        <f t="shared" si="44"/>
        <v>-251.27153487242865</v>
      </c>
      <c r="J65" s="6">
        <f t="shared" si="44"/>
        <v>-245.99162576247775</v>
      </c>
    </row>
    <row r="66" spans="2:10" x14ac:dyDescent="0.3">
      <c r="B66" s="4" t="s">
        <v>11</v>
      </c>
      <c r="C66" s="7">
        <f>SUM(C61,C63:C65)</f>
        <v>1511</v>
      </c>
      <c r="D66" s="7">
        <f t="shared" ref="D66:F66" si="45">SUM(D61,D63:D65)</f>
        <v>1961</v>
      </c>
      <c r="E66" s="7">
        <f t="shared" si="45"/>
        <v>1888</v>
      </c>
      <c r="F66" s="7">
        <f t="shared" si="45"/>
        <v>1930.6962103090357</v>
      </c>
      <c r="G66" s="7">
        <f t="shared" ref="G66:J66" si="46">SUM(G61,G63:G65)</f>
        <v>1996.9543927218451</v>
      </c>
      <c r="H66" s="7">
        <f t="shared" si="46"/>
        <v>2129.5721114271701</v>
      </c>
      <c r="I66" s="7">
        <f t="shared" si="46"/>
        <v>2225.1207700261411</v>
      </c>
      <c r="J66" s="7">
        <f t="shared" si="46"/>
        <v>2363.6886843247794</v>
      </c>
    </row>
    <row r="68" spans="2:10" x14ac:dyDescent="0.3">
      <c r="B68" s="2" t="s">
        <v>12</v>
      </c>
      <c r="C68" s="6">
        <f>-'[1]Consolidated Statements of Oper'!B14</f>
        <v>-455</v>
      </c>
      <c r="D68" s="6">
        <f>-'[1]Consolidated Statements of Oper'!C14</f>
        <v>-541</v>
      </c>
      <c r="E68" s="6">
        <f>-'[1]Consolidated Statements of Oper'!D14</f>
        <v>-519</v>
      </c>
      <c r="F68" s="6">
        <f>-F66*F19</f>
        <v>-548.2525973296614</v>
      </c>
      <c r="G68" s="6">
        <f>-G66*G19</f>
        <v>-567.06768610862093</v>
      </c>
      <c r="H68" s="6">
        <f>-H66*H19</f>
        <v>-604.72664474949943</v>
      </c>
      <c r="I68" s="6">
        <f>-I66*I19</f>
        <v>-631.85924073665694</v>
      </c>
      <c r="J68" s="6">
        <f>-J66*J19</f>
        <v>-671.20785421356538</v>
      </c>
    </row>
    <row r="70" spans="2:10" x14ac:dyDescent="0.3">
      <c r="B70" s="1" t="s">
        <v>13</v>
      </c>
      <c r="C70" s="9">
        <f>SUM(C66,C68)</f>
        <v>1056</v>
      </c>
      <c r="D70" s="9">
        <f t="shared" ref="D70:F70" si="47">SUM(D66,D68)</f>
        <v>1420</v>
      </c>
      <c r="E70" s="9">
        <f t="shared" si="47"/>
        <v>1369</v>
      </c>
      <c r="F70" s="9">
        <f t="shared" si="47"/>
        <v>1382.4436129793744</v>
      </c>
      <c r="G70" s="9">
        <f t="shared" ref="G70:J70" si="48">SUM(G66,G68)</f>
        <v>1429.8867066132243</v>
      </c>
      <c r="H70" s="9">
        <f t="shared" si="48"/>
        <v>1524.8454666776706</v>
      </c>
      <c r="I70" s="9">
        <f t="shared" si="48"/>
        <v>1593.2615292894843</v>
      </c>
      <c r="J70" s="9">
        <f t="shared" si="48"/>
        <v>1692.4808301112139</v>
      </c>
    </row>
    <row r="71" spans="2:10" x14ac:dyDescent="0.3">
      <c r="B71" s="2" t="s">
        <v>14</v>
      </c>
      <c r="C71" s="6">
        <f>-'[1]Consolidated Statements of Oper'!B16</f>
        <v>-150</v>
      </c>
      <c r="D71" s="6">
        <f>-'[1]Consolidated Statements of Oper'!C16</f>
        <v>-174</v>
      </c>
      <c r="E71" s="6">
        <f>-'[1]Consolidated Statements of Oper'!D16</f>
        <v>-116</v>
      </c>
      <c r="F71" s="6">
        <f>-F70*F20</f>
        <v>-160.96899145518307</v>
      </c>
      <c r="G71" s="6">
        <f>-G70*G20</f>
        <v>-166.49317114833963</v>
      </c>
      <c r="H71" s="6">
        <f>-H70*H20</f>
        <v>-177.54998076711769</v>
      </c>
      <c r="I71" s="6">
        <f>-I70*I20</f>
        <v>-185.51621135660548</v>
      </c>
      <c r="J71" s="6">
        <f>-J70*J20</f>
        <v>-197.06910988802682</v>
      </c>
    </row>
    <row r="72" spans="2:10" x14ac:dyDescent="0.3">
      <c r="B72" s="4" t="s">
        <v>15</v>
      </c>
      <c r="C72" s="11">
        <f>SUM(C70,C71)</f>
        <v>906</v>
      </c>
      <c r="D72" s="11">
        <f t="shared" ref="D72:F72" si="49">SUM(D70,D71)</f>
        <v>1246</v>
      </c>
      <c r="E72" s="11">
        <f t="shared" si="49"/>
        <v>1253</v>
      </c>
      <c r="F72" s="11">
        <f t="shared" si="49"/>
        <v>1221.4746215241912</v>
      </c>
      <c r="G72" s="11">
        <f t="shared" ref="G72:J72" si="50">SUM(G70,G71)</f>
        <v>1263.3935354648847</v>
      </c>
      <c r="H72" s="11">
        <f t="shared" si="50"/>
        <v>1347.295485910553</v>
      </c>
      <c r="I72" s="11">
        <f t="shared" si="50"/>
        <v>1407.7453179328788</v>
      </c>
      <c r="J72" s="11">
        <f t="shared" si="50"/>
        <v>1495.4117202231871</v>
      </c>
    </row>
    <row r="74" spans="2:10" x14ac:dyDescent="0.3">
      <c r="B74" s="16" t="s">
        <v>0</v>
      </c>
      <c r="C74" s="17">
        <v>44196</v>
      </c>
      <c r="D74" s="17">
        <f>EOMONTH(C74,12)</f>
        <v>44561</v>
      </c>
      <c r="E74" s="17">
        <f>EOMONTH(D74,12)</f>
        <v>44926</v>
      </c>
      <c r="F74" s="17">
        <f>EOMONTH(E74,12)</f>
        <v>45291</v>
      </c>
      <c r="G74" s="17">
        <f t="shared" ref="G74:J74" si="51">EOMONTH(F74,12)</f>
        <v>45657</v>
      </c>
      <c r="H74" s="17">
        <f t="shared" si="51"/>
        <v>46022</v>
      </c>
      <c r="I74" s="17">
        <f t="shared" si="51"/>
        <v>46387</v>
      </c>
      <c r="J74" s="17">
        <f t="shared" si="51"/>
        <v>46752</v>
      </c>
    </row>
    <row r="76" spans="2:10" x14ac:dyDescent="0.3">
      <c r="B76" s="1" t="s">
        <v>16</v>
      </c>
    </row>
    <row r="77" spans="2:10" x14ac:dyDescent="0.3">
      <c r="B77" s="3" t="s">
        <v>17</v>
      </c>
      <c r="D77" s="10">
        <f>SUM('[1]Consolidated Balance Sheet'!B3:B4)</f>
        <v>3475</v>
      </c>
      <c r="E77" s="10">
        <f>SUM('[1]Consolidated Balance Sheet'!C3:C4)</f>
        <v>1194</v>
      </c>
      <c r="F77" s="10">
        <f>E77+F126</f>
        <v>3014.0758214472417</v>
      </c>
      <c r="G77" s="10">
        <f t="shared" ref="G77:J77" si="52">F77+G126</f>
        <v>3000</v>
      </c>
      <c r="H77" s="10">
        <f t="shared" si="52"/>
        <v>3000</v>
      </c>
      <c r="I77" s="10">
        <f t="shared" si="52"/>
        <v>2999.9999999999995</v>
      </c>
      <c r="J77" s="10">
        <f t="shared" si="52"/>
        <v>3000.0000000000005</v>
      </c>
    </row>
    <row r="78" spans="2:10" x14ac:dyDescent="0.3">
      <c r="B78" s="3" t="s">
        <v>18</v>
      </c>
      <c r="D78" s="12">
        <f>'[1]Consolidated Balance Sheet'!B5</f>
        <v>3232</v>
      </c>
      <c r="E78" s="12">
        <f>'[1]Consolidated Balance Sheet'!C5</f>
        <v>3357</v>
      </c>
      <c r="F78" s="12">
        <f>F56*F22</f>
        <v>3421.8436769539121</v>
      </c>
      <c r="G78" s="12">
        <f>G56*G22</f>
        <v>3611.4441835500047</v>
      </c>
      <c r="H78" s="12">
        <f>H56*H22</f>
        <v>3811.4318658146472</v>
      </c>
      <c r="I78" s="12">
        <f>I56*I22</f>
        <v>3990.7364471707447</v>
      </c>
      <c r="J78" s="12">
        <f>J56*J22</f>
        <v>4170.0590372989836</v>
      </c>
    </row>
    <row r="79" spans="2:10" x14ac:dyDescent="0.3">
      <c r="B79" s="3" t="s">
        <v>19</v>
      </c>
      <c r="D79" s="12">
        <f>SUM('[1]Consolidated Balance Sheet'!B6:B8)</f>
        <v>1554</v>
      </c>
      <c r="E79" s="12">
        <f>SUM('[1]Consolidated Balance Sheet'!C6:C8)</f>
        <v>1592</v>
      </c>
      <c r="F79" s="12">
        <f>-SUM(F58:F59)*F23</f>
        <v>1626.2207478316436</v>
      </c>
      <c r="G79" s="12">
        <f>-SUM(G58:G59)*G23</f>
        <v>1715.3474454148054</v>
      </c>
      <c r="H79" s="12">
        <f>-SUM(H58:H59)*H23</f>
        <v>1809.2887266422524</v>
      </c>
      <c r="I79" s="12">
        <f>-SUM(I58:I59)*I23</f>
        <v>1891.6157906329597</v>
      </c>
      <c r="J79" s="12">
        <f>-SUM(J58:J59)*J23</f>
        <v>1972.95728005657</v>
      </c>
    </row>
    <row r="80" spans="2:10" x14ac:dyDescent="0.3">
      <c r="B80" s="3" t="s">
        <v>20</v>
      </c>
      <c r="D80" s="12">
        <f>'[1]Consolidated Balance Sheet'!B11+'[1]Consolidated Balance Sheet'!B13+'[1]Consolidated Balance Sheet'!B14</f>
        <v>2860</v>
      </c>
      <c r="E80" s="12">
        <f>'[1]Consolidated Balance Sheet'!C11+'[1]Consolidated Balance Sheet'!C13+'[1]Consolidated Balance Sheet'!C14</f>
        <v>2655</v>
      </c>
      <c r="F80" s="12">
        <f>E80-F112-F106</f>
        <v>2609.1777563272317</v>
      </c>
      <c r="G80" s="12">
        <f t="shared" ref="G80:J80" si="53">F80-G112-G106</f>
        <v>2560.8165537089571</v>
      </c>
      <c r="H80" s="12">
        <f t="shared" si="53"/>
        <v>2509.7772964589058</v>
      </c>
      <c r="I80" s="12">
        <f t="shared" si="53"/>
        <v>2456.3369540061963</v>
      </c>
      <c r="J80" s="12">
        <f t="shared" si="53"/>
        <v>2400.4952851935982</v>
      </c>
    </row>
    <row r="81" spans="2:10" x14ac:dyDescent="0.3">
      <c r="B81" s="3" t="s">
        <v>21</v>
      </c>
      <c r="D81" s="12">
        <f>'[1]Consolidated Balance Sheet'!B12</f>
        <v>526</v>
      </c>
      <c r="E81" s="12">
        <f>'[1]Consolidated Balance Sheet'!C12</f>
        <v>449</v>
      </c>
      <c r="F81" s="12">
        <f>-F60*F24</f>
        <v>527.31721155432319</v>
      </c>
      <c r="G81" s="12">
        <f>-G60*G24</f>
        <v>556.53526471113469</v>
      </c>
      <c r="H81" s="12">
        <f>-H60*H24</f>
        <v>587.35401533590891</v>
      </c>
      <c r="I81" s="12">
        <f>-I60*I24</f>
        <v>614.9854330118269</v>
      </c>
      <c r="J81" s="12">
        <f>-J60*J24</f>
        <v>642.61962589795496</v>
      </c>
    </row>
    <row r="82" spans="2:10" x14ac:dyDescent="0.3">
      <c r="B82" s="3" t="s">
        <v>22</v>
      </c>
      <c r="D82" s="12">
        <f>'[1]Consolidated Balance Sheet'!B15+'[1]Consolidated Balance Sheet'!B10</f>
        <v>632</v>
      </c>
      <c r="E82" s="12">
        <f>'[1]Consolidated Balance Sheet'!C15+'[1]Consolidated Balance Sheet'!C10</f>
        <v>572</v>
      </c>
      <c r="F82" s="12">
        <f>E82-F113-F107</f>
        <v>565.03120817125841</v>
      </c>
      <c r="G82" s="12">
        <f t="shared" ref="G82:J82" si="54">F82-G113-G107</f>
        <v>553.52061784936257</v>
      </c>
      <c r="H82" s="12">
        <f t="shared" si="54"/>
        <v>537.21940871391075</v>
      </c>
      <c r="I82" s="12">
        <f t="shared" si="54"/>
        <v>516.62303554098276</v>
      </c>
      <c r="J82" s="12">
        <f t="shared" si="54"/>
        <v>491.73106693819653</v>
      </c>
    </row>
    <row r="83" spans="2:10" x14ac:dyDescent="0.3">
      <c r="B83" s="4" t="s">
        <v>23</v>
      </c>
      <c r="C83" s="5"/>
      <c r="D83" s="11">
        <f>SUM(D77:D82)</f>
        <v>12279</v>
      </c>
      <c r="E83" s="11">
        <f>SUM(E77:E82)</f>
        <v>9819</v>
      </c>
      <c r="F83" s="11">
        <f>SUM(F77:F82)</f>
        <v>11763.666422285611</v>
      </c>
      <c r="G83" s="11">
        <f t="shared" ref="G83:J83" si="55">SUM(G77:G82)</f>
        <v>11997.664065234263</v>
      </c>
      <c r="H83" s="11">
        <f t="shared" si="55"/>
        <v>12255.071312965625</v>
      </c>
      <c r="I83" s="11">
        <f t="shared" si="55"/>
        <v>12470.297660362708</v>
      </c>
      <c r="J83" s="11">
        <f t="shared" si="55"/>
        <v>12677.862295385303</v>
      </c>
    </row>
    <row r="85" spans="2:10" x14ac:dyDescent="0.3">
      <c r="B85" s="1" t="s">
        <v>24</v>
      </c>
    </row>
    <row r="86" spans="2:10" x14ac:dyDescent="0.3">
      <c r="B86" s="3" t="s">
        <v>25</v>
      </c>
      <c r="D86" s="10">
        <f>'[1]Consolidated Balance Sheet'!B19</f>
        <v>1556</v>
      </c>
      <c r="E86" s="10">
        <f>'[1]Consolidated Balance Sheet'!C19</f>
        <v>1717</v>
      </c>
      <c r="F86" s="10">
        <f>-SUM(F58:F59)*F26</f>
        <v>1692.9433559497497</v>
      </c>
      <c r="G86" s="10">
        <f>-SUM(G58:G59)*G26</f>
        <v>1785.7268545690758</v>
      </c>
      <c r="H86" s="10">
        <f>-SUM(H58:H59)*H26</f>
        <v>1883.5224755605489</v>
      </c>
      <c r="I86" s="10">
        <f>-SUM(I58:I59)*I26</f>
        <v>1969.2273567605685</v>
      </c>
      <c r="J86" s="10">
        <f>-SUM(J58:J59)*J26</f>
        <v>2053.9062260139413</v>
      </c>
    </row>
    <row r="87" spans="2:10" x14ac:dyDescent="0.3">
      <c r="B87" s="3" t="s">
        <v>26</v>
      </c>
      <c r="D87" s="6">
        <f>'[1]Consolidated Balance Sheet'!B20</f>
        <v>1993</v>
      </c>
      <c r="E87" s="6">
        <f>'[1]Consolidated Balance Sheet'!C20</f>
        <v>1794</v>
      </c>
      <c r="F87" s="6">
        <f>-SUM(F58:F60)*F27</f>
        <v>1971.1758964680662</v>
      </c>
      <c r="G87" s="6">
        <f>-SUM(G58:G60)*G27</f>
        <v>2079.4161524995166</v>
      </c>
      <c r="H87" s="6">
        <f>-SUM(H58:H60)*H27</f>
        <v>2193.5181183386635</v>
      </c>
      <c r="I87" s="6">
        <f>-SUM(I58:I60)*I27</f>
        <v>2293.9207761692737</v>
      </c>
      <c r="J87" s="6">
        <f>-SUM(J58:J60)*J27</f>
        <v>2393.3396565740427</v>
      </c>
    </row>
    <row r="88" spans="2:10" x14ac:dyDescent="0.3">
      <c r="B88" s="3" t="s">
        <v>27</v>
      </c>
      <c r="D88" s="6">
        <f>'[1]Consolidated Balance Sheet'!B21</f>
        <v>2674</v>
      </c>
      <c r="E88" s="6">
        <f>'[1]Consolidated Balance Sheet'!C21</f>
        <v>2662</v>
      </c>
      <c r="F88" s="6">
        <f>-SUM(F58:F60)*F28</f>
        <v>2780.5741303800537</v>
      </c>
      <c r="G88" s="6">
        <f>-SUM(G58:G60)*G28</f>
        <v>2933.2596701769035</v>
      </c>
      <c r="H88" s="6">
        <f>-SUM(H58:H60)*H28</f>
        <v>3094.2138371826582</v>
      </c>
      <c r="I88" s="6">
        <f>-SUM(I58:I60)*I28</f>
        <v>3235.8435281125353</v>
      </c>
      <c r="J88" s="6">
        <f>-SUM(J58:J60)*J28</f>
        <v>3376.0854859307969</v>
      </c>
    </row>
    <row r="89" spans="2:10" x14ac:dyDescent="0.3">
      <c r="B89" s="3" t="s">
        <v>29</v>
      </c>
      <c r="D89" s="6">
        <f>'[1]Consolidated Balance Sheet'!B18+'[1]Consolidated Balance Sheet'!B23</f>
        <v>7273</v>
      </c>
      <c r="E89" s="6">
        <f>'[1]Consolidated Balance Sheet'!C18+'[1]Consolidated Balance Sheet'!C23</f>
        <v>6768</v>
      </c>
      <c r="F89" s="6">
        <f>E89+F117</f>
        <v>7471.7910723621262</v>
      </c>
      <c r="G89" s="6">
        <f t="shared" ref="G89:J89" si="56">F89+G117</f>
        <v>7327.296005340083</v>
      </c>
      <c r="H89" s="6">
        <f t="shared" si="56"/>
        <v>7179.1867106408181</v>
      </c>
      <c r="I89" s="6">
        <f t="shared" si="56"/>
        <v>7028.332164642221</v>
      </c>
      <c r="J89" s="6">
        <f t="shared" si="56"/>
        <v>6869.3690578443193</v>
      </c>
    </row>
    <row r="90" spans="2:10" x14ac:dyDescent="0.3">
      <c r="B90" s="3" t="s">
        <v>30</v>
      </c>
      <c r="D90" s="6">
        <f>'[1]Consolidated Balance Sheet'!B25</f>
        <v>336</v>
      </c>
      <c r="E90" s="6">
        <f>'[1]Consolidated Balance Sheet'!C25</f>
        <v>315</v>
      </c>
      <c r="F90" s="6">
        <f>E90+(F81-E81)</f>
        <v>393.31721155432319</v>
      </c>
      <c r="G90" s="6">
        <f t="shared" ref="G90:J90" si="57">F90+(G81-F81)</f>
        <v>422.53526471113469</v>
      </c>
      <c r="H90" s="6">
        <f t="shared" si="57"/>
        <v>453.35401533590891</v>
      </c>
      <c r="I90" s="6">
        <f t="shared" si="57"/>
        <v>480.9854330118269</v>
      </c>
      <c r="J90" s="6">
        <f t="shared" si="57"/>
        <v>508.61962589795496</v>
      </c>
    </row>
    <row r="91" spans="2:10" x14ac:dyDescent="0.3">
      <c r="B91" s="3" t="s">
        <v>31</v>
      </c>
      <c r="D91" s="6">
        <f>'[1]Consolidated Balance Sheet'!B24+'[1]Consolidated Balance Sheet'!B26+'[1]Consolidated Balance Sheet'!B27</f>
        <v>1431</v>
      </c>
      <c r="E91" s="6">
        <f>'[1]Consolidated Balance Sheet'!C24+'[1]Consolidated Balance Sheet'!C26+'[1]Consolidated Balance Sheet'!C27</f>
        <v>1227</v>
      </c>
      <c r="F91" s="6">
        <f>-SUM(F58:F60)*F29</f>
        <v>1382.7694526335822</v>
      </c>
      <c r="G91" s="6">
        <f>-SUM(G58:G60)*G29</f>
        <v>1458.699419032678</v>
      </c>
      <c r="H91" s="6">
        <f>-SUM(H58:H60)*H29</f>
        <v>1538.7413438200679</v>
      </c>
      <c r="I91" s="6">
        <f>-SUM(I58:I60)*I29</f>
        <v>1609.1732765867737</v>
      </c>
      <c r="J91" s="6">
        <f>-SUM(J58:J60)*J29</f>
        <v>1678.915094699033</v>
      </c>
    </row>
    <row r="92" spans="2:10" x14ac:dyDescent="0.3">
      <c r="B92" s="4" t="s">
        <v>28</v>
      </c>
      <c r="C92" s="5"/>
      <c r="D92" s="15">
        <f>SUM(D86:D91)</f>
        <v>15263</v>
      </c>
      <c r="E92" s="15">
        <f>SUM(E86:E91)</f>
        <v>14483</v>
      </c>
      <c r="F92" s="15">
        <f>SUM(F86:F91)</f>
        <v>15692.571119347902</v>
      </c>
      <c r="G92" s="15">
        <f t="shared" ref="G92:J92" si="58">SUM(G86:G91)</f>
        <v>16006.933366329391</v>
      </c>
      <c r="H92" s="15">
        <f t="shared" si="58"/>
        <v>16342.536500878663</v>
      </c>
      <c r="I92" s="15">
        <f t="shared" si="58"/>
        <v>16617.482535283198</v>
      </c>
      <c r="J92" s="15">
        <f t="shared" si="58"/>
        <v>16880.235146960087</v>
      </c>
    </row>
    <row r="94" spans="2:10" x14ac:dyDescent="0.3">
      <c r="B94" s="2" t="s">
        <v>32</v>
      </c>
      <c r="D94" s="6">
        <f>'[1]Consolidated Balance Sheet'!B36</f>
        <v>-3625</v>
      </c>
      <c r="E94" s="6">
        <f>'[1]Consolidated Balance Sheet'!C36</f>
        <v>-4870</v>
      </c>
      <c r="F94" s="6">
        <f>E94+F104+F118+F119+F121+F124</f>
        <v>-4140.1963213790923</v>
      </c>
      <c r="G94" s="6">
        <f t="shared" ref="G94:J94" si="59">F94+G104+G118+G119+G121+G124</f>
        <v>-4226.0341491991048</v>
      </c>
      <c r="H94" s="6">
        <f t="shared" si="59"/>
        <v>-4310.0667365341897</v>
      </c>
      <c r="I94" s="6">
        <f t="shared" si="59"/>
        <v>-4375.8850024437061</v>
      </c>
      <c r="J94" s="6">
        <f t="shared" si="59"/>
        <v>-4437.5513429402972</v>
      </c>
    </row>
    <row r="95" spans="2:10" x14ac:dyDescent="0.3">
      <c r="B95" s="2" t="s">
        <v>33</v>
      </c>
      <c r="D95" s="6">
        <f>'[1]Consolidated Balance Sheet'!B30+'[1]Consolidated Balance Sheet'!B37</f>
        <v>641</v>
      </c>
      <c r="E95" s="6">
        <f>'[1]Consolidated Balance Sheet'!C30+'[1]Consolidated Balance Sheet'!C37</f>
        <v>206</v>
      </c>
      <c r="F95" s="6">
        <f>E95+F105+F120</f>
        <v>211.29162431680257</v>
      </c>
      <c r="G95" s="6">
        <f t="shared" ref="G95:J95" si="60">F95+G105+G120</f>
        <v>216.7648481039779</v>
      </c>
      <c r="H95" s="6">
        <f t="shared" si="60"/>
        <v>222.60154862114982</v>
      </c>
      <c r="I95" s="6">
        <f t="shared" si="60"/>
        <v>228.70012752321759</v>
      </c>
      <c r="J95" s="6">
        <f t="shared" si="60"/>
        <v>235.17849136551362</v>
      </c>
    </row>
    <row r="96" spans="2:10" x14ac:dyDescent="0.3">
      <c r="B96" s="4" t="s">
        <v>34</v>
      </c>
      <c r="C96" s="5"/>
      <c r="D96" s="11">
        <f>SUM(D94:D95)</f>
        <v>-2984</v>
      </c>
      <c r="E96" s="11">
        <f>SUM(E94:E95)</f>
        <v>-4664</v>
      </c>
      <c r="F96" s="20">
        <f>SUM(F94:F95)</f>
        <v>-3928.9046970622899</v>
      </c>
      <c r="G96" s="20">
        <f t="shared" ref="G96:J96" si="61">SUM(G94:G95)</f>
        <v>-4009.269301095127</v>
      </c>
      <c r="H96" s="20">
        <f t="shared" si="61"/>
        <v>-4087.4651879130397</v>
      </c>
      <c r="I96" s="20">
        <f t="shared" si="61"/>
        <v>-4147.1848749204883</v>
      </c>
      <c r="J96" s="20">
        <f t="shared" si="61"/>
        <v>-4202.3728515747835</v>
      </c>
    </row>
    <row r="98" spans="2:10" x14ac:dyDescent="0.3">
      <c r="B98" s="1" t="s">
        <v>35</v>
      </c>
      <c r="D98" s="14">
        <f>D92+D96</f>
        <v>12279</v>
      </c>
      <c r="E98" s="14">
        <f>E92+E96</f>
        <v>9819</v>
      </c>
      <c r="F98" s="14">
        <f t="shared" ref="F98:J98" si="62">F92+F96</f>
        <v>11763.666422285612</v>
      </c>
      <c r="G98" s="14">
        <f t="shared" si="62"/>
        <v>11997.664065234265</v>
      </c>
      <c r="H98" s="14">
        <f t="shared" si="62"/>
        <v>12255.071312965623</v>
      </c>
      <c r="I98" s="14">
        <f t="shared" si="62"/>
        <v>12470.29766036271</v>
      </c>
      <c r="J98" s="14">
        <f t="shared" si="62"/>
        <v>12677.862295385305</v>
      </c>
    </row>
    <row r="100" spans="2:10" x14ac:dyDescent="0.3">
      <c r="B100" s="2" t="s">
        <v>36</v>
      </c>
      <c r="D100" s="13">
        <f>D98-D83</f>
        <v>0</v>
      </c>
      <c r="E100" s="13">
        <f>E98-E83</f>
        <v>0</v>
      </c>
      <c r="F100" s="13">
        <f>F98-F83</f>
        <v>0</v>
      </c>
      <c r="G100" s="13">
        <f t="shared" ref="G100:J100" si="63">G98-G83</f>
        <v>0</v>
      </c>
      <c r="H100" s="13">
        <f t="shared" si="63"/>
        <v>0</v>
      </c>
      <c r="I100" s="13">
        <f t="shared" si="63"/>
        <v>0</v>
      </c>
      <c r="J100" s="13">
        <f t="shared" si="63"/>
        <v>0</v>
      </c>
    </row>
    <row r="102" spans="2:10" x14ac:dyDescent="0.3">
      <c r="B102" s="16" t="s">
        <v>37</v>
      </c>
      <c r="C102" s="17">
        <v>44196</v>
      </c>
      <c r="D102" s="17">
        <f>EOMONTH(C102,12)</f>
        <v>44561</v>
      </c>
      <c r="E102" s="17">
        <f>EOMONTH(D102,12)</f>
        <v>44926</v>
      </c>
      <c r="F102" s="17">
        <f>EOMONTH(E102,12)</f>
        <v>45291</v>
      </c>
      <c r="G102" s="17">
        <f t="shared" ref="G102:J102" si="64">EOMONTH(F102,12)</f>
        <v>45657</v>
      </c>
      <c r="H102" s="17">
        <f t="shared" si="64"/>
        <v>46022</v>
      </c>
      <c r="I102" s="17">
        <f t="shared" si="64"/>
        <v>46387</v>
      </c>
      <c r="J102" s="17">
        <f t="shared" si="64"/>
        <v>46752</v>
      </c>
    </row>
    <row r="103" spans="2:10" x14ac:dyDescent="0.3">
      <c r="B103" s="1" t="s">
        <v>38</v>
      </c>
    </row>
    <row r="104" spans="2:10" x14ac:dyDescent="0.3">
      <c r="B104" s="3" t="s">
        <v>15</v>
      </c>
      <c r="C104" s="13">
        <f>C72</f>
        <v>906</v>
      </c>
      <c r="D104" s="13">
        <f t="shared" ref="D104:E104" si="65">D72</f>
        <v>1246</v>
      </c>
      <c r="E104" s="13">
        <f t="shared" si="65"/>
        <v>1253</v>
      </c>
      <c r="F104" s="13">
        <f>F72</f>
        <v>1221.4746215241912</v>
      </c>
      <c r="G104" s="13">
        <f t="shared" ref="G104:J104" si="66">G72</f>
        <v>1263.3935354648847</v>
      </c>
      <c r="H104" s="13">
        <f t="shared" si="66"/>
        <v>1347.295485910553</v>
      </c>
      <c r="I104" s="13">
        <f t="shared" si="66"/>
        <v>1407.7453179328788</v>
      </c>
      <c r="J104" s="13">
        <f t="shared" si="66"/>
        <v>1495.4117202231871</v>
      </c>
    </row>
    <row r="105" spans="2:10" x14ac:dyDescent="0.3">
      <c r="B105" s="18" t="s">
        <v>39</v>
      </c>
      <c r="C105" s="6">
        <f>-C71</f>
        <v>150</v>
      </c>
      <c r="D105" s="6">
        <f t="shared" ref="D105:F105" si="67">-D71</f>
        <v>174</v>
      </c>
      <c r="E105" s="6">
        <f t="shared" si="67"/>
        <v>116</v>
      </c>
      <c r="F105" s="6">
        <f t="shared" si="67"/>
        <v>160.96899145518307</v>
      </c>
      <c r="G105" s="6">
        <f t="shared" ref="G105:J105" si="68">-G71</f>
        <v>166.49317114833963</v>
      </c>
      <c r="H105" s="6">
        <f t="shared" si="68"/>
        <v>177.54998076711769</v>
      </c>
      <c r="I105" s="6">
        <f t="shared" si="68"/>
        <v>185.51621135660548</v>
      </c>
      <c r="J105" s="6">
        <f t="shared" si="68"/>
        <v>197.06910988802682</v>
      </c>
    </row>
    <row r="106" spans="2:10" x14ac:dyDescent="0.3">
      <c r="B106" s="18" t="s">
        <v>40</v>
      </c>
      <c r="C106" s="6">
        <f>'[1]Consolidated Statements of Cash'!B6</f>
        <v>191</v>
      </c>
      <c r="D106" s="6">
        <f>'[1]Consolidated Statements of Cash'!C6</f>
        <v>203</v>
      </c>
      <c r="E106" s="6">
        <f>'[1]Consolidated Statements of Cash'!D6</f>
        <v>191</v>
      </c>
      <c r="F106" s="6">
        <f>F56*F32</f>
        <v>208.72973331097418</v>
      </c>
      <c r="G106" s="6">
        <f>G56*G32</f>
        <v>220.29521289262985</v>
      </c>
      <c r="H106" s="6">
        <f>H56*H32</f>
        <v>232.4943019000325</v>
      </c>
      <c r="I106" s="6">
        <f>I56*I32</f>
        <v>243.43173825925581</v>
      </c>
      <c r="J106" s="6">
        <f>J56*J32</f>
        <v>254.37027313920692</v>
      </c>
    </row>
    <row r="107" spans="2:10" x14ac:dyDescent="0.3">
      <c r="B107" s="18" t="s">
        <v>41</v>
      </c>
      <c r="C107" s="6">
        <f>'[1]Consolidated Statements of Cash'!B7+'[1]Consolidated Statements of Cash'!B8+'[1]Consolidated Statements of Cash'!B9+'[1]Consolidated Statements of Cash'!B17+'[1]Consolidated Statements of Cash'!B18</f>
        <v>156</v>
      </c>
      <c r="D107" s="6">
        <f>'[1]Consolidated Statements of Cash'!C7+'[1]Consolidated Statements of Cash'!C8+'[1]Consolidated Statements of Cash'!C9+'[1]Consolidated Statements of Cash'!C17+'[1]Consolidated Statements of Cash'!C18</f>
        <v>-33</v>
      </c>
      <c r="E107" s="6">
        <f>'[1]Consolidated Statements of Cash'!D7+'[1]Consolidated Statements of Cash'!D8+'[1]Consolidated Statements of Cash'!D9+'[1]Consolidated Statements of Cash'!D17+'[1]Consolidated Statements of Cash'!D18</f>
        <v>96</v>
      </c>
      <c r="F107" s="6">
        <f>F56*F33</f>
        <v>81.96879182874153</v>
      </c>
      <c r="G107" s="6">
        <f>G56*G33</f>
        <v>86.51059032189589</v>
      </c>
      <c r="H107" s="6">
        <f>H56*H33</f>
        <v>91.30120913545187</v>
      </c>
      <c r="I107" s="6">
        <f>I56*I33</f>
        <v>95.596373172928025</v>
      </c>
      <c r="J107" s="6">
        <f>J56*J33</f>
        <v>99.891968602786221</v>
      </c>
    </row>
    <row r="108" spans="2:10" x14ac:dyDescent="0.3">
      <c r="B108" s="18" t="s">
        <v>42</v>
      </c>
      <c r="C108" s="6">
        <f>SUM('[1]Consolidated Statements of Cash'!B11:B16)</f>
        <v>77</v>
      </c>
      <c r="D108" s="6">
        <f>SUM('[1]Consolidated Statements of Cash'!C11:C16)</f>
        <v>160</v>
      </c>
      <c r="E108" s="6">
        <f>SUM('[1]Consolidated Statements of Cash'!D11:D16)</f>
        <v>-96</v>
      </c>
      <c r="F108" s="6">
        <f>E78-F78+E79-F79+E81-F81+SUM(F86:F88)-SUM(E86:E88)+SUM(F90:F91)-SUM(E90:E91)</f>
        <v>328.39841064589632</v>
      </c>
      <c r="G108" s="6">
        <f t="shared" ref="G108:J108" si="69">F78-G78+F79-G79+F81-G81+SUM(G86:G88)-SUM(F86:F88)+SUM(G90:G91)-SUM(F90:F91)</f>
        <v>150.9120566674676</v>
      </c>
      <c r="H108" s="6">
        <f t="shared" si="69"/>
        <v>158.96471513167444</v>
      </c>
      <c r="I108" s="6">
        <f t="shared" si="69"/>
        <v>136.53751738040728</v>
      </c>
      <c r="J108" s="6">
        <f t="shared" si="69"/>
        <v>133.41744603681354</v>
      </c>
    </row>
    <row r="109" spans="2:10" x14ac:dyDescent="0.3">
      <c r="B109" s="4" t="s">
        <v>38</v>
      </c>
      <c r="C109" s="15">
        <f>SUM(C104:C108)</f>
        <v>1480</v>
      </c>
      <c r="D109" s="15">
        <f t="shared" ref="D109:E109" si="70">SUM(D104:D108)</f>
        <v>1750</v>
      </c>
      <c r="E109" s="15">
        <f t="shared" si="70"/>
        <v>1560</v>
      </c>
      <c r="F109" s="15">
        <f>SUM(F104:F108)</f>
        <v>2001.5405487649864</v>
      </c>
      <c r="G109" s="15">
        <f t="shared" ref="G109:J109" si="71">SUM(G104:G108)</f>
        <v>1887.6045664952178</v>
      </c>
      <c r="H109" s="15">
        <f t="shared" si="71"/>
        <v>2007.6056928448295</v>
      </c>
      <c r="I109" s="15">
        <f t="shared" si="71"/>
        <v>2068.8271581020754</v>
      </c>
      <c r="J109" s="15">
        <f t="shared" si="71"/>
        <v>2180.1605178900204</v>
      </c>
    </row>
    <row r="111" spans="2:10" x14ac:dyDescent="0.3">
      <c r="B111" s="1" t="s">
        <v>43</v>
      </c>
    </row>
    <row r="112" spans="2:10" x14ac:dyDescent="0.3">
      <c r="B112" s="18" t="s">
        <v>46</v>
      </c>
      <c r="C112" s="6">
        <f>'[1]Consolidated Statements of Cash'!B21</f>
        <v>-183</v>
      </c>
      <c r="D112" s="6">
        <f>'[1]Consolidated Statements of Cash'!C21</f>
        <v>-156</v>
      </c>
      <c r="E112" s="6">
        <f>'[1]Consolidated Statements of Cash'!D21</f>
        <v>-115</v>
      </c>
      <c r="F112" s="6">
        <f>-F56*F31</f>
        <v>-162.90748963820599</v>
      </c>
      <c r="G112" s="6">
        <f>-G56*G31</f>
        <v>-171.93401027435533</v>
      </c>
      <c r="H112" s="6">
        <f>-H56*H31</f>
        <v>-181.45504464998115</v>
      </c>
      <c r="I112" s="6">
        <f>-I56*I31</f>
        <v>-189.99139580654648</v>
      </c>
      <c r="J112" s="6">
        <f>-J56*J31</f>
        <v>-198.52860432660884</v>
      </c>
    </row>
    <row r="113" spans="2:10" x14ac:dyDescent="0.3">
      <c r="B113" s="18" t="s">
        <v>47</v>
      </c>
      <c r="C113" s="6">
        <f>SUM('[1]Consolidated Statements of Cash'!B22:B27)</f>
        <v>-170</v>
      </c>
      <c r="D113" s="6">
        <f>SUM('[1]Consolidated Statements of Cash'!C22:C27)</f>
        <v>67</v>
      </c>
      <c r="E113" s="6">
        <f>SUM('[1]Consolidated Statements of Cash'!D22:D27)</f>
        <v>82</v>
      </c>
      <c r="F113" s="6">
        <f>F35</f>
        <v>-75</v>
      </c>
      <c r="G113" s="6">
        <f>G35</f>
        <v>-75</v>
      </c>
      <c r="H113" s="6">
        <f>H35</f>
        <v>-75</v>
      </c>
      <c r="I113" s="6">
        <f>I35</f>
        <v>-75</v>
      </c>
      <c r="J113" s="6">
        <f>J35</f>
        <v>-75</v>
      </c>
    </row>
    <row r="114" spans="2:10" x14ac:dyDescent="0.3">
      <c r="B114" s="4" t="s">
        <v>43</v>
      </c>
      <c r="C114" s="20">
        <f>SUM(C112:C113)</f>
        <v>-353</v>
      </c>
      <c r="D114" s="19">
        <f t="shared" ref="D114:E114" si="72">SUM(D112:D113)</f>
        <v>-89</v>
      </c>
      <c r="E114" s="19">
        <f t="shared" si="72"/>
        <v>-33</v>
      </c>
      <c r="F114" s="19">
        <f>SUM(F112:F113)</f>
        <v>-237.90748963820599</v>
      </c>
      <c r="G114" s="19">
        <f t="shared" ref="G114:J114" si="73">SUM(G112:G113)</f>
        <v>-246.93401027435533</v>
      </c>
      <c r="H114" s="19">
        <f t="shared" si="73"/>
        <v>-256.45504464998112</v>
      </c>
      <c r="I114" s="19">
        <f t="shared" si="73"/>
        <v>-264.99139580654651</v>
      </c>
      <c r="J114" s="19">
        <f t="shared" si="73"/>
        <v>-273.52860432660884</v>
      </c>
    </row>
    <row r="116" spans="2:10" x14ac:dyDescent="0.3">
      <c r="B116" s="1" t="s">
        <v>44</v>
      </c>
    </row>
    <row r="117" spans="2:10" x14ac:dyDescent="0.3">
      <c r="B117" s="18" t="s">
        <v>45</v>
      </c>
      <c r="C117" s="6">
        <f>'[1]Consolidated Statements of Cash'!B30+'[1]Consolidated Statements of Cash'!B31+'[1]Consolidated Statements of Cash'!B32+'[1]Consolidated Statements of Cash'!B33+'[1]Consolidated Statements of Cash'!B35</f>
        <v>5947</v>
      </c>
      <c r="D117" s="6">
        <f>'[1]Consolidated Statements of Cash'!C30+'[1]Consolidated Statements of Cash'!C31+'[1]Consolidated Statements of Cash'!C32+'[1]Consolidated Statements of Cash'!C33+'[1]Consolidated Statements of Cash'!C35</f>
        <v>1375</v>
      </c>
      <c r="E117" s="6">
        <f>'[1]Consolidated Statements of Cash'!D30+'[1]Consolidated Statements of Cash'!D31+'[1]Consolidated Statements of Cash'!D32+'[1]Consolidated Statements of Cash'!D33+'[1]Consolidated Statements of Cash'!D35</f>
        <v>-387</v>
      </c>
      <c r="F117" s="6">
        <f>F44</f>
        <v>703.79107236212622</v>
      </c>
      <c r="G117" s="6">
        <f t="shared" ref="G117:J117" si="74">G44</f>
        <v>-144.49506702204314</v>
      </c>
      <c r="H117" s="6">
        <f t="shared" si="74"/>
        <v>-148.10929469926526</v>
      </c>
      <c r="I117" s="6">
        <f t="shared" si="74"/>
        <v>-150.85454599859671</v>
      </c>
      <c r="J117" s="6">
        <f t="shared" si="74"/>
        <v>-158.96310679790136</v>
      </c>
    </row>
    <row r="118" spans="2:10" x14ac:dyDescent="0.3">
      <c r="B118" s="18" t="s">
        <v>48</v>
      </c>
      <c r="C118" s="6">
        <f>'[1]Consolidated Statements of Cash'!B36</f>
        <v>-260</v>
      </c>
      <c r="D118" s="6">
        <f>'[1]Consolidated Statements of Cash'!C36</f>
        <v>-393</v>
      </c>
      <c r="E118" s="6">
        <f>'[1]Consolidated Statements of Cash'!D36</f>
        <v>-465</v>
      </c>
      <c r="F118" s="6">
        <f>-F72*F45</f>
        <v>-458.0529830715717</v>
      </c>
      <c r="G118" s="6">
        <f t="shared" ref="G118:J118" si="75">-G72*G45</f>
        <v>-480.08954347665622</v>
      </c>
      <c r="H118" s="6">
        <f t="shared" si="75"/>
        <v>-538.91819436422122</v>
      </c>
      <c r="I118" s="6">
        <f t="shared" si="75"/>
        <v>-563.09812717315151</v>
      </c>
      <c r="J118" s="6">
        <f t="shared" si="75"/>
        <v>-598.16468808927482</v>
      </c>
    </row>
    <row r="119" spans="2:10" x14ac:dyDescent="0.3">
      <c r="B119" s="18" t="s">
        <v>49</v>
      </c>
      <c r="C119" s="6">
        <f>'[1]Consolidated Statements of Cash'!B37</f>
        <v>0</v>
      </c>
      <c r="D119" s="6">
        <f>'[1]Consolidated Statements of Cash'!C37</f>
        <v>-725</v>
      </c>
      <c r="E119" s="6">
        <f>'[1]Consolidated Statements of Cash'!D37</f>
        <v>-850</v>
      </c>
      <c r="F119" s="6">
        <f>F46</f>
        <v>0</v>
      </c>
      <c r="G119" s="6">
        <f t="shared" ref="G119:J119" si="76">G46</f>
        <v>-818.80537979157782</v>
      </c>
      <c r="H119" s="6">
        <f t="shared" si="76"/>
        <v>-839.28600329583651</v>
      </c>
      <c r="I119" s="6">
        <f t="shared" si="76"/>
        <v>-854.84242732538132</v>
      </c>
      <c r="J119" s="6">
        <f t="shared" si="76"/>
        <v>-900.79093852144103</v>
      </c>
    </row>
    <row r="120" spans="2:10" x14ac:dyDescent="0.3">
      <c r="B120" s="18" t="s">
        <v>50</v>
      </c>
      <c r="C120" s="6">
        <f>'[1]Consolidated Statements of Cash'!B38</f>
        <v>-149</v>
      </c>
      <c r="D120" s="6">
        <f>'[1]Consolidated Statements of Cash'!C38</f>
        <v>-155</v>
      </c>
      <c r="E120" s="6">
        <f>'[1]Consolidated Statements of Cash'!D38</f>
        <v>-118</v>
      </c>
      <c r="F120" s="6">
        <f>-F105*F47</f>
        <v>-155.6773671383805</v>
      </c>
      <c r="G120" s="6">
        <f t="shared" ref="G120:J120" si="77">-G105*G47</f>
        <v>-161.01994736116433</v>
      </c>
      <c r="H120" s="6">
        <f t="shared" si="77"/>
        <v>-171.71328024994577</v>
      </c>
      <c r="I120" s="6">
        <f t="shared" si="77"/>
        <v>-179.41763245453774</v>
      </c>
      <c r="J120" s="6">
        <f t="shared" si="77"/>
        <v>-190.59074604573075</v>
      </c>
    </row>
    <row r="121" spans="2:10" x14ac:dyDescent="0.3">
      <c r="B121" s="18" t="s">
        <v>51</v>
      </c>
      <c r="C121" s="6">
        <f>'[1]Consolidated Statements of Cash'!B34+'[1]Consolidated Statements of Cash'!B39+'[1]Consolidated Statements of Cash'!B40+'[1]Consolidated Statements of Cash'!B41</f>
        <v>-6382</v>
      </c>
      <c r="D121" s="6">
        <f>'[1]Consolidated Statements of Cash'!C34+'[1]Consolidated Statements of Cash'!C39+'[1]Consolidated Statements of Cash'!C40+'[1]Consolidated Statements of Cash'!C41</f>
        <v>-44</v>
      </c>
      <c r="E121" s="6">
        <f>'[1]Consolidated Statements of Cash'!D34+'[1]Consolidated Statements of Cash'!D39+'[1]Consolidated Statements of Cash'!D40+'[1]Consolidated Statements of Cash'!D41</f>
        <v>-1832</v>
      </c>
      <c r="F121" s="6">
        <f>MAX(F117,0)*F49</f>
        <v>14.075821447242525</v>
      </c>
      <c r="G121" s="6">
        <f t="shared" ref="G121:J121" si="78">MAX(G117,0)*G49</f>
        <v>0</v>
      </c>
      <c r="H121" s="6">
        <f t="shared" si="78"/>
        <v>0</v>
      </c>
      <c r="I121" s="6">
        <f t="shared" si="78"/>
        <v>0</v>
      </c>
      <c r="J121" s="6">
        <f t="shared" si="78"/>
        <v>0</v>
      </c>
    </row>
    <row r="122" spans="2:10" x14ac:dyDescent="0.3">
      <c r="B122" s="4" t="s">
        <v>44</v>
      </c>
      <c r="C122" s="20">
        <f>SUM(C117:C121)</f>
        <v>-844</v>
      </c>
      <c r="D122" s="20">
        <f t="shared" ref="D122:F122" si="79">SUM(D117:D121)</f>
        <v>58</v>
      </c>
      <c r="E122" s="20">
        <f t="shared" si="79"/>
        <v>-3652</v>
      </c>
      <c r="F122" s="20">
        <f t="shared" si="79"/>
        <v>104.13654359941654</v>
      </c>
      <c r="G122" s="20">
        <f t="shared" ref="G122:J122" si="80">SUM(G117:G121)</f>
        <v>-1604.4099376514414</v>
      </c>
      <c r="H122" s="20">
        <f t="shared" si="80"/>
        <v>-1698.0267726092686</v>
      </c>
      <c r="I122" s="20">
        <f t="shared" si="80"/>
        <v>-1748.2127329516675</v>
      </c>
      <c r="J122" s="20">
        <f t="shared" si="80"/>
        <v>-1848.5094794543481</v>
      </c>
    </row>
    <row r="124" spans="2:10" x14ac:dyDescent="0.3">
      <c r="B124" s="2" t="s">
        <v>52</v>
      </c>
      <c r="C124" s="6">
        <f>'[1]Consolidated Statements of Cash'!B43</f>
        <v>59</v>
      </c>
      <c r="D124" s="6">
        <f>'[1]Consolidated Statements of Cash'!C43</f>
        <v>-43</v>
      </c>
      <c r="E124" s="6">
        <f>'[1]Consolidated Statements of Cash'!D43</f>
        <v>-157</v>
      </c>
      <c r="F124" s="6">
        <f>F56*F50</f>
        <v>-47.693781278954894</v>
      </c>
      <c r="G124" s="6">
        <f t="shared" ref="G124:J124" si="81">G56*G50</f>
        <v>-50.336440016662877</v>
      </c>
      <c r="H124" s="6">
        <f t="shared" si="81"/>
        <v>-53.123875585579853</v>
      </c>
      <c r="I124" s="6">
        <f t="shared" si="81"/>
        <v>-55.623029343861688</v>
      </c>
      <c r="J124" s="6">
        <f t="shared" si="81"/>
        <v>-58.122434109062809</v>
      </c>
    </row>
    <row r="126" spans="2:10" x14ac:dyDescent="0.3">
      <c r="B126" s="1" t="s">
        <v>53</v>
      </c>
      <c r="C126" s="31">
        <f>C109+C114+C122+C124</f>
        <v>342</v>
      </c>
      <c r="D126" s="31">
        <f t="shared" ref="D126:F126" si="82">D109+D114+D122+D124</f>
        <v>1676</v>
      </c>
      <c r="E126" s="31">
        <f t="shared" si="82"/>
        <v>-2282</v>
      </c>
      <c r="F126" s="31">
        <f t="shared" si="82"/>
        <v>1820.0758214472419</v>
      </c>
      <c r="G126" s="31">
        <f t="shared" ref="G126:J126" si="83">G109+G114+G122+G124</f>
        <v>-14.075821447241864</v>
      </c>
      <c r="H126" s="31">
        <f t="shared" si="83"/>
        <v>-9.9475983006414026E-14</v>
      </c>
      <c r="I126" s="31">
        <f t="shared" si="83"/>
        <v>-2.9842794901924208E-13</v>
      </c>
      <c r="J126" s="31">
        <f t="shared" si="83"/>
        <v>7.2475359047530219E-13</v>
      </c>
    </row>
  </sheetData>
  <sortState xmlns:xlrd2="http://schemas.microsoft.com/office/spreadsheetml/2017/richdata2" ref="C52:E52">
    <sortCondition ref="C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Manny Araneta</dc:creator>
  <cp:lastModifiedBy>Manny Araneta</cp:lastModifiedBy>
  <dcterms:created xsi:type="dcterms:W3CDTF">2023-06-12T00:15:32Z</dcterms:created>
  <dcterms:modified xsi:type="dcterms:W3CDTF">2023-06-12T15:55:14Z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