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73DE0BA6-864E-46DB-BBB6-33BD91FBEE3A}" xr6:coauthVersionLast="32" xr6:coauthVersionMax="32" xr10:uidLastSave="{00000000-0000-0000-0000-000000000000}"/>
  <bookViews>
    <workbookView xWindow="0" yWindow="0" windowWidth="25135" windowHeight="10172" tabRatio="500" firstSheet="2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externalReferences>
    <externalReference r:id="rId7"/>
  </externalReference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7" l="1"/>
  <c r="R5" i="7"/>
  <c r="P19" i="7"/>
  <c r="O20" i="7"/>
  <c r="O21" i="7"/>
  <c r="O22" i="7"/>
  <c r="O23" i="7"/>
  <c r="O24" i="7"/>
  <c r="O25" i="7"/>
  <c r="O26" i="7"/>
  <c r="O27" i="7"/>
  <c r="O28" i="7"/>
  <c r="O29" i="7"/>
  <c r="O30" i="7"/>
  <c r="N30" i="7"/>
  <c r="N20" i="7"/>
  <c r="N21" i="7"/>
  <c r="N22" i="7"/>
  <c r="N23" i="7"/>
  <c r="N24" i="7"/>
  <c r="N25" i="7"/>
  <c r="N26" i="7"/>
  <c r="N27" i="7"/>
  <c r="N28" i="7"/>
  <c r="N29" i="7"/>
  <c r="P30" i="7"/>
  <c r="P20" i="7"/>
  <c r="P21" i="7"/>
  <c r="P22" i="7"/>
  <c r="P23" i="7"/>
  <c r="P24" i="7"/>
  <c r="P25" i="7"/>
  <c r="P26" i="7"/>
  <c r="P27" i="7"/>
  <c r="P28" i="7"/>
  <c r="P29" i="7"/>
  <c r="S2" i="7"/>
  <c r="J38" i="5" l="1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D1" i="7"/>
  <c r="G1" i="7"/>
  <c r="H1" i="7"/>
  <c r="I1" i="7"/>
  <c r="D2" i="7"/>
  <c r="G2" i="7"/>
  <c r="H2" i="7"/>
  <c r="I2" i="7"/>
  <c r="D3" i="7"/>
  <c r="G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E3" i="7"/>
  <c r="E4" i="7"/>
  <c r="M4" i="7" s="1"/>
  <c r="E5" i="7"/>
  <c r="E6" i="7"/>
  <c r="E7" i="7"/>
  <c r="E8" i="7"/>
  <c r="E9" i="7"/>
  <c r="E10" i="7"/>
  <c r="E11" i="7"/>
  <c r="E12" i="7"/>
  <c r="M12" i="7" s="1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M11" i="7" l="1"/>
  <c r="M7" i="7"/>
  <c r="M3" i="7"/>
  <c r="O8" i="7"/>
  <c r="M8" i="7"/>
  <c r="J10" i="7"/>
  <c r="M27" i="7" s="1"/>
  <c r="M10" i="7"/>
  <c r="J6" i="7"/>
  <c r="M23" i="7" s="1"/>
  <c r="M6" i="7"/>
  <c r="J2" i="7"/>
  <c r="K2" i="7" s="1"/>
  <c r="D19" i="7" s="1"/>
  <c r="M2" i="7"/>
  <c r="H22" i="7"/>
  <c r="K28" i="7"/>
  <c r="M21" i="7"/>
  <c r="L20" i="7"/>
  <c r="M13" i="7"/>
  <c r="M9" i="7"/>
  <c r="M5" i="7"/>
  <c r="H29" i="7"/>
  <c r="J23" i="7"/>
  <c r="J12" i="7"/>
  <c r="J29" i="7" s="1"/>
  <c r="J9" i="7"/>
  <c r="K9" i="7" s="1"/>
  <c r="E26" i="7" s="1"/>
  <c r="G26" i="7" s="1"/>
  <c r="J8" i="7"/>
  <c r="K25" i="7" s="1"/>
  <c r="I41" i="7" s="1"/>
  <c r="I42" i="7" s="1"/>
  <c r="J5" i="7"/>
  <c r="K5" i="7" s="1"/>
  <c r="E22" i="7" s="1"/>
  <c r="G22" i="7" s="1"/>
  <c r="J4" i="7"/>
  <c r="I21" i="7" s="1"/>
  <c r="K8" i="7"/>
  <c r="E25" i="7" s="1"/>
  <c r="G25" i="7" s="1"/>
  <c r="K4" i="7"/>
  <c r="E21" i="7" s="1"/>
  <c r="G21" i="7" s="1"/>
  <c r="K12" i="7"/>
  <c r="E29" i="7" s="1"/>
  <c r="G29" i="7" s="1"/>
  <c r="K6" i="7"/>
  <c r="E23" i="7" s="1"/>
  <c r="G23" i="7" s="1"/>
  <c r="D22" i="7"/>
  <c r="F22" i="7" s="1"/>
  <c r="D23" i="7"/>
  <c r="F23" i="7" s="1"/>
  <c r="J13" i="7"/>
  <c r="J30" i="7" s="1"/>
  <c r="J11" i="7"/>
  <c r="M28" i="7" s="1"/>
  <c r="J7" i="7"/>
  <c r="H24" i="7" s="1"/>
  <c r="J3" i="7"/>
  <c r="M20" i="7" s="1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K10" i="7" l="1"/>
  <c r="J27" i="7"/>
  <c r="L24" i="7"/>
  <c r="M25" i="7"/>
  <c r="K41" i="7" s="1"/>
  <c r="K42" i="7" s="1"/>
  <c r="L30" i="7"/>
  <c r="J20" i="7"/>
  <c r="H26" i="7"/>
  <c r="I26" i="7"/>
  <c r="M22" i="7"/>
  <c r="L27" i="7"/>
  <c r="K29" i="7"/>
  <c r="H30" i="7"/>
  <c r="K26" i="7"/>
  <c r="I37" i="7" s="1"/>
  <c r="I38" i="7" s="1"/>
  <c r="L21" i="7"/>
  <c r="I27" i="7"/>
  <c r="I20" i="7"/>
  <c r="I25" i="7"/>
  <c r="M24" i="7"/>
  <c r="L19" i="7"/>
  <c r="J19" i="7"/>
  <c r="I19" i="7"/>
  <c r="H21" i="7"/>
  <c r="K30" i="7"/>
  <c r="M29" i="7"/>
  <c r="K20" i="7"/>
  <c r="J24" i="7"/>
  <c r="H19" i="7"/>
  <c r="H28" i="7"/>
  <c r="M26" i="7"/>
  <c r="K37" i="7" s="1"/>
  <c r="K38" i="7" s="1"/>
  <c r="M19" i="7"/>
  <c r="J21" i="7"/>
  <c r="H23" i="7"/>
  <c r="J22" i="7"/>
  <c r="L25" i="7"/>
  <c r="J41" i="7" s="1"/>
  <c r="J42" i="7" s="1"/>
  <c r="N8" i="7" s="1"/>
  <c r="K19" i="7"/>
  <c r="I24" i="7"/>
  <c r="I29" i="7"/>
  <c r="J26" i="7"/>
  <c r="H38" i="7" s="1"/>
  <c r="L26" i="7"/>
  <c r="J37" i="7" s="1"/>
  <c r="J38" i="7" s="1"/>
  <c r="H25" i="7"/>
  <c r="H20" i="7"/>
  <c r="L22" i="7"/>
  <c r="K24" i="7"/>
  <c r="J28" i="7"/>
  <c r="M30" i="7"/>
  <c r="K21" i="7"/>
  <c r="J25" i="7"/>
  <c r="H41" i="7" s="1"/>
  <c r="H42" i="7" s="1"/>
  <c r="H27" i="7"/>
  <c r="L28" i="7"/>
  <c r="L29" i="7"/>
  <c r="K23" i="7"/>
  <c r="I28" i="7"/>
  <c r="L23" i="7"/>
  <c r="K22" i="7"/>
  <c r="I30" i="7"/>
  <c r="I23" i="7"/>
  <c r="K27" i="7"/>
  <c r="I22" i="7"/>
  <c r="D26" i="7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H32" i="7" l="1"/>
  <c r="H33" i="7"/>
  <c r="D30" i="7"/>
  <c r="F30" i="7" s="1"/>
  <c r="I32" i="7"/>
  <c r="I33" i="7"/>
  <c r="E27" i="7"/>
  <c r="G27" i="7" s="1"/>
  <c r="D27" i="7"/>
  <c r="F27" i="7" s="1"/>
  <c r="G31" i="7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<sst xmlns="http://schemas.openxmlformats.org/spreadsheetml/2006/main" count="244" uniqueCount="143">
  <si>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</si>
  <si>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</si>
  <si>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</si>
  <si>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</si>
  <si>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</si>
  <si>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</si>
  <si>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</si>
  <si>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</si>
  <si>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</si>
  <si>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</si>
  <si>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</si>
  <si>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</si>
  <si>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</si>
  <si>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</si>
  <si>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</si>
  <si>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</si>
  <si>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</si>
  <si>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</si>
  <si>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</si>
  <si>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</si>
  <si>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</si>
  <si>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</si>
  <si>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</si>
  <si>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</si>
  <si>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</si>
  <si>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</si>
  <si>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</si>
  <si>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</si>
  <si>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</si>
  <si>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</si>
  <si>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</si>
  <si>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</si>
  <si>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</si>
  <si>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</si>
  <si>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</si>
  <si>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</si>
  <si>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</si>
  <si>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</si>
  <si>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</si>
  <si>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</si>
  <si>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</si>
  <si>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</si>
  <si>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</si>
  <si>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</si>
  <si>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</si>
  <si>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</si>
  <si>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</si>
  <si>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</si>
  <si>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</si>
  <si>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</si>
  <si>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</si>
  <si>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</si>
  <si>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</si>
  <si>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</si>
  <si>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</si>
  <si>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</si>
  <si>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</si>
  <si>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</si>
  <si>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</si>
  <si>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</si>
  <si>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</si>
  <si>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</si>
  <si>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</si>
  <si>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</si>
  <si>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</si>
  <si>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</si>
  <si>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</si>
  <si>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</si>
  <si>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</si>
  <si>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</si>
  <si>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</si>
  <si>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</si>
  <si>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</si>
  <si>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</si>
  <si>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</si>
  <si>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</si>
  <si>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</si>
  <si>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</si>
  <si>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</si>
  <si>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</si>
  <si>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</si>
  <si>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</si>
  <si>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</si>
  <si>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</si>
  <si>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</si>
  <si>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</si>
  <si>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</si>
  <si>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</si>
  <si>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</si>
  <si>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</si>
  <si>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</si>
  <si>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</si>
  <si>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</si>
  <si>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</si>
  <si>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</si>
  <si>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</si>
  <si>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</si>
  <si>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</si>
  <si>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</si>
  <si>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</si>
  <si>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</si>
  <si>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</si>
  <si>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</si>
  <si>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</si>
  <si>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</si>
  <si>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</si>
  <si>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</si>
  <si>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</si>
  <si>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</si>
  <si>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</si>
  <si>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</si>
  <si>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</si>
  <si>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</si>
  <si>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</si>
  <si>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</si>
  <si>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</si>
  <si>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</si>
  <si>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</si>
  <si>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</si>
  <si>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</si>
  <si>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</si>
  <si>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</si>
  <si>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</si>
  <si>
    <t>ML at 0.015L using CO</t>
  </si>
  <si>
    <t>Case 2 works if second peak is chemisorbed</t>
  </si>
  <si>
    <t>Case 1 works if 2nd peak is physisorbed</t>
  </si>
  <si>
    <t>supported by annealing to 191 K in IRAS</t>
  </si>
  <si>
    <t>model 1a (7.15 Layers @ 0.015 L)</t>
  </si>
  <si>
    <t>model 2a (7.15 Layers @ 0.015 L)</t>
  </si>
  <si>
    <t>pros</t>
  </si>
  <si>
    <t>leads to physisorbed seconds peak</t>
  </si>
  <si>
    <t>leads to chemisorbed second peak</t>
  </si>
  <si>
    <t>supported (somewhat) by IRAS between 100-191</t>
  </si>
  <si>
    <t>agrees very well w/ TPD ratio: multi/(2nd peak + recomb)</t>
  </si>
  <si>
    <t>no peak shifts in IRAS from 100 - 191 K</t>
  </si>
  <si>
    <t>cons</t>
  </si>
  <si>
    <t xml:space="preserve">increase in intensity of peaks after desorbing 5 layers? </t>
  </si>
  <si>
    <t>doesn't match TPD area ratio well: (multi + second)/recomb</t>
  </si>
  <si>
    <t>no peak shifts in IRAS from 100-191 K</t>
  </si>
  <si>
    <t>additional info</t>
  </si>
  <si>
    <t>ratio of b(CCO) o.o.p mode decreases from 100-191 K suggesting that the ring is tilted away from the surface at 191 K</t>
  </si>
  <si>
    <t>θGUA</t>
  </si>
  <si>
    <t>Case 2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</si>
</sst>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#,##0.0"/>
    <numFmt numFmtId="166" formatCode="0.0000000"/>
    <numFmt numFmtId="168" formatCode="0.0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/>
    <xf numFmtId="0" fontId="2" fillId="3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Border="1" applyAlignment="1">
      <alignment wrapText="1"/>
    </xf>
    <xf numFmtId="168" fontId="0" fillId="0" borderId="0" xfId="0" applyNumberFormat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5E-4EF6-88AA-01DC0792ED20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2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0.13639179981394384</c:v>
                </c:pt>
                <c:pt idx="2">
                  <c:v>0.17530099498283538</c:v>
                </c:pt>
                <c:pt idx="3">
                  <c:v>0.21891979265516875</c:v>
                </c:pt>
                <c:pt idx="4">
                  <c:v>0.23322426781711439</c:v>
                </c:pt>
                <c:pt idx="5">
                  <c:v>0.42085031876237511</c:v>
                </c:pt>
                <c:pt idx="6">
                  <c:v>0.53660391711807498</c:v>
                </c:pt>
                <c:pt idx="7">
                  <c:v>0.81872558441365972</c:v>
                </c:pt>
                <c:pt idx="8">
                  <c:v>0.9063695873915345</c:v>
                </c:pt>
                <c:pt idx="9">
                  <c:v>1.4110177225224736</c:v>
                </c:pt>
                <c:pt idx="10">
                  <c:v>2.8127628626255956</c:v>
                </c:pt>
                <c:pt idx="11">
                  <c:v>5.7205919971853456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D-4427-94BE-F5EF2AA3130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uptk'!$R$5</c:f>
              <c:numCache>
                <c:formatCode>0.00000000</c:formatCode>
                <c:ptCount val="1"/>
                <c:pt idx="0">
                  <c:v>3.4170101427511459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D-4427-94BE-F5EF2AA3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3.4170101399999999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6-4D6F-91A0-B3C2A37E302A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[1]Sheet1!$C$3:$F$3</c:f>
              <c:numCache>
                <c:formatCode>0.000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F5D-A850-4A3CD1872F3C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[1]Sheet1!$C$4:$F$4</c:f>
              <c:numCache>
                <c:formatCode>0.000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4-4F5D-A850-4A3CD1872F3C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[1]Sheet1!$C$5:$F$5</c:f>
              <c:numCache>
                <c:formatCode>0.000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4-4F5D-A850-4A3CD1872F3C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[1]Sheet1!$C$6:$F$6</c:f>
              <c:numCache>
                <c:formatCode>0.000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F5D-A850-4A3CD1872F3C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[1]Sheet1!$C$7:$F$7</c:f>
              <c:numCache>
                <c:formatCode>0.000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F5D-A850-4A3CD1872F3C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[1]Sheet1!$C$8:$F$8</c:f>
              <c:numCache>
                <c:formatCode>0.000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4-4F5D-A850-4A3CD1872F3C}"/>
            </c:ext>
          </c:extLst>
        </c:ser>
        <c:ser>
          <c:idx val="7"/>
          <c:order val="6"/>
          <c:tx>
            <c:strRef>
              <c:f>[1]Sheet1!$B$9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[1]Sheet1!$C$9:$F$9</c:f>
              <c:numCache>
                <c:formatCode>0.000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4-4F5D-A850-4A3CD1872F3C}"/>
            </c:ext>
          </c:extLst>
        </c:ser>
        <c:ser>
          <c:idx val="6"/>
          <c:order val="7"/>
          <c:tx>
            <c:strRef>
              <c:f>[1]Sheet1!$B$10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[1]Sheet1!$C$10:$F$10</c:f>
              <c:numCache>
                <c:formatCode>0.000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4-4F5D-A850-4A3CD1872F3C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[1]Sheet1!$C$11:$F$11</c:f>
              <c:numCache>
                <c:formatCode>0.000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4-4F5D-A850-4A3CD1872F3C}"/>
            </c:ext>
          </c:extLst>
        </c:ser>
        <c:ser>
          <c:idx val="9"/>
          <c:order val="9"/>
          <c:tx>
            <c:strRef>
              <c:f>[1]Sheet1!$B$13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[1]Sheet1!$C$13:$F$13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4-4F5D-A850-4A3CD18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782839</xdr:colOff>
      <xdr:row>35</xdr:row>
      <xdr:rowOff>61806</xdr:rowOff>
    </xdr:from>
    <xdr:to>
      <xdr:col>16</xdr:col>
      <xdr:colOff>432264</xdr:colOff>
      <xdr:row>60</xdr:row>
      <xdr:rowOff>163001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191191</xdr:colOff>
      <xdr:row>14</xdr:row>
      <xdr:rowOff>78970</xdr:rowOff>
    </xdr:from>
    <xdr:to>
      <xdr:col>17</xdr:col>
      <xdr:colOff>307570</xdr:colOff>
      <xdr:row>33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640079</xdr:colOff>
      <xdr:row>36</xdr:row>
      <xdr:rowOff>182883</xdr:rowOff>
    </xdr:from>
    <xdr:to>
      <xdr:col>7</xdr:col>
      <xdr:colOff>1230285</xdr:colOff>
      <xdr:row>51</xdr:row>
      <xdr:rowOff>473824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33249</xdr:colOff>
      <xdr:row>46</xdr:row>
      <xdr:rowOff>166255</xdr:rowOff>
    </xdr:from>
    <xdr:to>
      <xdr:col>12</xdr:col>
      <xdr:colOff>515386</xdr:colOff>
      <xdr:row>64</xdr:row>
      <xdr:rowOff>116375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764768</xdr:colOff>
      <xdr:row>66</xdr:row>
      <xdr:rowOff>174565</xdr:rowOff>
    </xdr:from>
    <xdr:to>
      <xdr:col>7</xdr:col>
      <xdr:colOff>1479662</xdr:colOff>
      <xdr:row>84</xdr:row>
      <xdr:rowOff>124686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1496292</xdr:colOff>
      <xdr:row>64</xdr:row>
      <xdr:rowOff>149629</xdr:rowOff>
    </xdr:from>
    <xdr:to>
      <xdr:col>12</xdr:col>
      <xdr:colOff>473825</xdr:colOff>
      <xdr:row>82</xdr:row>
      <xdr:rowOff>99750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1155471</xdr:colOff>
      <xdr:row>42</xdr:row>
      <xdr:rowOff>232756</xdr:rowOff>
    </xdr:from>
    <xdr:to>
      <xdr:col>18</xdr:col>
      <xdr:colOff>407326</xdr:colOff>
      <xdr:row>51</xdr:row>
      <xdr:rowOff>365758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5C2C4-D3F9-4145-ADDA-82CE97F4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IR%20peak%20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big dose</v>
          </cell>
          <cell r="D2" t="str">
            <v>100 K</v>
          </cell>
          <cell r="E2">
            <v>191</v>
          </cell>
          <cell r="F2">
            <v>249</v>
          </cell>
        </row>
        <row r="3">
          <cell r="B3">
            <v>748</v>
          </cell>
          <cell r="C3">
            <v>0.32591093117408909</v>
          </cell>
          <cell r="D3">
            <v>0.32603950103950102</v>
          </cell>
          <cell r="E3">
            <v>0.24724108658743638</v>
          </cell>
          <cell r="F3">
            <v>1.1324125506680678</v>
          </cell>
        </row>
        <row r="4">
          <cell r="B4">
            <v>760</v>
          </cell>
          <cell r="C4">
            <v>0.46052631578947373</v>
          </cell>
          <cell r="D4">
            <v>0.41767151767151772</v>
          </cell>
          <cell r="E4">
            <v>0.40110356536502545</v>
          </cell>
          <cell r="F4">
            <v>0.20267227143071612</v>
          </cell>
        </row>
        <row r="5">
          <cell r="B5">
            <v>837</v>
          </cell>
          <cell r="C5">
            <v>6.1133603238866407E-2</v>
          </cell>
          <cell r="D5">
            <v>5.9251559251559248E-2</v>
          </cell>
          <cell r="E5">
            <v>6.6956706281833603E-2</v>
          </cell>
          <cell r="F5">
            <v>0.24771055397087521</v>
          </cell>
        </row>
        <row r="6">
          <cell r="B6">
            <v>1027</v>
          </cell>
          <cell r="C6">
            <v>0.26113360323886642</v>
          </cell>
          <cell r="D6">
            <v>0.2354469854469855</v>
          </cell>
          <cell r="E6">
            <v>0.21010186757215621</v>
          </cell>
          <cell r="F6">
            <v>0.19876895361056901</v>
          </cell>
        </row>
        <row r="7">
          <cell r="B7">
            <v>1043</v>
          </cell>
          <cell r="C7">
            <v>0.22064777327935223</v>
          </cell>
          <cell r="D7">
            <v>0.20270270270270271</v>
          </cell>
          <cell r="E7">
            <v>0.21010186757215621</v>
          </cell>
          <cell r="F7">
            <v>0.15298003302807384</v>
          </cell>
        </row>
        <row r="8">
          <cell r="B8">
            <v>1112</v>
          </cell>
          <cell r="C8">
            <v>0.25607287449392713</v>
          </cell>
          <cell r="D8">
            <v>0.24532224532224531</v>
          </cell>
          <cell r="E8">
            <v>0.23662988115449918</v>
          </cell>
          <cell r="F8">
            <v>0.23244257618976133</v>
          </cell>
        </row>
        <row r="9">
          <cell r="B9">
            <v>1232</v>
          </cell>
          <cell r="C9">
            <v>0.28390688259109309</v>
          </cell>
          <cell r="D9">
            <v>0.27546777546777551</v>
          </cell>
          <cell r="E9">
            <v>0.24034380305602721</v>
          </cell>
          <cell r="F9">
            <v>0.2867437321723465</v>
          </cell>
        </row>
        <row r="10">
          <cell r="B10">
            <v>1268</v>
          </cell>
          <cell r="C10">
            <v>0.88765182186234814</v>
          </cell>
          <cell r="D10">
            <v>0.87650727650727644</v>
          </cell>
          <cell r="E10">
            <v>0.9433361629881154</v>
          </cell>
          <cell r="F10">
            <v>0.66784266626632627</v>
          </cell>
        </row>
        <row r="11">
          <cell r="B11">
            <v>1458</v>
          </cell>
          <cell r="C11">
            <v>0.16093117408906882</v>
          </cell>
          <cell r="D11">
            <v>0.18607068607068608</v>
          </cell>
          <cell r="E11">
            <v>0.1467529711375212</v>
          </cell>
          <cell r="F11">
            <v>0.43431917129560127</v>
          </cell>
        </row>
        <row r="13">
          <cell r="B13" t="str">
            <v>raw 1508/ raw 1508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J4" sqref="J4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topLeftCell="A4" zoomScale="90" zoomScaleNormal="90" workbookViewId="0">
      <selection activeCell="M16" sqref="M16:Q18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opLeftCell="A7" zoomScale="90" zoomScaleNormal="90" workbookViewId="0">
      <selection activeCell="I8" sqref="I8:I12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34" zoomScaleNormal="100" workbookViewId="0">
      <selection activeCell="S41" sqref="S41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S52"/>
  <sheetViews>
    <sheetView tabSelected="1" topLeftCell="A37" workbookViewId="0">
      <selection activeCell="Q13" sqref="Q13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26.441406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7" bestFit="1" customWidth="1"/>
    <col min="15" max="15" width="12" bestFit="1" customWidth="1"/>
    <col min="16" max="16" width="8" bestFit="1" customWidth="1"/>
    <col min="17" max="17" width="9.77734375" bestFit="1" customWidth="1"/>
    <col min="18" max="18" width="10.44140625" bestFit="1" customWidth="1"/>
    <col min="19" max="19" width="21.5546875" bestFit="1" customWidth="1"/>
  </cols>
  <sheetData>
    <row r="1" spans="1:19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  <c r="Q1" t="s">
        <v>15</v>
      </c>
      <c r="R1" t="s">
        <v>16</v>
      </c>
      <c r="S1" t="s">
        <v>17</v>
      </c>
    </row>
    <row r="2" spans="1:19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 t="shared" ref="K2:K13" si="1">C2+J2</f>
        <v>0</v>
      </c>
      <c r="M2" s="60">
        <f t="shared" ref="M2:M7" si="2">E2/I2</f>
        <v>0</v>
      </c>
      <c r="P2" t="s">
        <v>14</v>
      </c>
      <c r="Q2" s="7">
        <v>750000</v>
      </c>
      <c r="R2" s="7">
        <v>2253432</v>
      </c>
      <c r="S2" s="7">
        <f>SUM(J14,M14)</f>
        <v>0</v>
      </c>
    </row>
    <row r="3" spans="1:19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si="1"/>
        <v>369912.27018393949</v>
      </c>
      <c r="M3" s="60">
        <f t="shared" si="2"/>
        <v>0.26710301551784826</v>
      </c>
      <c r="P3" t="s">
        <v>18</v>
      </c>
      <c r="Q3">
        <v>0.85</v>
      </c>
      <c r="R3">
        <v>0.77</v>
      </c>
      <c r="S3">
        <v>7.4999999999999997E-2</v>
      </c>
    </row>
    <row r="4" spans="1:19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 t="shared" si="0"/>
        <v>1090.0607117791824</v>
      </c>
      <c r="K4" s="7">
        <f t="shared" si="1"/>
        <v>423326.41685823706</v>
      </c>
      <c r="M4" s="60">
        <f t="shared" si="2"/>
        <v>0.10024787431689695</v>
      </c>
    </row>
    <row r="5" spans="1:19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1"/>
        <v>523825.81613468524</v>
      </c>
      <c r="M5" s="60">
        <f t="shared" si="2"/>
        <v>0.30733451722649335</v>
      </c>
      <c r="Q5" s="8">
        <v>10000000</v>
      </c>
      <c r="R5" s="69">
        <f>Q5*R3/R2</f>
        <v>3.4170101427511459</v>
      </c>
    </row>
    <row r="6" spans="1:19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1"/>
        <v>540394.7682387901</v>
      </c>
      <c r="M6" s="60">
        <f t="shared" si="2"/>
        <v>0.4405519935863853</v>
      </c>
    </row>
    <row r="7" spans="1:19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1"/>
        <v>589801.50926735823</v>
      </c>
      <c r="M7" s="60">
        <f t="shared" si="2"/>
        <v>1.1246660045486305</v>
      </c>
    </row>
    <row r="8" spans="1:19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1"/>
        <v>630921.78129353188</v>
      </c>
      <c r="M8" s="60">
        <f>E8/I8</f>
        <v>1.2880547684037877</v>
      </c>
      <c r="N8" s="60">
        <f>(M8-(J42-1))/M8</f>
        <v>5.8086818315190102E-2</v>
      </c>
      <c r="O8">
        <f>(E8+G8)/H8</f>
        <v>13.828360080217269</v>
      </c>
    </row>
    <row r="9" spans="1:19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1"/>
        <v>636782.42995071318</v>
      </c>
      <c r="M9" s="60">
        <f t="shared" ref="M9:M13" si="3">E9/I9</f>
        <v>2.1392549000533054</v>
      </c>
    </row>
    <row r="10" spans="1:19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1"/>
        <v>637661.2923572578</v>
      </c>
      <c r="M10" s="60">
        <f t="shared" si="3"/>
        <v>2.189027285302521</v>
      </c>
    </row>
    <row r="11" spans="1:19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1"/>
        <v>645314.95140089153</v>
      </c>
      <c r="M11" s="60">
        <f t="shared" si="3"/>
        <v>4.0888432951818157</v>
      </c>
    </row>
    <row r="12" spans="1:19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1"/>
        <v>680396.0799609106</v>
      </c>
      <c r="M12" s="60">
        <f t="shared" si="3"/>
        <v>9.0841858761354839</v>
      </c>
    </row>
    <row r="13" spans="1:19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1"/>
        <v>752643.7848669868</v>
      </c>
      <c r="M13" s="60">
        <f t="shared" si="3"/>
        <v>21.70248746733488</v>
      </c>
    </row>
    <row r="14" spans="1:19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19" x14ac:dyDescent="0.3">
      <c r="A16" s="20" t="s">
        <v>90</v>
      </c>
      <c r="B16">
        <v>0</v>
      </c>
      <c r="C16">
        <v>309521</v>
      </c>
    </row>
    <row r="17" spans="1:16" x14ac:dyDescent="0.3">
      <c r="A17" s="20" t="s">
        <v>24</v>
      </c>
      <c r="B17" s="8">
        <v>200000000</v>
      </c>
      <c r="C17" s="8">
        <v>40000000</v>
      </c>
      <c r="H17" s="53" t="s">
        <v>115</v>
      </c>
      <c r="I17" s="53" t="s">
        <v>114</v>
      </c>
      <c r="J17" s="54" t="s">
        <v>116</v>
      </c>
      <c r="K17" s="54" t="s">
        <v>117</v>
      </c>
      <c r="L17" s="54" t="s">
        <v>118</v>
      </c>
      <c r="M17" s="54" t="s">
        <v>119</v>
      </c>
      <c r="N17" s="54" t="s">
        <v>116</v>
      </c>
      <c r="O17" s="54" t="s">
        <v>142</v>
      </c>
    </row>
    <row r="18" spans="1:16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  <c r="N18" t="s">
        <v>141</v>
      </c>
      <c r="O18" t="s">
        <v>141</v>
      </c>
      <c r="P18" t="s">
        <v>81</v>
      </c>
    </row>
    <row r="19" spans="1:16" x14ac:dyDescent="0.3">
      <c r="A19" s="1">
        <v>0</v>
      </c>
      <c r="B19" s="41">
        <f t="shared" ref="B19:B30" si="4">A19*$B$17</f>
        <v>0</v>
      </c>
      <c r="C19" s="42">
        <f t="shared" ref="C19:C30" si="5">A19*$C$17+$C$16</f>
        <v>309521</v>
      </c>
      <c r="D19" s="42">
        <f t="shared" ref="D19:D30" si="6">B19-K2</f>
        <v>0</v>
      </c>
      <c r="E19" s="42">
        <f t="shared" ref="E19:E30" si="7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>C2+$F$32*J2</f>
        <v>0</v>
      </c>
      <c r="K19" s="9">
        <f>C2+$F$33*J2</f>
        <v>0</v>
      </c>
      <c r="L19" s="9">
        <f>C2+$F$34*J2</f>
        <v>0</v>
      </c>
      <c r="M19" s="9">
        <f>C2+$F$35*J2</f>
        <v>0</v>
      </c>
      <c r="N19" s="3">
        <v>0</v>
      </c>
      <c r="O19" s="3">
        <v>0</v>
      </c>
      <c r="P19" s="3">
        <f>(C2/$R$2)*$R$3</f>
        <v>0</v>
      </c>
    </row>
    <row r="20" spans="1:16" x14ac:dyDescent="0.3">
      <c r="A20" s="1">
        <v>1.5E-3</v>
      </c>
      <c r="B20" s="45">
        <f t="shared" si="4"/>
        <v>300000</v>
      </c>
      <c r="C20" s="46">
        <f t="shared" si="5"/>
        <v>369521</v>
      </c>
      <c r="D20" s="46">
        <f t="shared" si="6"/>
        <v>-69912.270183939487</v>
      </c>
      <c r="E20" s="46">
        <f t="shared" si="7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8">(B20-(C3+$F$32*J3))^2</f>
        <v>31029540985.676144</v>
      </c>
      <c r="I20" s="44">
        <f t="shared" ref="I20:I29" si="9">(C20-(C3+$F$35*J3))^2</f>
        <v>370350242.04066366</v>
      </c>
      <c r="J20" s="9">
        <f t="shared" ref="J20:J29" si="10">C3+$F$32*J3</f>
        <v>476152.03940254607</v>
      </c>
      <c r="K20" s="9">
        <f t="shared" ref="K20:K30" si="11">C3+$F$33*J3</f>
        <v>470674.61869295326</v>
      </c>
      <c r="L20" s="9">
        <f t="shared" ref="L20:L30" si="12">C3+$F$34*J3</f>
        <v>384386.88498789747</v>
      </c>
      <c r="M20" s="9">
        <f t="shared" ref="M20:M30" si="13">C3+$F$35*J3</f>
        <v>388765.48601653636</v>
      </c>
      <c r="N20" s="3">
        <f t="shared" ref="N20:N30" si="14">(J20/C3)*($J$34/2)</f>
        <v>0.13639179981394384</v>
      </c>
      <c r="O20" s="3">
        <f t="shared" ref="O20:O30" si="15">(L20/C3)*($J$34/2)</f>
        <v>0.11010604750146204</v>
      </c>
      <c r="P20" s="3">
        <f>(C3/$R$2)*$R$3</f>
        <v>0.12625603209564973</v>
      </c>
    </row>
    <row r="21" spans="1:16" x14ac:dyDescent="0.3">
      <c r="A21" s="1">
        <v>2.5000000000000001E-3</v>
      </c>
      <c r="B21" s="45">
        <f t="shared" si="4"/>
        <v>500000</v>
      </c>
      <c r="C21" s="46">
        <f t="shared" si="5"/>
        <v>409521</v>
      </c>
      <c r="D21" s="46">
        <f t="shared" si="6"/>
        <v>76673.583141762938</v>
      </c>
      <c r="E21" s="46">
        <f t="shared" si="7"/>
        <v>-13805.416858237062</v>
      </c>
      <c r="F21" s="46">
        <f t="shared" ref="F21:F30" si="16">D21/J4</f>
        <v>70.338819033865875</v>
      </c>
      <c r="G21" s="46">
        <f t="shared" ref="G21:G30" si="17">E21/J4</f>
        <v>-12.664814637437988</v>
      </c>
      <c r="H21" s="43">
        <f t="shared" si="8"/>
        <v>39738462278.696556</v>
      </c>
      <c r="I21" s="44">
        <f t="shared" si="9"/>
        <v>3942263401.6756787</v>
      </c>
      <c r="J21" s="9">
        <f t="shared" si="10"/>
        <v>699345.08340738318</v>
      </c>
      <c r="K21" s="9">
        <f t="shared" si="11"/>
        <v>685114.3450359588</v>
      </c>
      <c r="L21" s="9">
        <f t="shared" si="12"/>
        <v>460932.52148728672</v>
      </c>
      <c r="M21" s="9">
        <f t="shared" si="13"/>
        <v>472308.44621081254</v>
      </c>
      <c r="N21" s="3">
        <f t="shared" si="14"/>
        <v>0.17530099498283538</v>
      </c>
      <c r="O21" s="3">
        <f t="shared" si="15"/>
        <v>0.11553942617710476</v>
      </c>
      <c r="P21" s="3">
        <f>(C4/$R$2)*$R$3</f>
        <v>0.14427859115907318</v>
      </c>
    </row>
    <row r="22" spans="1:16" x14ac:dyDescent="0.3">
      <c r="A22" s="1">
        <v>5.0000000000000001E-3</v>
      </c>
      <c r="B22" s="45">
        <f t="shared" si="4"/>
        <v>1000000</v>
      </c>
      <c r="C22" s="46">
        <f t="shared" si="5"/>
        <v>509521</v>
      </c>
      <c r="D22" s="46">
        <f t="shared" si="6"/>
        <v>476174.18386531476</v>
      </c>
      <c r="E22" s="46">
        <f t="shared" si="7"/>
        <v>-14304.816134685243</v>
      </c>
      <c r="F22" s="46">
        <f t="shared" si="16"/>
        <v>217.20114108292262</v>
      </c>
      <c r="G22" s="46">
        <f t="shared" si="17"/>
        <v>-6.5249702581815194</v>
      </c>
      <c r="H22" s="43">
        <f t="shared" si="8"/>
        <v>6233377473.4705591</v>
      </c>
      <c r="I22" s="44">
        <f t="shared" si="9"/>
        <v>12727669552.138348</v>
      </c>
      <c r="J22" s="9">
        <f t="shared" si="10"/>
        <v>1078951.7414213934</v>
      </c>
      <c r="K22" s="9">
        <f t="shared" si="11"/>
        <v>1050331.0256389577</v>
      </c>
      <c r="L22" s="9">
        <f t="shared" si="12"/>
        <v>599458.82997982996</v>
      </c>
      <c r="M22" s="9">
        <f t="shared" si="13"/>
        <v>622337.97368808626</v>
      </c>
      <c r="N22" s="3">
        <f t="shared" si="14"/>
        <v>0.21891979265516875</v>
      </c>
      <c r="O22" s="3">
        <f t="shared" si="15"/>
        <v>0.12163046568849288</v>
      </c>
      <c r="P22" s="3">
        <f>(C5/$R$2)*$R$3</f>
        <v>0.17824269505795895</v>
      </c>
    </row>
    <row r="23" spans="1:16" x14ac:dyDescent="0.3">
      <c r="A23" s="1">
        <v>7.4999999999999997E-3</v>
      </c>
      <c r="B23" s="45">
        <f t="shared" si="4"/>
        <v>1500000</v>
      </c>
      <c r="C23" s="46">
        <f t="shared" si="5"/>
        <v>609521</v>
      </c>
      <c r="D23" s="46">
        <f t="shared" si="6"/>
        <v>959605.2317612099</v>
      </c>
      <c r="E23" s="46">
        <f t="shared" si="7"/>
        <v>69126.2317612099</v>
      </c>
      <c r="F23" s="46">
        <f t="shared" si="16"/>
        <v>376.8459400799847</v>
      </c>
      <c r="G23" s="46">
        <f t="shared" si="17"/>
        <v>27.146517057258354</v>
      </c>
      <c r="H23" s="43">
        <f t="shared" si="8"/>
        <v>99110276015.425797</v>
      </c>
      <c r="I23" s="44">
        <f t="shared" si="9"/>
        <v>2051833574.1126113</v>
      </c>
      <c r="J23" s="9">
        <f t="shared" si="10"/>
        <v>1185182.1542297422</v>
      </c>
      <c r="K23" s="9">
        <f t="shared" si="11"/>
        <v>1151938.7482313367</v>
      </c>
      <c r="L23" s="9">
        <f t="shared" si="12"/>
        <v>628243.68876369868</v>
      </c>
      <c r="M23" s="9">
        <f t="shared" si="13"/>
        <v>654818.16960376897</v>
      </c>
      <c r="N23" s="3">
        <f t="shared" si="14"/>
        <v>0.23322426781711439</v>
      </c>
      <c r="O23" s="3">
        <f t="shared" si="15"/>
        <v>0.12362797887204278</v>
      </c>
      <c r="P23" s="3">
        <f>(C6/$R$2)*$R$3</f>
        <v>0.18378332866458613</v>
      </c>
    </row>
    <row r="24" spans="1:16" x14ac:dyDescent="0.3">
      <c r="A24" s="1">
        <v>0.01</v>
      </c>
      <c r="B24" s="45">
        <f t="shared" si="4"/>
        <v>2000000</v>
      </c>
      <c r="C24" s="46">
        <f t="shared" si="5"/>
        <v>709521</v>
      </c>
      <c r="D24" s="46">
        <f t="shared" si="6"/>
        <v>1410198.4907326419</v>
      </c>
      <c r="E24" s="46">
        <f t="shared" si="7"/>
        <v>119719.49073264177</v>
      </c>
      <c r="F24" s="46">
        <f t="shared" si="16"/>
        <v>206.61043371783882</v>
      </c>
      <c r="G24" s="46">
        <f t="shared" si="17"/>
        <v>17.540293843244115</v>
      </c>
      <c r="H24" s="43">
        <f t="shared" si="8"/>
        <v>101180045029.55783</v>
      </c>
      <c r="I24" s="44">
        <f t="shared" si="9"/>
        <v>34961792031.58284</v>
      </c>
      <c r="J24" s="9">
        <f t="shared" si="10"/>
        <v>2318088.1089093992</v>
      </c>
      <c r="K24" s="9">
        <f t="shared" si="11"/>
        <v>2228982.561310628</v>
      </c>
      <c r="L24" s="9">
        <f t="shared" si="12"/>
        <v>825271.55014428799</v>
      </c>
      <c r="M24" s="9">
        <f t="shared" si="13"/>
        <v>896501.72636392992</v>
      </c>
      <c r="N24" s="3">
        <f t="shared" si="14"/>
        <v>0.42085031876237511</v>
      </c>
      <c r="O24" s="3">
        <f t="shared" si="15"/>
        <v>0.14982855639044115</v>
      </c>
      <c r="P24" s="3">
        <f>(C7/$R$2)*$R$3</f>
        <v>0.19920352843609554</v>
      </c>
    </row>
    <row r="25" spans="1:16" x14ac:dyDescent="0.3">
      <c r="A25" s="1">
        <v>1.4999999999999999E-2</v>
      </c>
      <c r="B25" s="45">
        <f t="shared" si="4"/>
        <v>3000000</v>
      </c>
      <c r="C25" s="46">
        <f t="shared" si="5"/>
        <v>909521</v>
      </c>
      <c r="D25" s="46">
        <f t="shared" si="6"/>
        <v>2369078.2187064681</v>
      </c>
      <c r="E25" s="46">
        <f t="shared" si="7"/>
        <v>278599.21870646812</v>
      </c>
      <c r="F25" s="46">
        <f t="shared" si="16"/>
        <v>238.29241232411528</v>
      </c>
      <c r="G25" s="46">
        <f t="shared" si="17"/>
        <v>28.022747148224759</v>
      </c>
      <c r="H25" s="43">
        <f t="shared" si="8"/>
        <v>22007475644.885487</v>
      </c>
      <c r="I25" s="44">
        <f t="shared" si="9"/>
        <v>28271472254.749557</v>
      </c>
      <c r="J25" s="9">
        <f t="shared" si="10"/>
        <v>3148349.1679952587</v>
      </c>
      <c r="K25" s="9">
        <f t="shared" si="11"/>
        <v>3018557.7630982576</v>
      </c>
      <c r="L25" s="9">
        <f t="shared" si="12"/>
        <v>973908.14117975277</v>
      </c>
      <c r="M25" s="9">
        <f t="shared" si="13"/>
        <v>1077662.2271120606</v>
      </c>
      <c r="N25" s="3">
        <f t="shared" si="14"/>
        <v>0.53660391711807498</v>
      </c>
      <c r="O25" s="3">
        <f t="shared" si="15"/>
        <v>0.16599268238186268</v>
      </c>
      <c r="P25" s="3">
        <f>(C8/$R$2)*$R$3</f>
        <v>0.21218945688184485</v>
      </c>
    </row>
    <row r="26" spans="1:16" x14ac:dyDescent="0.3">
      <c r="A26" s="1">
        <v>2.5000000000000001E-2</v>
      </c>
      <c r="B26" s="45">
        <f t="shared" si="4"/>
        <v>5000000</v>
      </c>
      <c r="C26" s="46">
        <f t="shared" si="5"/>
        <v>1309521</v>
      </c>
      <c r="D26" s="46">
        <f t="shared" si="6"/>
        <v>4363217.5700492868</v>
      </c>
      <c r="E26" s="46">
        <f t="shared" si="7"/>
        <v>672738.57004928682</v>
      </c>
      <c r="F26" s="46">
        <f t="shared" si="16"/>
        <v>265.46105048916729</v>
      </c>
      <c r="G26" s="46">
        <f t="shared" si="17"/>
        <v>40.929860737576426</v>
      </c>
      <c r="H26" s="43">
        <f t="shared" si="8"/>
        <v>40520328726.549553</v>
      </c>
      <c r="I26" s="44">
        <f t="shared" si="9"/>
        <v>4333885758.6303024</v>
      </c>
      <c r="J26" s="9">
        <f t="shared" si="10"/>
        <v>4798703.3812341858</v>
      </c>
      <c r="K26" s="9">
        <f t="shared" si="11"/>
        <v>4584126.5595983975</v>
      </c>
      <c r="L26" s="9">
        <f t="shared" si="12"/>
        <v>1203822.4664401743</v>
      </c>
      <c r="M26" s="9">
        <f t="shared" si="13"/>
        <v>1375353.2546980605</v>
      </c>
      <c r="N26" s="3">
        <f t="shared" si="14"/>
        <v>0.81872558441365972</v>
      </c>
      <c r="O26" s="3">
        <f t="shared" si="15"/>
        <v>0.20538886738047077</v>
      </c>
      <c r="P26" s="3">
        <f>(C9/$R$2)*$R$3</f>
        <v>0.21197287592552777</v>
      </c>
    </row>
    <row r="27" spans="1:16" x14ac:dyDescent="0.3">
      <c r="A27" s="1">
        <v>3.5000000000000003E-2</v>
      </c>
      <c r="B27" s="45">
        <f t="shared" si="4"/>
        <v>7000000.0000000009</v>
      </c>
      <c r="C27" s="46">
        <f t="shared" si="5"/>
        <v>1709521.0000000002</v>
      </c>
      <c r="D27" s="46">
        <f t="shared" si="6"/>
        <v>6362338.7076427434</v>
      </c>
      <c r="E27" s="46">
        <f t="shared" si="7"/>
        <v>1071859.7076427424</v>
      </c>
      <c r="F27" s="46">
        <f t="shared" si="16"/>
        <v>345.32672679063143</v>
      </c>
      <c r="G27" s="46">
        <f t="shared" si="17"/>
        <v>58.177003996093369</v>
      </c>
      <c r="H27" s="43">
        <f t="shared" si="8"/>
        <v>2880130557675.0469</v>
      </c>
      <c r="I27" s="44">
        <f t="shared" si="9"/>
        <v>59521177421.921738</v>
      </c>
      <c r="J27" s="9">
        <f t="shared" si="10"/>
        <v>5302905.2596643157</v>
      </c>
      <c r="K27" s="9">
        <f t="shared" si="11"/>
        <v>5062378.5330931218</v>
      </c>
      <c r="L27" s="9">
        <f t="shared" si="12"/>
        <v>1273276.4663163493</v>
      </c>
      <c r="M27" s="9">
        <f t="shared" si="13"/>
        <v>1465551.3760261913</v>
      </c>
      <c r="N27" s="3">
        <f t="shared" si="14"/>
        <v>0.9063695873915345</v>
      </c>
      <c r="O27" s="3">
        <f t="shared" si="15"/>
        <v>0.21762769819567826</v>
      </c>
      <c r="P27" s="3">
        <f>(C10/$R$2)*$R$3</f>
        <v>0.21159397219265294</v>
      </c>
    </row>
    <row r="28" spans="1:16" x14ac:dyDescent="0.3">
      <c r="A28" s="1">
        <v>0.05</v>
      </c>
      <c r="B28" s="45">
        <f t="shared" si="4"/>
        <v>10000000</v>
      </c>
      <c r="C28" s="46">
        <f t="shared" si="5"/>
        <v>2309521</v>
      </c>
      <c r="D28" s="46">
        <f t="shared" si="6"/>
        <v>9354685.0485991091</v>
      </c>
      <c r="E28" s="46">
        <f t="shared" si="7"/>
        <v>1664206.0485991086</v>
      </c>
      <c r="F28" s="46">
        <f t="shared" si="16"/>
        <v>313.33421040867256</v>
      </c>
      <c r="G28" s="46">
        <f t="shared" si="17"/>
        <v>55.742409871215031</v>
      </c>
      <c r="H28" s="43">
        <f t="shared" si="8"/>
        <v>3221686310016.6226</v>
      </c>
      <c r="I28" s="44">
        <f t="shared" si="9"/>
        <v>104105770642.6185</v>
      </c>
      <c r="J28" s="9">
        <f t="shared" si="10"/>
        <v>8205094.3450931404</v>
      </c>
      <c r="K28" s="9">
        <f t="shared" si="11"/>
        <v>7815333.5943354974</v>
      </c>
      <c r="L28" s="9">
        <f t="shared" si="12"/>
        <v>1675295.4900580654</v>
      </c>
      <c r="M28" s="9">
        <f t="shared" si="13"/>
        <v>1986866.7413226683</v>
      </c>
      <c r="N28" s="3">
        <f t="shared" si="14"/>
        <v>1.4110177225224736</v>
      </c>
      <c r="O28" s="3">
        <f t="shared" si="15"/>
        <v>0.28809804342439516</v>
      </c>
      <c r="P28" s="3">
        <f>(C11/$R$2)*$R$3</f>
        <v>0.21030318909577497</v>
      </c>
    </row>
    <row r="29" spans="1:16" x14ac:dyDescent="0.3">
      <c r="A29" s="1">
        <v>0.09</v>
      </c>
      <c r="B29" s="45">
        <f t="shared" si="4"/>
        <v>18000000</v>
      </c>
      <c r="C29" s="46">
        <f t="shared" si="5"/>
        <v>3909521</v>
      </c>
      <c r="D29" s="46">
        <f t="shared" si="6"/>
        <v>17319603.920039088</v>
      </c>
      <c r="E29" s="46">
        <f t="shared" si="7"/>
        <v>3229124.9200390894</v>
      </c>
      <c r="F29" s="46">
        <f t="shared" si="16"/>
        <v>278.47131366044891</v>
      </c>
      <c r="G29" s="46">
        <f t="shared" si="17"/>
        <v>51.919123705627328</v>
      </c>
      <c r="H29" s="43">
        <f t="shared" si="8"/>
        <v>2467676605710.5039</v>
      </c>
      <c r="I29" s="44">
        <f t="shared" si="9"/>
        <v>188678134025.68134</v>
      </c>
      <c r="J29" s="9">
        <f t="shared" si="10"/>
        <v>16429115.979548298</v>
      </c>
      <c r="K29" s="9">
        <f t="shared" si="11"/>
        <v>15617156.71832215</v>
      </c>
      <c r="L29" s="9">
        <f t="shared" si="12"/>
        <v>2826077.0794451539</v>
      </c>
      <c r="M29" s="9">
        <f t="shared" si="13"/>
        <v>3475150.0363920704</v>
      </c>
      <c r="N29" s="3">
        <f t="shared" si="14"/>
        <v>2.8127628626255956</v>
      </c>
      <c r="O29" s="3">
        <f t="shared" si="15"/>
        <v>0.48384128920120301</v>
      </c>
      <c r="P29" s="3">
        <f>(C12/$R$2)*$R$3</f>
        <v>0.21123983718815917</v>
      </c>
    </row>
    <row r="30" spans="1:16" x14ac:dyDescent="0.3">
      <c r="A30" s="1">
        <v>0.15</v>
      </c>
      <c r="B30" s="47">
        <f t="shared" si="4"/>
        <v>30000000</v>
      </c>
      <c r="C30" s="48">
        <f t="shared" si="5"/>
        <v>6309521</v>
      </c>
      <c r="D30" s="48">
        <f t="shared" si="6"/>
        <v>29247356.215133011</v>
      </c>
      <c r="E30" s="48">
        <f t="shared" si="7"/>
        <v>5556877.2151330132</v>
      </c>
      <c r="F30" s="48">
        <f t="shared" si="16"/>
        <v>225.07443619253445</v>
      </c>
      <c r="G30" s="48">
        <f t="shared" si="17"/>
        <v>42.763215826669068</v>
      </c>
      <c r="H30" s="43">
        <f t="shared" si="8"/>
        <v>13370774288585.053</v>
      </c>
      <c r="I30" s="44">
        <f>(C30-(C13+$F$35*J13))^2</f>
        <v>79654389581.845734</v>
      </c>
      <c r="J30" s="9">
        <f>C13+$F$32*J13</f>
        <v>33656606.936571807</v>
      </c>
      <c r="K30" s="9">
        <f t="shared" si="11"/>
        <v>31960172.065521073</v>
      </c>
      <c r="L30" s="9">
        <f t="shared" si="12"/>
        <v>5235637.2594155082</v>
      </c>
      <c r="M30" s="9">
        <f t="shared" si="13"/>
        <v>6591752.0925143538</v>
      </c>
      <c r="N30" s="3">
        <f>(J30/C13)*($J$34/2)</f>
        <v>5.7205919971853456</v>
      </c>
      <c r="O30" s="3">
        <f t="shared" si="15"/>
        <v>0.889897922949345</v>
      </c>
      <c r="P30" s="3">
        <f>(C13/$R$2)*$R$3</f>
        <v>0.21277671740601634</v>
      </c>
    </row>
    <row r="31" spans="1:16" x14ac:dyDescent="0.3">
      <c r="D31" s="34" t="s">
        <v>111</v>
      </c>
      <c r="E31" s="49" t="s">
        <v>102</v>
      </c>
      <c r="F31" s="50">
        <f>AVERAGE(F19:F30)</f>
        <v>197.52717954019639</v>
      </c>
      <c r="G31" s="51">
        <f>AVERAGE(G19:G30)</f>
        <v>25.176568830109659</v>
      </c>
      <c r="H31" s="53" t="s">
        <v>77</v>
      </c>
      <c r="I31" s="53" t="s">
        <v>77</v>
      </c>
    </row>
    <row r="32" spans="1:16" x14ac:dyDescent="0.3">
      <c r="B32" s="8"/>
      <c r="C32" s="8"/>
      <c r="D32" s="5" t="s">
        <v>107</v>
      </c>
      <c r="E32" s="55" t="s">
        <v>98</v>
      </c>
      <c r="F32" s="56">
        <v>254.21403071085103</v>
      </c>
      <c r="G32" s="52" t="s">
        <v>112</v>
      </c>
      <c r="H32" s="64">
        <f>SUM(H19:H26)</f>
        <v>339819506154.26196</v>
      </c>
      <c r="I32" s="64">
        <f>SUM(I19:I26)</f>
        <v>182462516255.92999</v>
      </c>
    </row>
    <row r="33" spans="3:13" x14ac:dyDescent="0.3">
      <c r="D33" s="5" t="s">
        <v>108</v>
      </c>
      <c r="E33" s="57" t="s">
        <v>99</v>
      </c>
      <c r="F33" s="58">
        <v>241.15903458297754</v>
      </c>
      <c r="G33" s="52" t="s">
        <v>113</v>
      </c>
      <c r="H33">
        <f>SUM(H19:H30)</f>
        <v>22280087268141.488</v>
      </c>
      <c r="I33">
        <f>SUM(I19:I30)</f>
        <v>614421987927.99731</v>
      </c>
    </row>
    <row r="34" spans="3:13" x14ac:dyDescent="0.3">
      <c r="D34" s="5" t="s">
        <v>109</v>
      </c>
      <c r="E34" s="57" t="s">
        <v>100</v>
      </c>
      <c r="F34" s="58">
        <v>35.49909186036939</v>
      </c>
      <c r="I34" s="63" t="s">
        <v>81</v>
      </c>
      <c r="J34" s="3">
        <v>0.21167934144832934</v>
      </c>
    </row>
    <row r="35" spans="3:13" x14ac:dyDescent="0.3">
      <c r="D35" s="5" t="s">
        <v>110</v>
      </c>
      <c r="E35" s="59" t="s">
        <v>101</v>
      </c>
      <c r="F35" s="61">
        <v>45.935138770965942</v>
      </c>
      <c r="H35" s="20" t="s">
        <v>121</v>
      </c>
      <c r="I35" s="63" t="s">
        <v>122</v>
      </c>
      <c r="J35">
        <v>7.4999999999999997E-2</v>
      </c>
    </row>
    <row r="36" spans="3:13" x14ac:dyDescent="0.3">
      <c r="H36" s="54" t="s">
        <v>116</v>
      </c>
      <c r="I36" s="54" t="s">
        <v>117</v>
      </c>
      <c r="J36" s="54" t="s">
        <v>118</v>
      </c>
      <c r="K36" s="54" t="s">
        <v>119</v>
      </c>
      <c r="M36" t="s">
        <v>125</v>
      </c>
    </row>
    <row r="37" spans="3:13" x14ac:dyDescent="0.3">
      <c r="G37" s="62" t="s">
        <v>120</v>
      </c>
      <c r="H37" s="60">
        <f>(J26/$C$9)*($J$34/2)</f>
        <v>0.81872558441365972</v>
      </c>
      <c r="I37" s="60">
        <f>(K26/$C$9)*($J$34/2)</f>
        <v>0.78211579219720406</v>
      </c>
      <c r="J37" s="60">
        <f>(L26/$C$9)*($J$34/2)</f>
        <v>0.20538886738047077</v>
      </c>
      <c r="K37" s="60">
        <f>(M26/$C$9)*($J$34/2)</f>
        <v>0.2346544071949476</v>
      </c>
      <c r="M37" t="s">
        <v>126</v>
      </c>
    </row>
    <row r="38" spans="3:13" x14ac:dyDescent="0.3">
      <c r="G38" s="62" t="s">
        <v>86</v>
      </c>
      <c r="H38" s="60">
        <f>H37/$J$35</f>
        <v>10.916341125515464</v>
      </c>
      <c r="I38" s="60">
        <f>I37/$J$35</f>
        <v>10.428210562629388</v>
      </c>
      <c r="J38" s="60">
        <f>J37/$J$35</f>
        <v>2.7385182317396102</v>
      </c>
      <c r="K38" s="60">
        <f t="shared" ref="K38" si="18">K37/$J$35</f>
        <v>3.1287254292659679</v>
      </c>
      <c r="M38" s="65" t="s">
        <v>124</v>
      </c>
    </row>
    <row r="39" spans="3:13" x14ac:dyDescent="0.3">
      <c r="H39" s="20" t="s">
        <v>123</v>
      </c>
      <c r="I39" s="63" t="s">
        <v>122</v>
      </c>
      <c r="J39">
        <v>7.4999999999999997E-2</v>
      </c>
    </row>
    <row r="40" spans="3:13" x14ac:dyDescent="0.3">
      <c r="H40" s="54" t="s">
        <v>116</v>
      </c>
      <c r="I40" s="54" t="s">
        <v>117</v>
      </c>
      <c r="J40" s="54" t="s">
        <v>118</v>
      </c>
      <c r="K40" s="54" t="s">
        <v>119</v>
      </c>
    </row>
    <row r="41" spans="3:13" x14ac:dyDescent="0.3">
      <c r="G41" s="62" t="s">
        <v>120</v>
      </c>
      <c r="H41" s="60">
        <f>(J25/$C$8)*($J$34/2)</f>
        <v>0.53660391711807498</v>
      </c>
      <c r="I41" s="60">
        <f t="shared" ref="I41:K41" si="19">(K25/$C$8)*($J$34/2)</f>
        <v>0.51448229954655988</v>
      </c>
      <c r="J41" s="60">
        <f>(L25/$C$8)*($J$34/2)</f>
        <v>0.16599268238186268</v>
      </c>
      <c r="K41" s="60">
        <f t="shared" si="19"/>
        <v>0.18367650522281309</v>
      </c>
    </row>
    <row r="42" spans="3:13" x14ac:dyDescent="0.3">
      <c r="G42" s="62" t="s">
        <v>86</v>
      </c>
      <c r="H42" s="60">
        <f>H41/$J$35</f>
        <v>7.154718894907667</v>
      </c>
      <c r="I42" s="60">
        <f>I41/$J$35</f>
        <v>6.8597639939541324</v>
      </c>
      <c r="J42" s="60">
        <f>J41/$J$35</f>
        <v>2.2132357650915027</v>
      </c>
      <c r="K42" s="60">
        <f t="shared" ref="K42" si="20">K41/$J$35</f>
        <v>2.4490200696375082</v>
      </c>
    </row>
    <row r="43" spans="3:13" ht="90.35" x14ac:dyDescent="0.3">
      <c r="C43" t="s">
        <v>139</v>
      </c>
      <c r="D43" s="68" t="s">
        <v>140</v>
      </c>
    </row>
    <row r="45" spans="3:13" x14ac:dyDescent="0.3">
      <c r="D45" t="s">
        <v>127</v>
      </c>
      <c r="E45" t="s">
        <v>128</v>
      </c>
    </row>
    <row r="46" spans="3:13" ht="30.15" x14ac:dyDescent="0.3">
      <c r="C46" t="s">
        <v>129</v>
      </c>
      <c r="D46" s="66" t="s">
        <v>130</v>
      </c>
      <c r="E46" s="66" t="s">
        <v>131</v>
      </c>
    </row>
    <row r="47" spans="3:13" ht="45.2" x14ac:dyDescent="0.3">
      <c r="D47" s="66" t="s">
        <v>132</v>
      </c>
      <c r="E47" s="66" t="s">
        <v>133</v>
      </c>
    </row>
    <row r="48" spans="3:13" ht="30.15" x14ac:dyDescent="0.3">
      <c r="D48" s="67" t="s">
        <v>134</v>
      </c>
      <c r="E48" s="66"/>
    </row>
    <row r="51" spans="3:5" ht="45.2" x14ac:dyDescent="0.3">
      <c r="C51" t="s">
        <v>135</v>
      </c>
      <c r="D51" s="66" t="s">
        <v>136</v>
      </c>
      <c r="E51" s="66" t="s">
        <v>138</v>
      </c>
    </row>
    <row r="52" spans="3:5" ht="45.2" x14ac:dyDescent="0.3">
      <c r="D52" s="66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2018-04-26T17:42:49Z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