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0AC4E951-9A59-49D0-84A5-7FA8B3BC19C5}" xr6:coauthVersionLast="32" xr6:coauthVersionMax="32" xr10:uidLastSave="{00000000-0000-0000-0000-000000000000}"/>
  <bookViews>
    <workbookView xWindow="0" yWindow="0" windowWidth="14138" windowHeight="10172" tabRatio="500" activeTab="5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externalReferences>
    <externalReference r:id="rId7"/>
  </externalReferences>
  <definedNames>
    <definedName name="solver_adj" localSheetId="1" hidden="1">'uptake area'!$E$52,'uptake area'!$F$52</definedName>
    <definedName name="solver_adj" localSheetId="5" hidden="1">'vert + sloped intg uptk'!$F$32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uptk'!$H$32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4" i="7" l="1"/>
  <c r="S34" i="7"/>
  <c r="S35" i="7"/>
  <c r="S36" i="7"/>
  <c r="S37" i="7"/>
  <c r="S38" i="7"/>
  <c r="S39" i="7"/>
  <c r="S40" i="7"/>
  <c r="S41" i="7"/>
  <c r="S42" i="7"/>
  <c r="S43" i="7"/>
  <c r="S44" i="7"/>
  <c r="S33" i="7"/>
  <c r="R43" i="7"/>
  <c r="R44" i="7"/>
  <c r="R35" i="7"/>
  <c r="R36" i="7"/>
  <c r="R37" i="7"/>
  <c r="R38" i="7"/>
  <c r="R39" i="7"/>
  <c r="R40" i="7"/>
  <c r="R41" i="7"/>
  <c r="R42" i="7"/>
  <c r="N20" i="7"/>
  <c r="P34" i="7"/>
  <c r="R33" i="7"/>
  <c r="Q34" i="7"/>
  <c r="Q35" i="7"/>
  <c r="Q36" i="7"/>
  <c r="Q37" i="7"/>
  <c r="Q38" i="7"/>
  <c r="Q39" i="7"/>
  <c r="Q40" i="7"/>
  <c r="Q41" i="7"/>
  <c r="Q42" i="7"/>
  <c r="Q43" i="7"/>
  <c r="Q44" i="7"/>
  <c r="Q33" i="7"/>
  <c r="P35" i="7"/>
  <c r="P36" i="7"/>
  <c r="P37" i="7"/>
  <c r="P38" i="7"/>
  <c r="P39" i="7"/>
  <c r="P40" i="7"/>
  <c r="P41" i="7"/>
  <c r="P42" i="7"/>
  <c r="P43" i="7"/>
  <c r="P44" i="7"/>
  <c r="P33" i="7"/>
  <c r="O40" i="7"/>
  <c r="N34" i="7"/>
  <c r="N35" i="7"/>
  <c r="N36" i="7"/>
  <c r="N37" i="7"/>
  <c r="N38" i="7"/>
  <c r="N39" i="7"/>
  <c r="N40" i="7"/>
  <c r="N41" i="7"/>
  <c r="N42" i="7"/>
  <c r="N43" i="7"/>
  <c r="N44" i="7"/>
  <c r="N33" i="7"/>
  <c r="T23" i="7"/>
  <c r="S23" i="7"/>
  <c r="U24" i="7"/>
  <c r="U22" i="7"/>
  <c r="K2" i="7"/>
  <c r="D19" i="7"/>
  <c r="S21" i="7"/>
  <c r="N21" i="7"/>
  <c r="N22" i="7"/>
  <c r="N23" i="7"/>
  <c r="N24" i="7"/>
  <c r="N25" i="7"/>
  <c r="N26" i="7"/>
  <c r="N27" i="7"/>
  <c r="N28" i="7"/>
  <c r="N29" i="7"/>
  <c r="N30" i="7"/>
  <c r="R20" i="7"/>
  <c r="R24" i="7"/>
  <c r="R21" i="7"/>
  <c r="G3" i="7"/>
  <c r="S20" i="7" s="1"/>
  <c r="O37" i="7"/>
  <c r="O44" i="7"/>
  <c r="O43" i="7"/>
  <c r="O35" i="7"/>
  <c r="O36" i="7"/>
  <c r="O38" i="7"/>
  <c r="O39" i="7"/>
  <c r="O41" i="7"/>
  <c r="O42" i="7"/>
  <c r="O33" i="7"/>
  <c r="W23" i="7"/>
  <c r="V22" i="7"/>
  <c r="V21" i="7"/>
  <c r="U21" i="7"/>
  <c r="U20" i="7"/>
  <c r="W20" i="7"/>
  <c r="W21" i="7"/>
  <c r="W22" i="7"/>
  <c r="W24" i="7"/>
  <c r="W25" i="7"/>
  <c r="W26" i="7"/>
  <c r="W27" i="7"/>
  <c r="W28" i="7"/>
  <c r="W29" i="7"/>
  <c r="W30" i="7"/>
  <c r="V20" i="7"/>
  <c r="O34" i="7" s="1"/>
  <c r="V23" i="7"/>
  <c r="V24" i="7"/>
  <c r="V25" i="7"/>
  <c r="V26" i="7"/>
  <c r="V27" i="7"/>
  <c r="V28" i="7"/>
  <c r="V29" i="7"/>
  <c r="V30" i="7"/>
  <c r="U23" i="7"/>
  <c r="U25" i="7"/>
  <c r="U26" i="7"/>
  <c r="U27" i="7"/>
  <c r="U28" i="7"/>
  <c r="U29" i="7"/>
  <c r="U30" i="7"/>
  <c r="T22" i="7"/>
  <c r="T20" i="7"/>
  <c r="T21" i="7"/>
  <c r="T24" i="7"/>
  <c r="T25" i="7"/>
  <c r="T26" i="7"/>
  <c r="T27" i="7"/>
  <c r="T28" i="7"/>
  <c r="T29" i="7"/>
  <c r="T30" i="7"/>
  <c r="S22" i="7"/>
  <c r="S24" i="7"/>
  <c r="S25" i="7"/>
  <c r="S26" i="7"/>
  <c r="S27" i="7"/>
  <c r="S28" i="7"/>
  <c r="S29" i="7"/>
  <c r="S30" i="7"/>
  <c r="R22" i="7"/>
  <c r="R23" i="7"/>
  <c r="R25" i="7"/>
  <c r="R26" i="7"/>
  <c r="R27" i="7"/>
  <c r="R28" i="7"/>
  <c r="R29" i="7"/>
  <c r="R30" i="7"/>
  <c r="H37" i="7" l="1"/>
  <c r="R5" i="7"/>
  <c r="P19" i="7"/>
  <c r="O21" i="7"/>
  <c r="O22" i="7"/>
  <c r="O23" i="7"/>
  <c r="O24" i="7"/>
  <c r="O25" i="7"/>
  <c r="O26" i="7"/>
  <c r="O27" i="7"/>
  <c r="O28" i="7"/>
  <c r="O29" i="7"/>
  <c r="O30" i="7"/>
  <c r="P30" i="7"/>
  <c r="P20" i="7"/>
  <c r="P21" i="7"/>
  <c r="P22" i="7"/>
  <c r="P23" i="7"/>
  <c r="P24" i="7"/>
  <c r="P25" i="7"/>
  <c r="P26" i="7"/>
  <c r="P27" i="7"/>
  <c r="P28" i="7"/>
  <c r="P29" i="7"/>
  <c r="S2" i="7"/>
  <c r="J38" i="5" l="1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D1" i="7"/>
  <c r="G1" i="7"/>
  <c r="H1" i="7"/>
  <c r="I1" i="7"/>
  <c r="D2" i="7"/>
  <c r="G2" i="7"/>
  <c r="H2" i="7"/>
  <c r="I2" i="7"/>
  <c r="D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E3" i="7"/>
  <c r="E4" i="7"/>
  <c r="M4" i="7" s="1"/>
  <c r="E5" i="7"/>
  <c r="E6" i="7"/>
  <c r="E7" i="7"/>
  <c r="E8" i="7"/>
  <c r="E9" i="7"/>
  <c r="E10" i="7"/>
  <c r="E11" i="7"/>
  <c r="E12" i="7"/>
  <c r="M12" i="7" s="1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M11" i="7" l="1"/>
  <c r="M7" i="7"/>
  <c r="M3" i="7"/>
  <c r="O8" i="7"/>
  <c r="M8" i="7"/>
  <c r="J10" i="7"/>
  <c r="M27" i="7" s="1"/>
  <c r="M10" i="7"/>
  <c r="J6" i="7"/>
  <c r="M23" i="7" s="1"/>
  <c r="M6" i="7"/>
  <c r="J2" i="7"/>
  <c r="M2" i="7"/>
  <c r="H22" i="7"/>
  <c r="K28" i="7"/>
  <c r="M21" i="7"/>
  <c r="M13" i="7"/>
  <c r="M9" i="7"/>
  <c r="M5" i="7"/>
  <c r="H29" i="7"/>
  <c r="J23" i="7"/>
  <c r="J12" i="7"/>
  <c r="J29" i="7" s="1"/>
  <c r="J9" i="7"/>
  <c r="K9" i="7" s="1"/>
  <c r="E26" i="7" s="1"/>
  <c r="G26" i="7" s="1"/>
  <c r="J8" i="7"/>
  <c r="K25" i="7" s="1"/>
  <c r="I41" i="7" s="1"/>
  <c r="I42" i="7" s="1"/>
  <c r="J5" i="7"/>
  <c r="K5" i="7" s="1"/>
  <c r="E22" i="7" s="1"/>
  <c r="G22" i="7" s="1"/>
  <c r="J4" i="7"/>
  <c r="I21" i="7" s="1"/>
  <c r="K8" i="7"/>
  <c r="E25" i="7" s="1"/>
  <c r="G25" i="7" s="1"/>
  <c r="K4" i="7"/>
  <c r="E21" i="7" s="1"/>
  <c r="G21" i="7" s="1"/>
  <c r="K12" i="7"/>
  <c r="E29" i="7" s="1"/>
  <c r="G29" i="7" s="1"/>
  <c r="K6" i="7"/>
  <c r="E23" i="7" s="1"/>
  <c r="G23" i="7" s="1"/>
  <c r="D22" i="7"/>
  <c r="F22" i="7" s="1"/>
  <c r="D23" i="7"/>
  <c r="F23" i="7" s="1"/>
  <c r="J13" i="7"/>
  <c r="J30" i="7" s="1"/>
  <c r="J11" i="7"/>
  <c r="M28" i="7" s="1"/>
  <c r="J7" i="7"/>
  <c r="H24" i="7" s="1"/>
  <c r="J3" i="7"/>
  <c r="M20" i="7" s="1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L20" i="7" l="1"/>
  <c r="O20" i="7" s="1"/>
  <c r="K10" i="7"/>
  <c r="J27" i="7"/>
  <c r="L24" i="7"/>
  <c r="M25" i="7"/>
  <c r="K41" i="7" s="1"/>
  <c r="K42" i="7" s="1"/>
  <c r="L30" i="7"/>
  <c r="J20" i="7"/>
  <c r="H26" i="7"/>
  <c r="I26" i="7"/>
  <c r="M22" i="7"/>
  <c r="L27" i="7"/>
  <c r="K29" i="7"/>
  <c r="H30" i="7"/>
  <c r="K26" i="7"/>
  <c r="I37" i="7" s="1"/>
  <c r="I38" i="7" s="1"/>
  <c r="L21" i="7"/>
  <c r="I27" i="7"/>
  <c r="I20" i="7"/>
  <c r="I25" i="7"/>
  <c r="M24" i="7"/>
  <c r="L19" i="7"/>
  <c r="J19" i="7"/>
  <c r="I19" i="7"/>
  <c r="H21" i="7"/>
  <c r="K30" i="7"/>
  <c r="M29" i="7"/>
  <c r="K20" i="7"/>
  <c r="J24" i="7"/>
  <c r="H19" i="7"/>
  <c r="H28" i="7"/>
  <c r="M26" i="7"/>
  <c r="K37" i="7" s="1"/>
  <c r="K38" i="7" s="1"/>
  <c r="M19" i="7"/>
  <c r="J21" i="7"/>
  <c r="H23" i="7"/>
  <c r="J22" i="7"/>
  <c r="L25" i="7"/>
  <c r="J41" i="7" s="1"/>
  <c r="J42" i="7" s="1"/>
  <c r="N8" i="7" s="1"/>
  <c r="K19" i="7"/>
  <c r="I24" i="7"/>
  <c r="I29" i="7"/>
  <c r="J26" i="7"/>
  <c r="H38" i="7" s="1"/>
  <c r="L26" i="7"/>
  <c r="J37" i="7" s="1"/>
  <c r="J38" i="7" s="1"/>
  <c r="H25" i="7"/>
  <c r="H20" i="7"/>
  <c r="L22" i="7"/>
  <c r="K24" i="7"/>
  <c r="J28" i="7"/>
  <c r="M30" i="7"/>
  <c r="K21" i="7"/>
  <c r="J25" i="7"/>
  <c r="H41" i="7" s="1"/>
  <c r="H42" i="7" s="1"/>
  <c r="H27" i="7"/>
  <c r="L28" i="7"/>
  <c r="L29" i="7"/>
  <c r="K23" i="7"/>
  <c r="I28" i="7"/>
  <c r="L23" i="7"/>
  <c r="K22" i="7"/>
  <c r="I30" i="7"/>
  <c r="I23" i="7"/>
  <c r="K27" i="7"/>
  <c r="I22" i="7"/>
  <c r="D26" i="7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H32" i="7" l="1"/>
  <c r="H33" i="7"/>
  <c r="D30" i="7"/>
  <c r="F30" i="7" s="1"/>
  <c r="I32" i="7"/>
  <c r="I33" i="7"/>
  <c r="E27" i="7"/>
  <c r="G27" i="7" s="1"/>
  <c r="D27" i="7"/>
  <c r="F27" i="7" s="1"/>
  <c r="G31" i="7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<sst xmlns="http://schemas.openxmlformats.org/spreadsheetml/2006/main" count="254" uniqueCount="147">
  <si>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</si>
  <si>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</si>
  <si>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</si>
  <si>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</si>
  <si>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</si>
  <si>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</si>
  <si>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</si>
  <si>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</si>
  <si>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</si>
  <si>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</si>
  <si>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</si>
  <si>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</si>
  <si>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</si>
  <si>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</si>
  <si>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</si>
  <si>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</si>
  <si>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</si>
  <si>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</si>
  <si>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</si>
  <si>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</si>
  <si>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</si>
  <si>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</si>
  <si>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</si>
  <si>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</si>
  <si>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</si>
  <si>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</si>
  <si>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</si>
  <si>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</si>
  <si>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</si>
  <si>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</si>
  <si>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</si>
  <si>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</si>
  <si>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</si>
  <si>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</si>
  <si>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</si>
  <si>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</si>
  <si>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</si>
  <si>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</si>
  <si>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</si>
  <si>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</si>
  <si>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</si>
  <si>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</si>
  <si>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</si>
  <si>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</si>
  <si>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</si>
  <si>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</si>
  <si>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</si>
  <si>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</si>
  <si>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</si>
  <si>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</si>
  <si>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</si>
  <si>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</si>
  <si>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</si>
  <si>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</si>
  <si>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</si>
  <si>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</si>
  <si>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</si>
  <si>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</si>
  <si>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</si>
  <si>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</si>
  <si>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</si>
  <si>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</si>
  <si>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</si>
  <si>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</si>
  <si>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</si>
  <si>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</si>
  <si>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</si>
  <si>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</si>
  <si>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</si>
  <si>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</si>
  <si>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</si>
  <si>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</si>
  <si>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</si>
  <si>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</si>
  <si>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</si>
  <si>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</si>
  <si>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</si>
  <si>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</si>
  <si>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</si>
  <si>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</si>
  <si>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</si>
  <si>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</si>
  <si>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</si>
  <si>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</si>
  <si>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</si>
  <si>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</si>
  <si>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</si>
  <si>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</si>
  <si>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</si>
  <si>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</si>
  <si>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</si>
  <si>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</si>
  <si>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</si>
  <si>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</si>
  <si>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</si>
  <si>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</si>
  <si>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</si>
  <si>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</si>
  <si>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</si>
  <si>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</si>
  <si>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</si>
  <si>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</si>
  <si>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</si>
  <si>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</si>
  <si>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</si>
  <si>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</si>
  <si>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</si>
  <si>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</si>
  <si>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</si>
  <si>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</si>
  <si>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</si>
  <si>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</si>
  <si>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</si>
  <si>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</si>
  <si>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</si>
  <si>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</si>
  <si>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</si>
  <si>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</si>
  <si>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</si>
  <si>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</si>
  <si>
    <t>ML</t>
  </si>
  <si>
    <t>ML at 0.025L using CO</t>
  </si>
  <si>
    <t>θgua</t>
  </si>
  <si>
    <t>ML at 0.015L using CO</t>
  </si>
  <si>
    <t>model 1a (7.15 Layers @ 0.015 L)</t>
  </si>
  <si>
    <t>model 2a (7.15 Layers @ 0.015 L)</t>
  </si>
  <si>
    <t>pros</t>
  </si>
  <si>
    <t>leads to physisorbed seconds peak</t>
  </si>
  <si>
    <t>leads to chemisorbed second peak</t>
  </si>
  <si>
    <t>supported (somewhat) by IRAS between 100-191</t>
  </si>
  <si>
    <t>agrees very well w/ TPD ratio: multi/(2nd peak + recomb)</t>
  </si>
  <si>
    <t>no peak shifts in IRAS from 100 - 191 K</t>
  </si>
  <si>
    <t>cons</t>
  </si>
  <si>
    <t xml:space="preserve">increase in intensity of peaks after desorbing 5 layers? </t>
  </si>
  <si>
    <t>doesn't match TPD area ratio well: (multi + second)/recomb</t>
  </si>
  <si>
    <t>no peak shifts in IRAS from 100-191 K</t>
  </si>
  <si>
    <t>additional info</t>
  </si>
  <si>
    <t>ratio of b(CCO) o.o.p mode decreases from 100-191 K suggesting that the ring is tilted away from the surface at 191 K</t>
  </si>
  <si>
    <t>θGUA</t>
  </si>
  <si>
    <t>Case 2 a</t>
  </si>
  <si>
    <t>θGUA_multi</t>
  </si>
  <si>
    <t>θGUA_phys</t>
  </si>
  <si>
    <t>θGUA_recomb</t>
  </si>
  <si>
    <t>θGUA_chemi</t>
  </si>
  <si>
    <t>delta</t>
  </si>
  <si>
    <t>inverse</t>
  </si>
  <si>
    <t>inverse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</si>
</sst>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#,##0.0"/>
    <numFmt numFmtId="166" formatCode="0.0000000"/>
    <numFmt numFmtId="167" formatCode="0.0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7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2" fillId="3" borderId="3" xfId="0" applyFont="1" applyFill="1" applyBorder="1"/>
    <xf numFmtId="2" fontId="0" fillId="0" borderId="0" xfId="0" applyNumberFormat="1"/>
    <xf numFmtId="2" fontId="0" fillId="3" borderId="9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Border="1" applyAlignment="1">
      <alignment wrapText="1"/>
    </xf>
    <xf numFmtId="167" fontId="0" fillId="0" borderId="0" xfId="0" applyNumberFormat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/>
    <xf numFmtId="0" fontId="2" fillId="0" borderId="0" xfId="0" applyFont="1" applyFill="1" applyAlignment="1">
      <alignment horizontal="left"/>
    </xf>
    <xf numFmtId="164" fontId="0" fillId="5" borderId="0" xfId="0" applyNumberFormat="1" applyFill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2"/>
          <c:order val="12"/>
          <c:tx>
            <c:v>CO+f*GUA_2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'verti intg uptk'!$K$17:$K$28</c:f>
              <c:numCache>
                <c:formatCode>#,##0</c:formatCode>
                <c:ptCount val="12"/>
                <c:pt idx="0">
                  <c:v>0</c:v>
                </c:pt>
                <c:pt idx="1">
                  <c:v>414593.55904093076</c:v>
                </c:pt>
                <c:pt idx="2">
                  <c:v>500059.93120113597</c:v>
                </c:pt>
                <c:pt idx="3">
                  <c:v>673152.23144687654</c:v>
                </c:pt>
                <c:pt idx="4">
                  <c:v>708620.54534737347</c:v>
                </c:pt>
                <c:pt idx="5">
                  <c:v>962563.44504935667</c:v>
                </c:pt>
                <c:pt idx="6">
                  <c:v>1174739.6922637075</c:v>
                </c:pt>
                <c:pt idx="7">
                  <c:v>1476666.8670730223</c:v>
                </c:pt>
                <c:pt idx="8">
                  <c:v>1600000.6115143611</c:v>
                </c:pt>
                <c:pt idx="9">
                  <c:v>2127212.9691302609</c:v>
                </c:pt>
                <c:pt idx="10">
                  <c:v>3494819.727596554</c:v>
                </c:pt>
                <c:pt idx="11">
                  <c:v>6503298.6309170518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15-4C56-B8A9-2ACC81E6E1EA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0.13639179981394384</c:v>
                </c:pt>
                <c:pt idx="2">
                  <c:v>0.17530099498283538</c:v>
                </c:pt>
                <c:pt idx="3">
                  <c:v>0.21891979265516875</c:v>
                </c:pt>
                <c:pt idx="4">
                  <c:v>0.23322426781711439</c:v>
                </c:pt>
                <c:pt idx="5">
                  <c:v>0.42085031876237511</c:v>
                </c:pt>
                <c:pt idx="6">
                  <c:v>0.53660391711807498</c:v>
                </c:pt>
                <c:pt idx="7">
                  <c:v>0.81872558441365972</c:v>
                </c:pt>
                <c:pt idx="8">
                  <c:v>0.9063695873915345</c:v>
                </c:pt>
                <c:pt idx="9">
                  <c:v>1.4110177225224736</c:v>
                </c:pt>
                <c:pt idx="10">
                  <c:v>2.8127628626255956</c:v>
                </c:pt>
                <c:pt idx="11">
                  <c:v>5.7205919971853456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D-4427-94BE-F5EF2AA31305}"/>
            </c:ext>
          </c:extLst>
        </c:ser>
        <c:ser>
          <c:idx val="17"/>
          <c:order val="18"/>
          <c:tx>
            <c:strRef>
              <c:f>'vert + sloped intg uptk'!$R$18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uptk'!$R$19:$R$30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6.4403333512985696E-3</c:v>
                </c:pt>
                <c:pt idx="2">
                  <c:v>6.3288921221426857E-3</c:v>
                </c:pt>
                <c:pt idx="3">
                  <c:v>2.658342162900084E-2</c:v>
                </c:pt>
                <c:pt idx="4">
                  <c:v>3.8956968197852243E-2</c:v>
                </c:pt>
                <c:pt idx="5">
                  <c:v>0.16674703984576325</c:v>
                </c:pt>
                <c:pt idx="6">
                  <c:v>0.24249766626548813</c:v>
                </c:pt>
                <c:pt idx="7">
                  <c:v>0.48579829691858856</c:v>
                </c:pt>
                <c:pt idx="8">
                  <c:v>0.5495035550063001</c:v>
                </c:pt>
                <c:pt idx="9">
                  <c:v>1.0486997175108159</c:v>
                </c:pt>
                <c:pt idx="10">
                  <c:v>2.4384906952030665</c:v>
                </c:pt>
                <c:pt idx="11">
                  <c:v>5.3674335102063599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C56-B8A9-2ACC81E6E1EA}"/>
            </c:ext>
          </c:extLst>
        </c:ser>
        <c:ser>
          <c:idx val="19"/>
          <c:order val="19"/>
          <c:tx>
            <c:strRef>
              <c:f>'vert + sloped intg uptk'!$S$18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1.5221345343063599E-2</c:v>
                </c:pt>
                <c:pt idx="2">
                  <c:v>4.7945221166163274E-2</c:v>
                </c:pt>
                <c:pt idx="3">
                  <c:v>6.770954373415633E-2</c:v>
                </c:pt>
                <c:pt idx="4">
                  <c:v>7.3727287958354842E-2</c:v>
                </c:pt>
                <c:pt idx="5">
                  <c:v>0.12308259316597232</c:v>
                </c:pt>
                <c:pt idx="6">
                  <c:v>0.15921655409293373</c:v>
                </c:pt>
                <c:pt idx="7">
                  <c:v>0.1979668535054035</c:v>
                </c:pt>
                <c:pt idx="8">
                  <c:v>0.21466311680936448</c:v>
                </c:pt>
                <c:pt idx="9">
                  <c:v>0.22804358242822168</c:v>
                </c:pt>
                <c:pt idx="10">
                  <c:v>0.24220569623738039</c:v>
                </c:pt>
                <c:pt idx="11">
                  <c:v>0.20666463597615384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5-4C56-B8A9-2ACC81E6E1EA}"/>
            </c:ext>
          </c:extLst>
        </c:ser>
        <c:ser>
          <c:idx val="20"/>
          <c:order val="20"/>
          <c:tx>
            <c:strRef>
              <c:f>'vert + sloped intg uptk'!$T$18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8.8904503954169885E-3</c:v>
                </c:pt>
                <c:pt idx="2">
                  <c:v>1.5187210970364727E-2</c:v>
                </c:pt>
                <c:pt idx="3">
                  <c:v>1.8787156567846894E-2</c:v>
                </c:pt>
                <c:pt idx="4">
                  <c:v>1.4700340936742643E-2</c:v>
                </c:pt>
                <c:pt idx="5">
                  <c:v>2.5181015026474938E-2</c:v>
                </c:pt>
                <c:pt idx="6">
                  <c:v>2.9050026035488525E-2</c:v>
                </c:pt>
                <c:pt idx="7">
                  <c:v>2.9120763265502902E-2</c:v>
                </c:pt>
                <c:pt idx="8">
                  <c:v>3.636324485170514E-2</c:v>
                </c:pt>
                <c:pt idx="9">
                  <c:v>2.8434751859271287E-2</c:v>
                </c:pt>
                <c:pt idx="10">
                  <c:v>2.622680046098402E-2</c:v>
                </c:pt>
                <c:pt idx="11">
                  <c:v>4.0654180278667573E-2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15-4C56-B8A9-2ACC81E6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  <c:max val="3.0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.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0.51255151999999993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0.11010604750146204</c:v>
                </c:pt>
                <c:pt idx="2">
                  <c:v>0.11553942617710476</c:v>
                </c:pt>
                <c:pt idx="3">
                  <c:v>0.12163046568849288</c:v>
                </c:pt>
                <c:pt idx="4">
                  <c:v>0.12362797887204278</c:v>
                </c:pt>
                <c:pt idx="5">
                  <c:v>0.14982855639044115</c:v>
                </c:pt>
                <c:pt idx="6">
                  <c:v>0.16599268238186268</c:v>
                </c:pt>
                <c:pt idx="7">
                  <c:v>0.20538886738047077</c:v>
                </c:pt>
                <c:pt idx="8">
                  <c:v>0.21762769819567826</c:v>
                </c:pt>
                <c:pt idx="9">
                  <c:v>0.28809804342439516</c:v>
                </c:pt>
                <c:pt idx="10">
                  <c:v>0.48384128920120301</c:v>
                </c:pt>
                <c:pt idx="11">
                  <c:v>0.889897922949345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E-438B-B89C-FDB146A33719}"/>
            </c:ext>
          </c:extLst>
        </c:ser>
        <c:ser>
          <c:idx val="17"/>
          <c:order val="17"/>
          <c:tx>
            <c:strRef>
              <c:f>'vert + sloped intg uptk'!$U$18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8.9934447996378709E-4</c:v>
                </c:pt>
                <c:pt idx="2">
                  <c:v>8.837825441423262E-4</c:v>
                </c:pt>
                <c:pt idx="3">
                  <c:v>3.7121764040010967E-3</c:v>
                </c:pt>
                <c:pt idx="4">
                  <c:v>5.4400498225451238E-3</c:v>
                </c:pt>
                <c:pt idx="5">
                  <c:v>2.3284979465442068E-2</c:v>
                </c:pt>
                <c:pt idx="6">
                  <c:v>3.3862989019969598E-2</c:v>
                </c:pt>
                <c:pt idx="7">
                  <c:v>6.7838106023106567E-2</c:v>
                </c:pt>
                <c:pt idx="8">
                  <c:v>7.6734069800245469E-2</c:v>
                </c:pt>
                <c:pt idx="9">
                  <c:v>0.14644308774681186</c:v>
                </c:pt>
                <c:pt idx="10">
                  <c:v>0.34051702397233069</c:v>
                </c:pt>
                <c:pt idx="11">
                  <c:v>0.74952202559568393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E-438B-B89C-FDB146A33719}"/>
            </c:ext>
          </c:extLst>
        </c:ser>
        <c:ser>
          <c:idx val="18"/>
          <c:order val="18"/>
          <c:tx>
            <c:strRef>
              <c:f>'vert + sloped intg uptk'!$V$18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2.1255472605539237E-3</c:v>
                </c:pt>
                <c:pt idx="2">
                  <c:v>6.6951922586022212E-3</c:v>
                </c:pt>
                <c:pt idx="3">
                  <c:v>9.4551323784974554E-3</c:v>
                </c:pt>
                <c:pt idx="4">
                  <c:v>1.0295465441191433E-2</c:v>
                </c:pt>
                <c:pt idx="5">
                  <c:v>1.7187565410900121E-2</c:v>
                </c:pt>
                <c:pt idx="6">
                  <c:v>2.2233403339823096E-2</c:v>
                </c:pt>
                <c:pt idx="7">
                  <c:v>2.7644593409126238E-2</c:v>
                </c:pt>
                <c:pt idx="8">
                  <c:v>2.9976101953697414E-2</c:v>
                </c:pt>
                <c:pt idx="9">
                  <c:v>3.184458410163437E-2</c:v>
                </c:pt>
                <c:pt idx="10">
                  <c:v>3.3822217584894634E-2</c:v>
                </c:pt>
                <c:pt idx="11">
                  <c:v>2.8859173808356339E-2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E-438B-B89C-FDB146A33719}"/>
            </c:ext>
          </c:extLst>
        </c:ser>
        <c:ser>
          <c:idx val="19"/>
          <c:order val="19"/>
          <c:tx>
            <c:strRef>
              <c:f>'vert + sloped intg uptk'!$W$18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uptk'!$Q$19:$Q$30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1.2414850367796543E-3</c:v>
                </c:pt>
                <c:pt idx="2">
                  <c:v>2.1207806501955381E-3</c:v>
                </c:pt>
                <c:pt idx="3">
                  <c:v>2.623486181829662E-3</c:v>
                </c:pt>
                <c:pt idx="4">
                  <c:v>2.0527928841415468E-3</c:v>
                </c:pt>
                <c:pt idx="5">
                  <c:v>3.5163407899342978E-3</c:v>
                </c:pt>
                <c:pt idx="6">
                  <c:v>4.056619297905302E-3</c:v>
                </c:pt>
                <c:pt idx="7">
                  <c:v>4.0664972240732908E-3</c:v>
                </c:pt>
                <c:pt idx="8">
                  <c:v>5.0778557175706861E-3</c:v>
                </c:pt>
                <c:pt idx="9">
                  <c:v>3.9707008517842384E-3</c:v>
                </c:pt>
                <c:pt idx="10">
                  <c:v>3.6623769198129842E-3</c:v>
                </c:pt>
                <c:pt idx="11">
                  <c:v>5.6770528211401196E-3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E-438B-B89C-FDB146A3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0.51255151999999993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[1]Sheet1!$C$3:$F$3</c:f>
              <c:numCache>
                <c:formatCode>General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F5D-A850-4A3CD1872F3C}"/>
            </c:ext>
          </c:extLst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[1]Sheet1!$C$4:$F$4</c:f>
              <c:numCache>
                <c:formatCode>General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4-4F5D-A850-4A3CD1872F3C}"/>
            </c:ext>
          </c:extLst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[1]Sheet1!$C$5:$F$5</c:f>
              <c:numCache>
                <c:formatCode>General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4-4F5D-A850-4A3CD1872F3C}"/>
            </c:ext>
          </c:extLst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[1]Sheet1!$C$6:$F$6</c:f>
              <c:numCache>
                <c:formatCode>General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F5D-A850-4A3CD1872F3C}"/>
            </c:ext>
          </c:extLst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[1]Sheet1!$C$7:$F$7</c:f>
              <c:numCache>
                <c:formatCode>General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F5D-A850-4A3CD1872F3C}"/>
            </c:ext>
          </c:extLst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[1]Sheet1!$C$8:$F$8</c:f>
              <c:numCache>
                <c:formatCode>General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4-4F5D-A850-4A3CD1872F3C}"/>
            </c:ext>
          </c:extLst>
        </c:ser>
        <c:ser>
          <c:idx val="7"/>
          <c:order val="6"/>
          <c:tx>
            <c:strRef>
              <c:f>[1]Sheet1!$B$9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[1]Sheet1!$C$9:$F$9</c:f>
              <c:numCache>
                <c:formatCode>General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4-4F5D-A850-4A3CD1872F3C}"/>
            </c:ext>
          </c:extLst>
        </c:ser>
        <c:ser>
          <c:idx val="6"/>
          <c:order val="7"/>
          <c:tx>
            <c:strRef>
              <c:f>[1]Sheet1!$B$10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[1]Sheet1!$C$10:$F$10</c:f>
              <c:numCache>
                <c:formatCode>General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4-4F5D-A850-4A3CD1872F3C}"/>
            </c:ext>
          </c:extLst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[1]Sheet1!$C$11:$F$11</c:f>
              <c:numCache>
                <c:formatCode>General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4-4F5D-A850-4A3CD1872F3C}"/>
            </c:ext>
          </c:extLst>
        </c:ser>
        <c:ser>
          <c:idx val="9"/>
          <c:order val="9"/>
          <c:tx>
            <c:strRef>
              <c:f>[1]Sheet1!$B$13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[1]Sheet1!$C$13:$F$13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4-4F5D-A850-4A3CD187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782839</xdr:colOff>
      <xdr:row>35</xdr:row>
      <xdr:rowOff>61806</xdr:rowOff>
    </xdr:from>
    <xdr:to>
      <xdr:col>16</xdr:col>
      <xdr:colOff>432264</xdr:colOff>
      <xdr:row>60</xdr:row>
      <xdr:rowOff>163001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191191</xdr:colOff>
      <xdr:row>14</xdr:row>
      <xdr:rowOff>78970</xdr:rowOff>
    </xdr:from>
    <xdr:to>
      <xdr:col>17</xdr:col>
      <xdr:colOff>307570</xdr:colOff>
      <xdr:row>33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716047</xdr:colOff>
      <xdr:row>42</xdr:row>
      <xdr:rowOff>58766</xdr:rowOff>
    </xdr:from>
    <xdr:to>
      <xdr:col>8</xdr:col>
      <xdr:colOff>889628</xdr:colOff>
      <xdr:row>48</xdr:row>
      <xdr:rowOff>16461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77188</xdr:colOff>
      <xdr:row>52</xdr:row>
      <xdr:rowOff>134190</xdr:rowOff>
    </xdr:from>
    <xdr:to>
      <xdr:col>17</xdr:col>
      <xdr:colOff>684016</xdr:colOff>
      <xdr:row>77</xdr:row>
      <xdr:rowOff>84310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288066</xdr:colOff>
      <xdr:row>43</xdr:row>
      <xdr:rowOff>74073</xdr:rowOff>
    </xdr:from>
    <xdr:to>
      <xdr:col>12</xdr:col>
      <xdr:colOff>527077</xdr:colOff>
      <xdr:row>51</xdr:row>
      <xdr:rowOff>362139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182881</xdr:colOff>
      <xdr:row>81</xdr:row>
      <xdr:rowOff>16625</xdr:rowOff>
    </xdr:from>
    <xdr:to>
      <xdr:col>9</xdr:col>
      <xdr:colOff>1263534</xdr:colOff>
      <xdr:row>98</xdr:row>
      <xdr:rowOff>157938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722081</xdr:colOff>
      <xdr:row>42</xdr:row>
      <xdr:rowOff>624290</xdr:rowOff>
    </xdr:from>
    <xdr:to>
      <xdr:col>29</xdr:col>
      <xdr:colOff>191807</xdr:colOff>
      <xdr:row>52</xdr:row>
      <xdr:rowOff>165406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5C2C4-D3F9-4145-ADDA-82CE97F4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IR%20peak%20rat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big dose</v>
          </cell>
          <cell r="D2" t="str">
            <v>100 K</v>
          </cell>
          <cell r="E2">
            <v>191</v>
          </cell>
          <cell r="F2">
            <v>249</v>
          </cell>
        </row>
        <row r="3">
          <cell r="B3">
            <v>748</v>
          </cell>
          <cell r="C3">
            <v>0.32591093117408909</v>
          </cell>
          <cell r="D3">
            <v>0.32603950103950102</v>
          </cell>
          <cell r="E3">
            <v>0.24724108658743638</v>
          </cell>
          <cell r="F3">
            <v>1.1324125506680678</v>
          </cell>
        </row>
        <row r="4">
          <cell r="B4">
            <v>760</v>
          </cell>
          <cell r="C4">
            <v>0.46052631578947373</v>
          </cell>
          <cell r="D4">
            <v>0.41767151767151772</v>
          </cell>
          <cell r="E4">
            <v>0.40110356536502545</v>
          </cell>
          <cell r="F4">
            <v>0.20267227143071612</v>
          </cell>
        </row>
        <row r="5">
          <cell r="B5">
            <v>837</v>
          </cell>
          <cell r="C5">
            <v>6.1133603238866407E-2</v>
          </cell>
          <cell r="D5">
            <v>5.9251559251559248E-2</v>
          </cell>
          <cell r="E5">
            <v>6.6956706281833603E-2</v>
          </cell>
          <cell r="F5">
            <v>0.24771055397087521</v>
          </cell>
        </row>
        <row r="6">
          <cell r="B6">
            <v>1027</v>
          </cell>
          <cell r="C6">
            <v>0.26113360323886642</v>
          </cell>
          <cell r="D6">
            <v>0.2354469854469855</v>
          </cell>
          <cell r="E6">
            <v>0.21010186757215621</v>
          </cell>
          <cell r="F6">
            <v>0.19876895361056901</v>
          </cell>
        </row>
        <row r="7">
          <cell r="B7">
            <v>1043</v>
          </cell>
          <cell r="C7">
            <v>0.22064777327935223</v>
          </cell>
          <cell r="D7">
            <v>0.20270270270270271</v>
          </cell>
          <cell r="E7">
            <v>0.21010186757215621</v>
          </cell>
          <cell r="F7">
            <v>0.15298003302807384</v>
          </cell>
        </row>
        <row r="8">
          <cell r="B8">
            <v>1112</v>
          </cell>
          <cell r="C8">
            <v>0.25607287449392713</v>
          </cell>
          <cell r="D8">
            <v>0.24532224532224531</v>
          </cell>
          <cell r="E8">
            <v>0.23662988115449918</v>
          </cell>
          <cell r="F8">
            <v>0.23244257618976133</v>
          </cell>
        </row>
        <row r="9">
          <cell r="B9">
            <v>1232</v>
          </cell>
          <cell r="C9">
            <v>0.28390688259109309</v>
          </cell>
          <cell r="D9">
            <v>0.27546777546777551</v>
          </cell>
          <cell r="E9">
            <v>0.24034380305602721</v>
          </cell>
          <cell r="F9">
            <v>0.2867437321723465</v>
          </cell>
        </row>
        <row r="10">
          <cell r="B10">
            <v>1268</v>
          </cell>
          <cell r="C10">
            <v>0.88765182186234814</v>
          </cell>
          <cell r="D10">
            <v>0.87650727650727644</v>
          </cell>
          <cell r="E10">
            <v>0.9433361629881154</v>
          </cell>
          <cell r="F10">
            <v>0.66784266626632627</v>
          </cell>
        </row>
        <row r="11">
          <cell r="B11">
            <v>1458</v>
          </cell>
          <cell r="C11">
            <v>0.16093117408906882</v>
          </cell>
          <cell r="D11">
            <v>0.18607068607068608</v>
          </cell>
          <cell r="E11">
            <v>0.1467529711375212</v>
          </cell>
          <cell r="F11">
            <v>0.43431917129560127</v>
          </cell>
        </row>
        <row r="13">
          <cell r="B13" t="str">
            <v>raw 1508/ raw 1508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H2" sqref="H2:H13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zoomScale="90" zoomScaleNormal="90" workbookViewId="0">
      <selection activeCell="Q2" sqref="Q2:Q13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topLeftCell="A7" zoomScale="90" zoomScaleNormal="90" workbookViewId="0">
      <selection activeCell="I8" sqref="I8:I12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="90" zoomScaleNormal="90" workbookViewId="0">
      <selection activeCell="N15" sqref="N15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G1" zoomScaleNormal="100" workbookViewId="0">
      <selection activeCell="O2" sqref="O2:O12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L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 t="shared" ref="Q2:Q13" si="1"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2">C3-C$2</f>
        <v>88.443560702123989</v>
      </c>
      <c r="K3" s="9">
        <f t="shared" ref="K3:K13" si="3">D3-D$2</f>
        <v>936.81877980730917</v>
      </c>
      <c r="L3" s="9">
        <f t="shared" ref="L3:L13" si="4">E3-E$2</f>
        <v>664.39019843134042</v>
      </c>
      <c r="M3" s="9">
        <f t="shared" ref="M3:M13" si="5">F3-F$2</f>
        <v>1726.7175341507595</v>
      </c>
      <c r="O3" s="7">
        <f t="shared" ref="O3:O13" si="6">M3+H3</f>
        <v>371219.42262163665</v>
      </c>
      <c r="Q3">
        <f t="shared" si="1"/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2"/>
        <v>99.319682212585292</v>
      </c>
      <c r="K4" s="9">
        <f t="shared" si="3"/>
        <v>1318.520198774685</v>
      </c>
      <c r="L4" s="9">
        <f t="shared" si="4"/>
        <v>1505.9448113947897</v>
      </c>
      <c r="M4" s="9">
        <f t="shared" si="5"/>
        <v>2979.5296505011347</v>
      </c>
      <c r="O4" s="7">
        <f t="shared" si="6"/>
        <v>425215.88579695905</v>
      </c>
      <c r="Q4">
        <f t="shared" si="1"/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2"/>
        <v>515.38094202489287</v>
      </c>
      <c r="K5" s="9">
        <f t="shared" si="3"/>
        <v>1913.2837889054858</v>
      </c>
      <c r="L5" s="9">
        <f t="shared" si="4"/>
        <v>3187.328306859984</v>
      </c>
      <c r="M5" s="9">
        <f t="shared" si="5"/>
        <v>5801.0000325729079</v>
      </c>
      <c r="O5" s="7">
        <f t="shared" si="6"/>
        <v>527434.49718821782</v>
      </c>
      <c r="Q5">
        <f t="shared" si="1"/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2"/>
        <v>778.7480986484486</v>
      </c>
      <c r="K6" s="9">
        <f t="shared" si="3"/>
        <v>1999.3409708528811</v>
      </c>
      <c r="L6" s="9">
        <f t="shared" si="4"/>
        <v>3555.3050576372711</v>
      <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2"/>
        <v>3612.9412114549659</v>
      </c>
      <c r="K7" s="9">
        <f t="shared" si="3"/>
        <v>3193.0074205254159</v>
      </c>
      <c r="L7" s="9">
        <f t="shared" si="4"/>
        <v>7233.8487221567721</v>
      </c>
      <c r="M7" s="9">
        <f t="shared" si="5"/>
        <v>14532.764857944363</v>
      </c>
      <c r="O7" s="7">
        <f t="shared" si="6"/>
        <v>597508.87588496727</v>
      </c>
      <c r="Q7">
        <f t="shared" si="1"/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2"/>
        <v>5596.7653614826413</v>
      </c>
      <c r="K8" s="9">
        <f t="shared" si="3"/>
        <v>4951.1614391790408</v>
      </c>
      <c r="L8" s="9">
        <f t="shared" si="4"/>
        <v>9970.4491196380895</v>
      </c>
      <c r="M8" s="9">
        <f t="shared" si="5"/>
        <v>21201.078990986742</v>
      </c>
      <c r="O8" s="7">
        <f t="shared" si="6"/>
        <v>642180.96496523265</v>
      </c>
      <c r="Q8">
        <f t="shared" si="1"/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2"/>
        <v>11200.618764440449</v>
      </c>
      <c r="K9" s="9">
        <f t="shared" si="3"/>
        <v>6324.6245208367454</v>
      </c>
      <c r="L9" s="9">
        <f t="shared" si="4"/>
        <v>14268.560136117139</v>
      </c>
      <c r="M9" s="9">
        <f t="shared" si="5"/>
        <v>32784.837376983247</v>
      </c>
      <c r="O9" s="7">
        <f t="shared" si="6"/>
        <v>653130.8915881702</v>
      </c>
      <c r="Q9">
        <f t="shared" si="1"/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5"/>
        <v>37549.209539675998</v>
      </c>
      <c r="O10" s="7">
        <f t="shared" si="6"/>
        <v>656786.3886903699</v>
      </c>
      <c r="Q10">
        <f t="shared" si="1"/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2"/>
        <v>23988.480803216229</v>
      </c>
      <c r="K11" s="9">
        <f t="shared" si="3"/>
        <v>10525.039312210896</v>
      </c>
      <c r="L11" s="9">
        <f t="shared" si="4"/>
        <v>21507.070842327761</v>
      </c>
      <c r="M11" s="9">
        <f>F11-F$2</f>
        <v>57878.526064943158</v>
      </c>
      <c r="O11" s="7">
        <f t="shared" si="6"/>
        <v>673338.18322139815</v>
      </c>
      <c r="Q11">
        <f t="shared" si="1"/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2"/>
        <v>56027.682921549196</v>
      </c>
      <c r="K12" s="9">
        <f t="shared" si="3"/>
        <v>15875.794708432246</v>
      </c>
      <c r="L12" s="9">
        <f t="shared" si="4"/>
        <v>35002.597935338294</v>
      </c>
      <c r="M12" s="9">
        <f t="shared" si="5"/>
        <v>110133.35496122229</v>
      </c>
      <c r="O12" s="7">
        <f t="shared" si="6"/>
        <v>728334.1456035442</v>
      </c>
      <c r="Q12">
        <f t="shared" si="1"/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2"/>
        <v>124221.42678498491</v>
      </c>
      <c r="K13" s="9">
        <f t="shared" si="3"/>
        <v>29699.793993883948</v>
      </c>
      <c r="L13" s="9">
        <f t="shared" si="4"/>
        <v>62843.873201213864</v>
      </c>
      <c r="M13" s="9">
        <f t="shared" si="5"/>
        <v>225142.8614983017</v>
      </c>
      <c r="O13" s="7">
        <f t="shared" si="6"/>
        <v>847841.38598878763</v>
      </c>
      <c r="Q13">
        <f t="shared" si="1"/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7">A18*$G$15+$H$15</f>
        <v>369552</v>
      </c>
      <c r="H18" s="8">
        <f t="shared" ref="H18:H28" si="8">G18-O3</f>
        <v>-1667.4226216366515</v>
      </c>
      <c r="I18">
        <f>H18/(M3)</f>
        <v>-0.96566032872118213</v>
      </c>
      <c r="J18">
        <f t="shared" ref="J18:J28" si="9">(G18-(H3+$I$31*M3))^2</f>
        <v>2028742040.8376517</v>
      </c>
      <c r="K18" s="7">
        <f t="shared" ref="K18:K28" si="10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7"/>
        <v>409552</v>
      </c>
      <c r="H19" s="8">
        <f t="shared" si="8"/>
        <v>-15663.885796959046</v>
      </c>
      <c r="I19">
        <f t="shared" ref="I19:I28" si="11">H19/(M4)</f>
        <v>-5.2571672828711398</v>
      </c>
      <c r="J19">
        <f t="shared" si="9"/>
        <v>8191685610.3095627</v>
      </c>
      <c r="K19" s="7">
        <f t="shared" si="10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7"/>
        <v>509552</v>
      </c>
      <c r="H20" s="8">
        <f t="shared" si="8"/>
        <v>-17882.497188217822</v>
      </c>
      <c r="I20">
        <f t="shared" si="11"/>
        <v>-3.0826576603700566</v>
      </c>
      <c r="J20">
        <f>(G20-(H5+$I$31*M5))^2</f>
        <v>26765035729.471573</v>
      </c>
      <c r="K20" s="7">
        <f t="shared" si="10"/>
        <v>673152.23144687654</v>
      </c>
    </row>
    <row r="21" spans="1:23" x14ac:dyDescent="0.3">
      <c r="A21" s="1">
        <v>7.4999999999999997E-3</v>
      </c>
      <c r="G21" s="8">
        <f t="shared" si="7"/>
        <v>609552</v>
      </c>
      <c r="H21" s="8">
        <f t="shared" si="8"/>
        <v>65165.512362028821</v>
      </c>
      <c r="I21">
        <f t="shared" si="11"/>
        <v>9.9669925377240816</v>
      </c>
      <c r="J21">
        <f t="shared" si="9"/>
        <v>9814576677.2445927</v>
      </c>
      <c r="K21" s="7">
        <f t="shared" si="10"/>
        <v>708620.54534737347</v>
      </c>
    </row>
    <row r="22" spans="1:23" x14ac:dyDescent="0.3">
      <c r="A22" s="1">
        <v>0.01</v>
      </c>
      <c r="G22" s="8">
        <f t="shared" si="7"/>
        <v>709552</v>
      </c>
      <c r="H22" s="8">
        <f t="shared" si="8"/>
        <v>112043.12411503273</v>
      </c>
      <c r="I22">
        <f t="shared" si="11"/>
        <v>7.7096908406788227</v>
      </c>
      <c r="J22">
        <f t="shared" si="9"/>
        <v>64014791325.963631</v>
      </c>
      <c r="K22" s="7">
        <f t="shared" si="10"/>
        <v>962563.44504935667</v>
      </c>
    </row>
    <row r="23" spans="1:23" x14ac:dyDescent="0.3">
      <c r="A23" s="1">
        <v>1.4999999999999999E-2</v>
      </c>
      <c r="G23" s="8">
        <f t="shared" si="7"/>
        <v>909552</v>
      </c>
      <c r="H23" s="8">
        <f t="shared" si="8"/>
        <v>267371.03503476735</v>
      </c>
      <c r="I23">
        <f t="shared" si="11"/>
        <v>12.611199418125622</v>
      </c>
      <c r="J23">
        <f t="shared" si="9"/>
        <v>70324512128.150833</v>
      </c>
      <c r="K23" s="7">
        <f t="shared" si="10"/>
        <v>1174739.6922637075</v>
      </c>
    </row>
    <row r="24" spans="1:23" x14ac:dyDescent="0.3">
      <c r="A24" s="1">
        <v>2.5000000000000001E-2</v>
      </c>
      <c r="G24" s="8">
        <f t="shared" si="7"/>
        <v>1309552</v>
      </c>
      <c r="H24" s="8">
        <f t="shared" si="8"/>
        <v>656421.1084118298</v>
      </c>
      <c r="I24">
        <f t="shared" si="11"/>
        <v>20.022094386616462</v>
      </c>
      <c r="J24">
        <f t="shared" si="9"/>
        <v>27927378796.833912</v>
      </c>
      <c r="K24" s="7">
        <f t="shared" si="10"/>
        <v>1476666.8670730223</v>
      </c>
    </row>
    <row r="25" spans="1:23" x14ac:dyDescent="0.3">
      <c r="A25" s="1">
        <v>3.5000000000000003E-2</v>
      </c>
      <c r="G25" s="8">
        <f t="shared" si="7"/>
        <v>1709552.0000000002</v>
      </c>
      <c r="H25" s="8">
        <f t="shared" si="8"/>
        <v>1052765.6113096303</v>
      </c>
      <c r="I25">
        <f t="shared" si="11"/>
        <v>28.036958013649688</v>
      </c>
      <c r="J25">
        <f t="shared" si="9"/>
        <v>12001506719.131424</v>
      </c>
      <c r="K25" s="7">
        <f t="shared" si="10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7"/>
        <v>2309552</v>
      </c>
      <c r="H26" s="8">
        <f t="shared" si="8"/>
        <v>1636213.8167786018</v>
      </c>
      <c r="I26">
        <f t="shared" si="11"/>
        <v>28.269790680962959</v>
      </c>
      <c r="J26">
        <f t="shared" si="9"/>
        <v>33247522178.515678</v>
      </c>
      <c r="K26" s="7">
        <f t="shared" si="10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7"/>
        <v>3909552</v>
      </c>
      <c r="H27" s="8">
        <f t="shared" si="8"/>
        <v>3181217.8543964559</v>
      </c>
      <c r="I27">
        <f t="shared" si="11"/>
        <v>28.885144337213333</v>
      </c>
      <c r="J27">
        <f t="shared" si="9"/>
        <v>172002857772.92615</v>
      </c>
      <c r="K27" s="7">
        <f t="shared" si="10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7"/>
        <v>6309552</v>
      </c>
      <c r="H28" s="8">
        <f t="shared" si="8"/>
        <v>5461710.6140112123</v>
      </c>
      <c r="I28">
        <f t="shared" si="11"/>
        <v>24.258866471111325</v>
      </c>
      <c r="J28">
        <f t="shared" si="9"/>
        <v>37537756991.708298</v>
      </c>
      <c r="K28" s="7">
        <f t="shared" si="10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2">A36*$G$33</f>
        <v>300000</v>
      </c>
      <c r="H36" s="8">
        <f t="shared" ref="H36:H46" si="13">G36-O3</f>
        <v>-71219.422621636651</v>
      </c>
      <c r="I36">
        <f>H36/(M3)</f>
        <v>-41.245554766816014</v>
      </c>
      <c r="J36">
        <f t="shared" ref="J36:J46" si="14">(G36-(H3+$I$49*M3))^2</f>
        <v>79172294166.790878</v>
      </c>
      <c r="K36" s="7">
        <f t="shared" ref="K36:K46" si="15">H3+$I$49*M3</f>
        <v>581375.7170880083</v>
      </c>
    </row>
    <row r="37" spans="1:21" x14ac:dyDescent="0.3">
      <c r="A37" s="1">
        <v>2.5000000000000001E-3</v>
      </c>
      <c r="G37" s="8">
        <f t="shared" si="12"/>
        <v>500000</v>
      </c>
      <c r="H37" s="8">
        <f t="shared" si="13"/>
        <v>74784.114203040954</v>
      </c>
      <c r="I37">
        <f t="shared" ref="I37:I46" si="16">H37/(M4)</f>
        <v>25.099301895003066</v>
      </c>
      <c r="J37">
        <f t="shared" si="14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2"/>
        <v>1000000</v>
      </c>
      <c r="H38" s="8">
        <f t="shared" si="13"/>
        <v>472565.50281178218</v>
      </c>
      <c r="I38">
        <f t="shared" si="16"/>
        <v>81.462765067799182</v>
      </c>
      <c r="J38">
        <f>(G38-(H5+$I$49*M5))^2</f>
        <v>54506290808.123222</v>
      </c>
      <c r="K38" s="7">
        <f t="shared" si="15"/>
        <v>1233465.8236404704</v>
      </c>
    </row>
    <row r="39" spans="1:21" x14ac:dyDescent="0.3">
      <c r="A39" s="1">
        <v>7.4999999999999997E-3</v>
      </c>
      <c r="G39" s="8">
        <f t="shared" si="12"/>
        <v>1500000</v>
      </c>
      <c r="H39" s="8">
        <f t="shared" si="13"/>
        <v>955613.51236202882</v>
      </c>
      <c r="I39">
        <f t="shared" si="16"/>
        <v>146.16002240182661</v>
      </c>
      <c r="J39">
        <f t="shared" si="14"/>
        <v>25557434018.885662</v>
      </c>
      <c r="K39" s="7">
        <f t="shared" si="15"/>
        <v>1340133.0740306624</v>
      </c>
    </row>
    <row r="40" spans="1:21" x14ac:dyDescent="0.3">
      <c r="A40" s="1">
        <v>0.01</v>
      </c>
      <c r="G40" s="8">
        <f t="shared" si="12"/>
        <v>2000000</v>
      </c>
      <c r="H40" s="8">
        <f t="shared" si="13"/>
        <v>1402491.1241150326</v>
      </c>
      <c r="I40">
        <f t="shared" si="16"/>
        <v>96.505457689859909</v>
      </c>
      <c r="J40">
        <f t="shared" si="14"/>
        <v>134154206783.20578</v>
      </c>
      <c r="K40" s="7">
        <f t="shared" si="15"/>
        <v>2366270.6742058471</v>
      </c>
    </row>
    <row r="41" spans="1:21" x14ac:dyDescent="0.3">
      <c r="A41" s="1">
        <v>1.4999999999999999E-2</v>
      </c>
      <c r="G41" s="8">
        <f t="shared" si="12"/>
        <v>3000000</v>
      </c>
      <c r="H41" s="8">
        <f t="shared" si="13"/>
        <v>2357819.0350347674</v>
      </c>
      <c r="I41">
        <f t="shared" si="16"/>
        <v>111.21221877608926</v>
      </c>
      <c r="J41">
        <f t="shared" si="14"/>
        <v>49521218652.920395</v>
      </c>
      <c r="K41" s="7">
        <f t="shared" si="15"/>
        <v>3222533.6348800343</v>
      </c>
    </row>
    <row r="42" spans="1:21" x14ac:dyDescent="0.3">
      <c r="A42" s="1">
        <v>2.5000000000000001E-2</v>
      </c>
      <c r="G42" s="8">
        <f t="shared" si="12"/>
        <v>5000000</v>
      </c>
      <c r="H42" s="8">
        <f t="shared" si="13"/>
        <v>4346869.1084118299</v>
      </c>
      <c r="I42">
        <f t="shared" si="16"/>
        <v>132.58778924014339</v>
      </c>
      <c r="J42">
        <f t="shared" si="14"/>
        <v>127216309452.45322</v>
      </c>
      <c r="K42" s="7">
        <f t="shared" si="15"/>
        <v>4643326.0460133748</v>
      </c>
    </row>
    <row r="43" spans="1:21" x14ac:dyDescent="0.3">
      <c r="A43" s="1">
        <v>3.5000000000000003E-2</v>
      </c>
      <c r="G43" s="8">
        <f t="shared" si="12"/>
        <v>7000000.0000000009</v>
      </c>
      <c r="H43" s="8">
        <f t="shared" si="13"/>
        <v>6343213.6113096308</v>
      </c>
      <c r="I43">
        <f t="shared" si="16"/>
        <v>168.93068293773635</v>
      </c>
      <c r="J43">
        <f t="shared" si="14"/>
        <v>3144073723388.3198</v>
      </c>
      <c r="K43" s="7">
        <f t="shared" si="15"/>
        <v>5226846.3903574748</v>
      </c>
    </row>
    <row r="44" spans="1:21" x14ac:dyDescent="0.3">
      <c r="A44" s="1">
        <v>0.05</v>
      </c>
      <c r="G44" s="8">
        <f t="shared" si="12"/>
        <v>10000000</v>
      </c>
      <c r="H44" s="8">
        <f t="shared" si="13"/>
        <v>9326661.8167786021</v>
      </c>
      <c r="I44">
        <f t="shared" si="16"/>
        <v>161.14200638616006</v>
      </c>
      <c r="J44">
        <f t="shared" si="14"/>
        <v>5209121953595.668</v>
      </c>
      <c r="K44" s="7">
        <f t="shared" si="15"/>
        <v>7717649.905558819</v>
      </c>
    </row>
    <row r="45" spans="1:21" x14ac:dyDescent="0.3">
      <c r="A45" s="1">
        <v>0.09</v>
      </c>
      <c r="G45" s="8">
        <f t="shared" si="12"/>
        <v>18000000</v>
      </c>
      <c r="H45" s="8">
        <f t="shared" si="13"/>
        <v>17271665.854396455</v>
      </c>
      <c r="I45">
        <f t="shared" si="16"/>
        <v>156.82502236019025</v>
      </c>
      <c r="J45">
        <f t="shared" si="14"/>
        <v>14957513405595.201</v>
      </c>
      <c r="K45" s="7">
        <f t="shared" si="15"/>
        <v>14132505.539034968</v>
      </c>
    </row>
    <row r="46" spans="1:21" x14ac:dyDescent="0.3">
      <c r="A46" s="1">
        <v>0.15</v>
      </c>
      <c r="G46" s="8">
        <f t="shared" si="12"/>
        <v>30000000</v>
      </c>
      <c r="H46" s="8">
        <f t="shared" si="13"/>
        <v>29152158.614011213</v>
      </c>
      <c r="I46">
        <f t="shared" si="16"/>
        <v>129.48293550151539</v>
      </c>
      <c r="J46">
        <f t="shared" si="14"/>
        <v>3063712762062.7656</v>
      </c>
      <c r="K46" s="7">
        <f t="shared" si="15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W52"/>
  <sheetViews>
    <sheetView tabSelected="1" topLeftCell="I14" zoomScale="101" zoomScaleNormal="80" workbookViewId="0">
      <selection activeCell="R35" sqref="R35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26.441406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7" bestFit="1" customWidth="1"/>
    <col min="15" max="15" width="12" bestFit="1" customWidth="1"/>
    <col min="16" max="16" width="8" bestFit="1" customWidth="1"/>
    <col min="17" max="17" width="9.77734375" bestFit="1" customWidth="1"/>
    <col min="18" max="18" width="10.5546875" bestFit="1" customWidth="1"/>
    <col min="19" max="19" width="21.5546875" bestFit="1" customWidth="1"/>
    <col min="20" max="20" width="12.33203125" bestFit="1" customWidth="1"/>
    <col min="21" max="21" width="10.5546875" bestFit="1" customWidth="1"/>
    <col min="22" max="22" width="10.109375" bestFit="1" customWidth="1"/>
    <col min="23" max="23" width="12.33203125" bestFit="1" customWidth="1"/>
  </cols>
  <sheetData>
    <row r="1" spans="1:19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  <c r="Q1" t="s">
        <v>15</v>
      </c>
      <c r="R1" t="s">
        <v>16</v>
      </c>
      <c r="S1" t="s">
        <v>17</v>
      </c>
    </row>
    <row r="2" spans="1:19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 t="shared" ref="J2:J13" si="0">SUM(E2,G2,H2)</f>
        <v>0</v>
      </c>
      <c r="K2" s="7">
        <f>C2+J2</f>
        <v>0</v>
      </c>
      <c r="M2" s="60">
        <f t="shared" ref="M2:M7" si="1">E2/I2</f>
        <v>0</v>
      </c>
      <c r="P2" t="s">
        <v>14</v>
      </c>
      <c r="Q2" s="7">
        <v>750000</v>
      </c>
      <c r="R2" s="7">
        <v>2253432</v>
      </c>
      <c r="S2" s="7">
        <f>SUM(J14,M14)</f>
        <v>0</v>
      </c>
    </row>
    <row r="3" spans="1:19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 t="shared" si="0"/>
        <v>419.56509645361393</v>
      </c>
      <c r="K3" s="7">
        <f t="shared" ref="K2:K13" si="2">C3+J3</f>
        <v>369912.27018393949</v>
      </c>
      <c r="M3" s="60">
        <f t="shared" si="1"/>
        <v>0.26710301551784826</v>
      </c>
      <c r="P3" t="s">
        <v>18</v>
      </c>
      <c r="Q3">
        <v>0.85</v>
      </c>
      <c r="R3">
        <v>0.77</v>
      </c>
      <c r="S3">
        <v>7.4999999999999997E-2</v>
      </c>
    </row>
    <row r="4" spans="1:19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 t="shared" si="0"/>
        <v>1090.0607117791824</v>
      </c>
      <c r="K4" s="7">
        <f t="shared" si="2"/>
        <v>423326.41685823706</v>
      </c>
      <c r="M4" s="60">
        <f t="shared" si="1"/>
        <v>0.10024787431689695</v>
      </c>
    </row>
    <row r="5" spans="1:19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 t="shared" si="0"/>
        <v>2192.318979040363</v>
      </c>
      <c r="K5" s="7">
        <f t="shared" si="2"/>
        <v>523825.81613468524</v>
      </c>
      <c r="M5" s="60">
        <f t="shared" si="1"/>
        <v>0.30733451722649335</v>
      </c>
      <c r="Q5" s="8">
        <v>1500000</v>
      </c>
      <c r="R5" s="68">
        <f>Q5*R3/R2</f>
        <v>0.51255152141267191</v>
      </c>
    </row>
    <row r="6" spans="1:19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 t="shared" si="0"/>
        <v>2546.4125513931126</v>
      </c>
      <c r="K6" s="7">
        <f t="shared" si="2"/>
        <v>540394.7682387901</v>
      </c>
      <c r="M6" s="60">
        <f t="shared" si="1"/>
        <v>0.4405519935863853</v>
      </c>
    </row>
    <row r="7" spans="1:19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 t="shared" si="0"/>
        <v>6825.3982403352602</v>
      </c>
      <c r="K7" s="7">
        <f t="shared" si="2"/>
        <v>589801.50926735823</v>
      </c>
      <c r="M7" s="60">
        <f t="shared" si="1"/>
        <v>1.1246660045486305</v>
      </c>
    </row>
    <row r="8" spans="1:19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 t="shared" si="0"/>
        <v>9941.8953192859026</v>
      </c>
      <c r="K8" s="7">
        <f t="shared" si="2"/>
        <v>630921.78129353188</v>
      </c>
      <c r="M8" s="60">
        <f>E8/I8</f>
        <v>1.2880547684037877</v>
      </c>
      <c r="N8" s="60">
        <f>(M8-(J42-1))/M8</f>
        <v>5.8086818315190102E-2</v>
      </c>
      <c r="O8">
        <f>(E8+G8)/H8</f>
        <v>13.828360080217269</v>
      </c>
    </row>
    <row r="9" spans="1:19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 t="shared" si="0"/>
        <v>16436.375739526193</v>
      </c>
      <c r="K9" s="7">
        <f t="shared" si="2"/>
        <v>636782.42995071318</v>
      </c>
      <c r="M9" s="60">
        <f t="shared" ref="M9:M13" si="3">E9/I9</f>
        <v>2.1392549000533054</v>
      </c>
    </row>
    <row r="10" spans="1:19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 t="shared" si="0"/>
        <v>18424.113206563863</v>
      </c>
      <c r="K10" s="7">
        <f t="shared" si="2"/>
        <v>637661.2923572578</v>
      </c>
      <c r="M10" s="60">
        <f t="shared" si="3"/>
        <v>2.189027285302521</v>
      </c>
    </row>
    <row r="11" spans="1:19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 t="shared" si="0"/>
        <v>29855.29424443654</v>
      </c>
      <c r="K11" s="7">
        <f t="shared" si="2"/>
        <v>645314.95140089153</v>
      </c>
      <c r="M11" s="60">
        <f t="shared" si="3"/>
        <v>4.0888432951818157</v>
      </c>
    </row>
    <row r="12" spans="1:19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 t="shared" si="0"/>
        <v>62195.289318588715</v>
      </c>
      <c r="K12" s="7">
        <f t="shared" si="2"/>
        <v>680396.0799609106</v>
      </c>
      <c r="M12" s="60">
        <f t="shared" si="3"/>
        <v>9.0841858761354839</v>
      </c>
    </row>
    <row r="13" spans="1:19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 t="shared" si="0"/>
        <v>129945.26037650084</v>
      </c>
      <c r="K13" s="7">
        <f t="shared" si="2"/>
        <v>752643.7848669868</v>
      </c>
      <c r="M13" s="60">
        <f t="shared" si="3"/>
        <v>21.70248746733488</v>
      </c>
    </row>
    <row r="14" spans="1:19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19" x14ac:dyDescent="0.3">
      <c r="A16" s="20" t="s">
        <v>90</v>
      </c>
      <c r="B16">
        <v>0</v>
      </c>
      <c r="C16">
        <v>309521</v>
      </c>
    </row>
    <row r="17" spans="1:23" x14ac:dyDescent="0.3">
      <c r="A17" s="20" t="s">
        <v>24</v>
      </c>
      <c r="B17" s="8">
        <v>200000000</v>
      </c>
      <c r="C17" s="8">
        <v>40000000</v>
      </c>
      <c r="H17" s="53" t="s">
        <v>115</v>
      </c>
      <c r="I17" s="53" t="s">
        <v>114</v>
      </c>
      <c r="J17" s="54" t="s">
        <v>116</v>
      </c>
      <c r="K17" s="54" t="s">
        <v>117</v>
      </c>
      <c r="L17" s="54" t="s">
        <v>118</v>
      </c>
      <c r="M17" s="54" t="s">
        <v>119</v>
      </c>
      <c r="N17" s="54" t="s">
        <v>116</v>
      </c>
      <c r="O17" s="54" t="s">
        <v>139</v>
      </c>
      <c r="R17" s="69" t="s">
        <v>116</v>
      </c>
      <c r="S17" s="70"/>
      <c r="T17" s="70"/>
      <c r="U17" s="71" t="s">
        <v>118</v>
      </c>
      <c r="V17" s="72"/>
      <c r="W17" s="72"/>
    </row>
    <row r="18" spans="1:23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  <c r="N18" t="s">
        <v>138</v>
      </c>
      <c r="O18" t="s">
        <v>138</v>
      </c>
      <c r="P18" t="s">
        <v>81</v>
      </c>
      <c r="Q18" s="1" t="s">
        <v>0</v>
      </c>
      <c r="R18" s="70" t="s">
        <v>140</v>
      </c>
      <c r="S18" s="70" t="s">
        <v>141</v>
      </c>
      <c r="T18" s="70" t="s">
        <v>142</v>
      </c>
      <c r="U18" s="72" t="s">
        <v>140</v>
      </c>
      <c r="V18" s="72" t="s">
        <v>143</v>
      </c>
      <c r="W18" s="72" t="s">
        <v>142</v>
      </c>
    </row>
    <row r="19" spans="1:23" x14ac:dyDescent="0.3">
      <c r="A19" s="1">
        <v>0</v>
      </c>
      <c r="B19" s="41">
        <f t="shared" ref="B19:B30" si="4">A19*$B$17</f>
        <v>0</v>
      </c>
      <c r="C19" s="42">
        <f t="shared" ref="C19:C30" si="5">A19*$C$17+$C$16</f>
        <v>309521</v>
      </c>
      <c r="D19" s="42">
        <f>B19-K2</f>
        <v>0</v>
      </c>
      <c r="E19" s="42">
        <f t="shared" ref="E19:E30" si="6">C19-K2</f>
        <v>309521</v>
      </c>
      <c r="F19" s="42">
        <v>0</v>
      </c>
      <c r="G19" s="42">
        <v>0</v>
      </c>
      <c r="H19" s="43">
        <f>(B19-(C2+$F$32*J2))^2</f>
        <v>0</v>
      </c>
      <c r="I19" s="44">
        <f>(C19-(C2+$F$35*J2))^2</f>
        <v>95803249441</v>
      </c>
      <c r="J19" s="9">
        <f>C2+$F$32*J2</f>
        <v>0</v>
      </c>
      <c r="K19" s="9">
        <f>C2+$F$33*J2</f>
        <v>0</v>
      </c>
      <c r="L19" s="9">
        <f>C2+$F$34*J2</f>
        <v>0</v>
      </c>
      <c r="M19" s="9">
        <f>C2+$F$35*J2</f>
        <v>0</v>
      </c>
      <c r="N19" s="3">
        <v>0</v>
      </c>
      <c r="O19" s="3">
        <v>0</v>
      </c>
      <c r="P19" s="3">
        <f t="shared" ref="P19:P30" si="7">(C2/$R$2)*$R$3</f>
        <v>0</v>
      </c>
      <c r="Q19" s="1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>
        <v>1.5E-3</v>
      </c>
      <c r="B20" s="45">
        <f t="shared" si="4"/>
        <v>300000</v>
      </c>
      <c r="C20" s="46">
        <f t="shared" si="5"/>
        <v>369521</v>
      </c>
      <c r="D20" s="46">
        <f t="shared" ref="D19:D30" si="8">B20-K3</f>
        <v>-69912.270183939487</v>
      </c>
      <c r="E20" s="46">
        <f t="shared" si="6"/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9">(B20-(C3+$F$32*J3))^2</f>
        <v>31029540985.676144</v>
      </c>
      <c r="I20" s="44">
        <f t="shared" ref="I20:I29" si="10">(C20-(C3+$F$35*J3))^2</f>
        <v>370350242.04066366</v>
      </c>
      <c r="J20" s="9">
        <f t="shared" ref="J20:J29" si="11">C3+$F$32*J3</f>
        <v>476152.03940254607</v>
      </c>
      <c r="K20" s="9">
        <f t="shared" ref="K20:K30" si="12">C3+$F$33*J3</f>
        <v>470674.61869295326</v>
      </c>
      <c r="L20" s="9">
        <f t="shared" ref="L20:L30" si="13">C3+$F$34*J3</f>
        <v>384386.88498789747</v>
      </c>
      <c r="M20" s="9">
        <f t="shared" ref="M20:M30" si="14">C3+$F$35*J3</f>
        <v>388765.48601653636</v>
      </c>
      <c r="N20" s="3">
        <f>(J20/C3)*($J$34/2)</f>
        <v>0.13639179981394384</v>
      </c>
      <c r="O20" s="3">
        <f t="shared" ref="O20:O30" si="15">(L20/C3)*($J$34/2)</f>
        <v>0.11010604750146204</v>
      </c>
      <c r="P20" s="3">
        <f t="shared" si="7"/>
        <v>0.12625603209564973</v>
      </c>
      <c r="Q20" s="1">
        <v>1.5E-3</v>
      </c>
      <c r="R20" s="3">
        <f>(($F$32*E3)/C3)*$J$34/2</f>
        <v>6.4403333512985696E-3</v>
      </c>
      <c r="S20" s="3">
        <f t="shared" ref="S20:S30" si="16">(($F$32*G3)/C3)*$J$34/2</f>
        <v>1.5221345343063599E-2</v>
      </c>
      <c r="T20" s="3">
        <f t="shared" ref="T20:T30" si="17">(($F$32*H3)/C3)*$J$34/2</f>
        <v>8.8904503954169885E-3</v>
      </c>
      <c r="U20" s="3">
        <f>(($F$34*E3)/C3)*$J$34/2</f>
        <v>8.9934447996378709E-4</v>
      </c>
      <c r="V20" s="3">
        <f t="shared" ref="V20:V30" si="18">(($F$34*G3)/C3)*$J$34/2</f>
        <v>2.1255472605539237E-3</v>
      </c>
      <c r="W20" s="3">
        <f t="shared" ref="W20:W30" si="19">(($F$34*H3)/C3)*$J$34/2</f>
        <v>1.2414850367796543E-3</v>
      </c>
    </row>
    <row r="21" spans="1:23" x14ac:dyDescent="0.3">
      <c r="A21" s="1">
        <v>2.5000000000000001E-3</v>
      </c>
      <c r="B21" s="45">
        <f t="shared" si="4"/>
        <v>500000</v>
      </c>
      <c r="C21" s="46">
        <f t="shared" si="5"/>
        <v>409521</v>
      </c>
      <c r="D21" s="46">
        <f t="shared" si="8"/>
        <v>76673.583141762938</v>
      </c>
      <c r="E21" s="46">
        <f t="shared" si="6"/>
        <v>-13805.416858237062</v>
      </c>
      <c r="F21" s="46">
        <f t="shared" ref="F21:F30" si="20">D21/J4</f>
        <v>70.338819033865875</v>
      </c>
      <c r="G21" s="46">
        <f t="shared" ref="G21:G30" si="21">E21/J4</f>
        <v>-12.664814637437988</v>
      </c>
      <c r="H21" s="43">
        <f t="shared" si="9"/>
        <v>39738462278.696556</v>
      </c>
      <c r="I21" s="44">
        <f t="shared" si="10"/>
        <v>3942263401.6756787</v>
      </c>
      <c r="J21" s="9">
        <f t="shared" si="11"/>
        <v>699345.08340738318</v>
      </c>
      <c r="K21" s="9">
        <f t="shared" si="12"/>
        <v>685114.3450359588</v>
      </c>
      <c r="L21" s="9">
        <f t="shared" si="13"/>
        <v>460932.52148728672</v>
      </c>
      <c r="M21" s="9">
        <f t="shared" si="14"/>
        <v>472308.44621081254</v>
      </c>
      <c r="N21" s="3">
        <f t="shared" ref="N21:N29" si="22">(J21/C4)*($J$34/2)</f>
        <v>0.17530099498283538</v>
      </c>
      <c r="O21" s="3">
        <f t="shared" si="15"/>
        <v>0.11553942617710476</v>
      </c>
      <c r="P21" s="3">
        <f t="shared" si="7"/>
        <v>0.14427859115907318</v>
      </c>
      <c r="Q21" s="1">
        <v>2.5000000000000001E-3</v>
      </c>
      <c r="R21" s="3">
        <f>(($F$32*E4)/C4)*$J$34/2</f>
        <v>6.3288921221426857E-3</v>
      </c>
      <c r="S21" s="3">
        <f>(($F$32*G4)/C4)*$J$34/2</f>
        <v>4.7945221166163274E-2</v>
      </c>
      <c r="T21" s="3">
        <f t="shared" si="17"/>
        <v>1.5187210970364727E-2</v>
      </c>
      <c r="U21" s="3">
        <f>(($F$34*E4)/C4)*$J$34/2</f>
        <v>8.837825441423262E-4</v>
      </c>
      <c r="V21" s="3">
        <f>(($F$34*G4)/C4)*$J$34/2</f>
        <v>6.6951922586022212E-3</v>
      </c>
      <c r="W21" s="3">
        <f t="shared" si="19"/>
        <v>2.1207806501955381E-3</v>
      </c>
    </row>
    <row r="22" spans="1:23" x14ac:dyDescent="0.3">
      <c r="A22" s="1">
        <v>5.0000000000000001E-3</v>
      </c>
      <c r="B22" s="45">
        <f t="shared" si="4"/>
        <v>1000000</v>
      </c>
      <c r="C22" s="46">
        <f t="shared" si="5"/>
        <v>509521</v>
      </c>
      <c r="D22" s="46">
        <f t="shared" si="8"/>
        <v>476174.18386531476</v>
      </c>
      <c r="E22" s="46">
        <f t="shared" si="6"/>
        <v>-14304.816134685243</v>
      </c>
      <c r="F22" s="46">
        <f t="shared" si="20"/>
        <v>217.20114108292262</v>
      </c>
      <c r="G22" s="46">
        <f t="shared" si="21"/>
        <v>-6.5249702581815194</v>
      </c>
      <c r="H22" s="43">
        <f t="shared" si="9"/>
        <v>6233377473.4705591</v>
      </c>
      <c r="I22" s="44">
        <f t="shared" si="10"/>
        <v>12727669552.138348</v>
      </c>
      <c r="J22" s="9">
        <f t="shared" si="11"/>
        <v>1078951.7414213934</v>
      </c>
      <c r="K22" s="9">
        <f t="shared" si="12"/>
        <v>1050331.0256389577</v>
      </c>
      <c r="L22" s="9">
        <f t="shared" si="13"/>
        <v>599458.82997982996</v>
      </c>
      <c r="M22" s="9">
        <f t="shared" si="14"/>
        <v>622337.97368808626</v>
      </c>
      <c r="N22" s="3">
        <f>(J22/C5)*($J$34/2)</f>
        <v>0.21891979265516875</v>
      </c>
      <c r="O22" s="3">
        <f t="shared" si="15"/>
        <v>0.12163046568849288</v>
      </c>
      <c r="P22" s="3">
        <f t="shared" si="7"/>
        <v>0.17824269505795895</v>
      </c>
      <c r="Q22" s="1">
        <v>5.0000000000000001E-3</v>
      </c>
      <c r="R22" s="3">
        <f t="shared" ref="R20:R31" si="23">(($F$32*E5)/C5)*$J$34/2</f>
        <v>2.658342162900084E-2</v>
      </c>
      <c r="S22" s="3">
        <f t="shared" si="16"/>
        <v>6.770954373415633E-2</v>
      </c>
      <c r="T22" s="3">
        <f>(($F$32*H5)/C5)*$J$34/2</f>
        <v>1.8787156567846894E-2</v>
      </c>
      <c r="U22" s="3">
        <f>(($F$34*E5)/C5)*$J$34/2</f>
        <v>3.7121764040010967E-3</v>
      </c>
      <c r="V22" s="3">
        <f>(($F$34*G5)/C5)*$J$34/2</f>
        <v>9.4551323784974554E-3</v>
      </c>
      <c r="W22" s="3">
        <f t="shared" si="19"/>
        <v>2.623486181829662E-3</v>
      </c>
    </row>
    <row r="23" spans="1:23" x14ac:dyDescent="0.3">
      <c r="A23" s="1">
        <v>7.4999999999999997E-3</v>
      </c>
      <c r="B23" s="45">
        <f t="shared" si="4"/>
        <v>1500000</v>
      </c>
      <c r="C23" s="46">
        <f t="shared" si="5"/>
        <v>609521</v>
      </c>
      <c r="D23" s="46">
        <f t="shared" si="8"/>
        <v>959605.2317612099</v>
      </c>
      <c r="E23" s="46">
        <f t="shared" si="6"/>
        <v>69126.2317612099</v>
      </c>
      <c r="F23" s="46">
        <f t="shared" si="20"/>
        <v>376.8459400799847</v>
      </c>
      <c r="G23" s="46">
        <f t="shared" si="21"/>
        <v>27.146517057258354</v>
      </c>
      <c r="H23" s="43">
        <f t="shared" si="9"/>
        <v>99110276015.425797</v>
      </c>
      <c r="I23" s="44">
        <f t="shared" si="10"/>
        <v>2051833574.1126113</v>
      </c>
      <c r="J23" s="9">
        <f t="shared" si="11"/>
        <v>1185182.1542297422</v>
      </c>
      <c r="K23" s="9">
        <f t="shared" si="12"/>
        <v>1151938.7482313367</v>
      </c>
      <c r="L23" s="9">
        <f t="shared" si="13"/>
        <v>628243.68876369868</v>
      </c>
      <c r="M23" s="9">
        <f t="shared" si="14"/>
        <v>654818.16960376897</v>
      </c>
      <c r="N23" s="3">
        <f>(J23/C6)*($J$34/2)</f>
        <v>0.23322426781711439</v>
      </c>
      <c r="O23" s="3">
        <f t="shared" si="15"/>
        <v>0.12362797887204278</v>
      </c>
      <c r="P23" s="3">
        <f t="shared" si="7"/>
        <v>0.18378332866458613</v>
      </c>
      <c r="Q23" s="1">
        <v>7.4999999999999997E-3</v>
      </c>
      <c r="R23" s="3">
        <f t="shared" si="23"/>
        <v>3.8956968197852243E-2</v>
      </c>
      <c r="S23" s="3">
        <f>(($F$32*G6)/C6)*$J$34/2</f>
        <v>7.3727287958354842E-2</v>
      </c>
      <c r="T23" s="3">
        <f>(($F$32*H6)/C6)*$J$34/2</f>
        <v>1.4700340936742643E-2</v>
      </c>
      <c r="U23" s="3">
        <f t="shared" ref="U20:U30" si="24">(($F$34*E6)/C6)*$J$34/2</f>
        <v>5.4400498225451238E-3</v>
      </c>
      <c r="V23" s="3">
        <f t="shared" si="18"/>
        <v>1.0295465441191433E-2</v>
      </c>
      <c r="W23" s="3">
        <f>(($F$34*H6)/C6)*$J$34/2</f>
        <v>2.0527928841415468E-3</v>
      </c>
    </row>
    <row r="24" spans="1:23" x14ac:dyDescent="0.3">
      <c r="A24" s="1">
        <v>0.01</v>
      </c>
      <c r="B24" s="45">
        <f t="shared" si="4"/>
        <v>2000000</v>
      </c>
      <c r="C24" s="46">
        <f t="shared" si="5"/>
        <v>709521</v>
      </c>
      <c r="D24" s="46">
        <f t="shared" si="8"/>
        <v>1410198.4907326419</v>
      </c>
      <c r="E24" s="46">
        <f t="shared" si="6"/>
        <v>119719.49073264177</v>
      </c>
      <c r="F24" s="46">
        <f t="shared" si="20"/>
        <v>206.61043371783882</v>
      </c>
      <c r="G24" s="46">
        <f t="shared" si="21"/>
        <v>17.540293843244115</v>
      </c>
      <c r="H24" s="43">
        <f t="shared" si="9"/>
        <v>101180045029.55783</v>
      </c>
      <c r="I24" s="44">
        <f t="shared" si="10"/>
        <v>34961792031.58284</v>
      </c>
      <c r="J24" s="9">
        <f t="shared" si="11"/>
        <v>2318088.1089093992</v>
      </c>
      <c r="K24" s="9">
        <f t="shared" si="12"/>
        <v>2228982.561310628</v>
      </c>
      <c r="L24" s="9">
        <f t="shared" si="13"/>
        <v>825271.55014428799</v>
      </c>
      <c r="M24" s="9">
        <f t="shared" si="14"/>
        <v>896501.72636392992</v>
      </c>
      <c r="N24" s="3">
        <f t="shared" si="22"/>
        <v>0.42085031876237511</v>
      </c>
      <c r="O24" s="3">
        <f t="shared" si="15"/>
        <v>0.14982855639044115</v>
      </c>
      <c r="P24" s="3">
        <f t="shared" si="7"/>
        <v>0.19920352843609554</v>
      </c>
      <c r="Q24" s="1">
        <v>0.01</v>
      </c>
      <c r="R24" s="3">
        <f>(($F$32*E7)/C7)*$J$34/2</f>
        <v>0.16674703984576325</v>
      </c>
      <c r="S24" s="3">
        <f t="shared" si="16"/>
        <v>0.12308259316597232</v>
      </c>
      <c r="T24" s="3">
        <f t="shared" si="17"/>
        <v>2.5181015026474938E-2</v>
      </c>
      <c r="U24" s="3">
        <f>(($F$34*E7)/C7)*$J$34/2</f>
        <v>2.3284979465442068E-2</v>
      </c>
      <c r="V24" s="3">
        <f t="shared" si="18"/>
        <v>1.7187565410900121E-2</v>
      </c>
      <c r="W24" s="3">
        <f t="shared" si="19"/>
        <v>3.5163407899342978E-3</v>
      </c>
    </row>
    <row r="25" spans="1:23" x14ac:dyDescent="0.3">
      <c r="A25" s="1">
        <v>1.4999999999999999E-2</v>
      </c>
      <c r="B25" s="45">
        <f t="shared" si="4"/>
        <v>3000000</v>
      </c>
      <c r="C25" s="46">
        <f t="shared" si="5"/>
        <v>909521</v>
      </c>
      <c r="D25" s="46">
        <f t="shared" si="8"/>
        <v>2369078.2187064681</v>
      </c>
      <c r="E25" s="46">
        <f t="shared" si="6"/>
        <v>278599.21870646812</v>
      </c>
      <c r="F25" s="46">
        <f t="shared" si="20"/>
        <v>238.29241232411528</v>
      </c>
      <c r="G25" s="46">
        <f t="shared" si="21"/>
        <v>28.022747148224759</v>
      </c>
      <c r="H25" s="43">
        <f t="shared" si="9"/>
        <v>22007475644.885487</v>
      </c>
      <c r="I25" s="44">
        <f t="shared" si="10"/>
        <v>28271472254.749557</v>
      </c>
      <c r="J25" s="9">
        <f t="shared" si="11"/>
        <v>3148349.1679952587</v>
      </c>
      <c r="K25" s="9">
        <f t="shared" si="12"/>
        <v>3018557.7630982576</v>
      </c>
      <c r="L25" s="9">
        <f t="shared" si="13"/>
        <v>973908.14117975277</v>
      </c>
      <c r="M25" s="9">
        <f t="shared" si="14"/>
        <v>1077662.2271120606</v>
      </c>
      <c r="N25" s="74">
        <f>(J25/C8)*($J$34/2)</f>
        <v>0.53660391711807498</v>
      </c>
      <c r="O25" s="74">
        <f t="shared" si="15"/>
        <v>0.16599268238186268</v>
      </c>
      <c r="P25" s="3">
        <f t="shared" si="7"/>
        <v>0.21218945688184485</v>
      </c>
      <c r="Q25" s="1">
        <v>1.4999999999999999E-2</v>
      </c>
      <c r="R25" s="3">
        <f t="shared" si="23"/>
        <v>0.24249766626548813</v>
      </c>
      <c r="S25" s="3">
        <f t="shared" si="16"/>
        <v>0.15921655409293373</v>
      </c>
      <c r="T25" s="3">
        <f t="shared" si="17"/>
        <v>2.9050026035488525E-2</v>
      </c>
      <c r="U25" s="3">
        <f t="shared" si="24"/>
        <v>3.3862989019969598E-2</v>
      </c>
      <c r="V25" s="3">
        <f t="shared" si="18"/>
        <v>2.2233403339823096E-2</v>
      </c>
      <c r="W25" s="3">
        <f t="shared" si="19"/>
        <v>4.056619297905302E-3</v>
      </c>
    </row>
    <row r="26" spans="1:23" x14ac:dyDescent="0.3">
      <c r="A26" s="1">
        <v>2.5000000000000001E-2</v>
      </c>
      <c r="B26" s="45">
        <f t="shared" si="4"/>
        <v>5000000</v>
      </c>
      <c r="C26" s="46">
        <f t="shared" si="5"/>
        <v>1309521</v>
      </c>
      <c r="D26" s="46">
        <f t="shared" si="8"/>
        <v>4363217.5700492868</v>
      </c>
      <c r="E26" s="46">
        <f t="shared" si="6"/>
        <v>672738.57004928682</v>
      </c>
      <c r="F26" s="46">
        <f t="shared" si="20"/>
        <v>265.46105048916729</v>
      </c>
      <c r="G26" s="46">
        <f t="shared" si="21"/>
        <v>40.929860737576426</v>
      </c>
      <c r="H26" s="43">
        <f t="shared" si="9"/>
        <v>40520328726.549553</v>
      </c>
      <c r="I26" s="44">
        <f t="shared" si="10"/>
        <v>4333885758.6303024</v>
      </c>
      <c r="J26" s="9">
        <f t="shared" si="11"/>
        <v>4798703.3812341858</v>
      </c>
      <c r="K26" s="9">
        <f t="shared" si="12"/>
        <v>4584126.5595983975</v>
      </c>
      <c r="L26" s="9">
        <f t="shared" si="13"/>
        <v>1203822.4664401743</v>
      </c>
      <c r="M26" s="9">
        <f t="shared" si="14"/>
        <v>1375353.2546980605</v>
      </c>
      <c r="N26" s="74">
        <f t="shared" si="22"/>
        <v>0.81872558441365972</v>
      </c>
      <c r="O26" s="74">
        <f t="shared" si="15"/>
        <v>0.20538886738047077</v>
      </c>
      <c r="P26" s="3">
        <f t="shared" si="7"/>
        <v>0.21197287592552777</v>
      </c>
      <c r="Q26" s="1">
        <v>2.5000000000000001E-2</v>
      </c>
      <c r="R26" s="3">
        <f t="shared" si="23"/>
        <v>0.48579829691858856</v>
      </c>
      <c r="S26" s="3">
        <f t="shared" si="16"/>
        <v>0.1979668535054035</v>
      </c>
      <c r="T26" s="3">
        <f t="shared" si="17"/>
        <v>2.9120763265502902E-2</v>
      </c>
      <c r="U26" s="3">
        <f t="shared" si="24"/>
        <v>6.7838106023106567E-2</v>
      </c>
      <c r="V26" s="3">
        <f t="shared" si="18"/>
        <v>2.7644593409126238E-2</v>
      </c>
      <c r="W26" s="3">
        <f t="shared" si="19"/>
        <v>4.0664972240732908E-3</v>
      </c>
    </row>
    <row r="27" spans="1:23" x14ac:dyDescent="0.3">
      <c r="A27" s="1">
        <v>3.5000000000000003E-2</v>
      </c>
      <c r="B27" s="45">
        <f t="shared" si="4"/>
        <v>7000000.0000000009</v>
      </c>
      <c r="C27" s="46">
        <f t="shared" si="5"/>
        <v>1709521.0000000002</v>
      </c>
      <c r="D27" s="46">
        <f t="shared" si="8"/>
        <v>6362338.7076427434</v>
      </c>
      <c r="E27" s="46">
        <f t="shared" si="6"/>
        <v>1071859.7076427424</v>
      </c>
      <c r="F27" s="46">
        <f t="shared" si="20"/>
        <v>345.32672679063143</v>
      </c>
      <c r="G27" s="46">
        <f t="shared" si="21"/>
        <v>58.177003996093369</v>
      </c>
      <c r="H27" s="43">
        <f t="shared" si="9"/>
        <v>2880130557675.0469</v>
      </c>
      <c r="I27" s="44">
        <f t="shared" si="10"/>
        <v>59521177421.921738</v>
      </c>
      <c r="J27" s="9">
        <f t="shared" si="11"/>
        <v>5302905.2596643157</v>
      </c>
      <c r="K27" s="9">
        <f t="shared" si="12"/>
        <v>5062378.5330931218</v>
      </c>
      <c r="L27" s="9">
        <f t="shared" si="13"/>
        <v>1273276.4663163493</v>
      </c>
      <c r="M27" s="9">
        <f t="shared" si="14"/>
        <v>1465551.3760261913</v>
      </c>
      <c r="N27" s="74">
        <f t="shared" si="22"/>
        <v>0.9063695873915345</v>
      </c>
      <c r="O27" s="74">
        <f t="shared" si="15"/>
        <v>0.21762769819567826</v>
      </c>
      <c r="P27" s="3">
        <f t="shared" si="7"/>
        <v>0.21159397219265294</v>
      </c>
      <c r="Q27" s="1">
        <v>3.5000000000000003E-2</v>
      </c>
      <c r="R27" s="3">
        <f t="shared" si="23"/>
        <v>0.5495035550063001</v>
      </c>
      <c r="S27" s="3">
        <f t="shared" si="16"/>
        <v>0.21466311680936448</v>
      </c>
      <c r="T27" s="3">
        <f t="shared" si="17"/>
        <v>3.636324485170514E-2</v>
      </c>
      <c r="U27" s="3">
        <f t="shared" si="24"/>
        <v>7.6734069800245469E-2</v>
      </c>
      <c r="V27" s="3">
        <f t="shared" si="18"/>
        <v>2.9976101953697414E-2</v>
      </c>
      <c r="W27" s="3">
        <f t="shared" si="19"/>
        <v>5.0778557175706861E-3</v>
      </c>
    </row>
    <row r="28" spans="1:23" x14ac:dyDescent="0.3">
      <c r="A28" s="1">
        <v>0.05</v>
      </c>
      <c r="B28" s="45">
        <f t="shared" si="4"/>
        <v>10000000</v>
      </c>
      <c r="C28" s="46">
        <f t="shared" si="5"/>
        <v>2309521</v>
      </c>
      <c r="D28" s="46">
        <f t="shared" si="8"/>
        <v>9354685.0485991091</v>
      </c>
      <c r="E28" s="46">
        <f t="shared" si="6"/>
        <v>1664206.0485991086</v>
      </c>
      <c r="F28" s="46">
        <f t="shared" si="20"/>
        <v>313.33421040867256</v>
      </c>
      <c r="G28" s="46">
        <f t="shared" si="21"/>
        <v>55.742409871215031</v>
      </c>
      <c r="H28" s="43">
        <f t="shared" si="9"/>
        <v>3221686310016.6226</v>
      </c>
      <c r="I28" s="44">
        <f t="shared" si="10"/>
        <v>104105770642.6185</v>
      </c>
      <c r="J28" s="9">
        <f t="shared" si="11"/>
        <v>8205094.3450931404</v>
      </c>
      <c r="K28" s="9">
        <f t="shared" si="12"/>
        <v>7815333.5943354974</v>
      </c>
      <c r="L28" s="9">
        <f t="shared" si="13"/>
        <v>1675295.4900580654</v>
      </c>
      <c r="M28" s="9">
        <f t="shared" si="14"/>
        <v>1986866.7413226683</v>
      </c>
      <c r="N28" s="74">
        <f t="shared" si="22"/>
        <v>1.4110177225224736</v>
      </c>
      <c r="O28" s="74">
        <f t="shared" si="15"/>
        <v>0.28809804342439516</v>
      </c>
      <c r="P28" s="3">
        <f t="shared" si="7"/>
        <v>0.21030318909577497</v>
      </c>
      <c r="Q28" s="1">
        <v>0.05</v>
      </c>
      <c r="R28" s="3">
        <f t="shared" si="23"/>
        <v>1.0486997175108159</v>
      </c>
      <c r="S28" s="3">
        <f t="shared" si="16"/>
        <v>0.22804358242822168</v>
      </c>
      <c r="T28" s="3">
        <f t="shared" si="17"/>
        <v>2.8434751859271287E-2</v>
      </c>
      <c r="U28" s="3">
        <f t="shared" si="24"/>
        <v>0.14644308774681186</v>
      </c>
      <c r="V28" s="3">
        <f t="shared" si="18"/>
        <v>3.184458410163437E-2</v>
      </c>
      <c r="W28" s="3">
        <f t="shared" si="19"/>
        <v>3.9707008517842384E-3</v>
      </c>
    </row>
    <row r="29" spans="1:23" x14ac:dyDescent="0.3">
      <c r="A29" s="1">
        <v>0.09</v>
      </c>
      <c r="B29" s="45">
        <f t="shared" si="4"/>
        <v>18000000</v>
      </c>
      <c r="C29" s="46">
        <f t="shared" si="5"/>
        <v>3909521</v>
      </c>
      <c r="D29" s="46">
        <f t="shared" si="8"/>
        <v>17319603.920039088</v>
      </c>
      <c r="E29" s="46">
        <f t="shared" si="6"/>
        <v>3229124.9200390894</v>
      </c>
      <c r="F29" s="46">
        <f t="shared" si="20"/>
        <v>278.47131366044891</v>
      </c>
      <c r="G29" s="46">
        <f t="shared" si="21"/>
        <v>51.919123705627328</v>
      </c>
      <c r="H29" s="43">
        <f t="shared" si="9"/>
        <v>2467676605710.5039</v>
      </c>
      <c r="I29" s="44">
        <f t="shared" si="10"/>
        <v>188678134025.68134</v>
      </c>
      <c r="J29" s="9">
        <f t="shared" si="11"/>
        <v>16429115.979548298</v>
      </c>
      <c r="K29" s="9">
        <f t="shared" si="12"/>
        <v>15617156.71832215</v>
      </c>
      <c r="L29" s="9">
        <f t="shared" si="13"/>
        <v>2826077.0794451539</v>
      </c>
      <c r="M29" s="9">
        <f t="shared" si="14"/>
        <v>3475150.0363920704</v>
      </c>
      <c r="N29" s="74">
        <f t="shared" si="22"/>
        <v>2.8127628626255956</v>
      </c>
      <c r="O29" s="74">
        <f t="shared" si="15"/>
        <v>0.48384128920120301</v>
      </c>
      <c r="P29" s="3">
        <f t="shared" si="7"/>
        <v>0.21123983718815917</v>
      </c>
      <c r="Q29" s="1">
        <v>0.09</v>
      </c>
      <c r="R29" s="3">
        <f t="shared" si="23"/>
        <v>2.4384906952030665</v>
      </c>
      <c r="S29" s="3">
        <f t="shared" si="16"/>
        <v>0.24220569623738039</v>
      </c>
      <c r="T29" s="3">
        <f t="shared" si="17"/>
        <v>2.622680046098402E-2</v>
      </c>
      <c r="U29" s="3">
        <f t="shared" si="24"/>
        <v>0.34051702397233069</v>
      </c>
      <c r="V29" s="3">
        <f t="shared" si="18"/>
        <v>3.3822217584894634E-2</v>
      </c>
      <c r="W29" s="3">
        <f t="shared" si="19"/>
        <v>3.6623769198129842E-3</v>
      </c>
    </row>
    <row r="30" spans="1:23" x14ac:dyDescent="0.3">
      <c r="A30" s="1">
        <v>0.15</v>
      </c>
      <c r="B30" s="47">
        <f t="shared" si="4"/>
        <v>30000000</v>
      </c>
      <c r="C30" s="48">
        <f t="shared" si="5"/>
        <v>6309521</v>
      </c>
      <c r="D30" s="48">
        <f t="shared" si="8"/>
        <v>29247356.215133011</v>
      </c>
      <c r="E30" s="48">
        <f t="shared" si="6"/>
        <v>5556877.2151330132</v>
      </c>
      <c r="F30" s="48">
        <f t="shared" si="20"/>
        <v>225.07443619253445</v>
      </c>
      <c r="G30" s="48">
        <f t="shared" si="21"/>
        <v>42.763215826669068</v>
      </c>
      <c r="H30" s="43">
        <f t="shared" si="9"/>
        <v>13370774288585.053</v>
      </c>
      <c r="I30" s="44">
        <f>(C30-(C13+$F$35*J13))^2</f>
        <v>79654389581.845734</v>
      </c>
      <c r="J30" s="9">
        <f>C13+$F$32*J13</f>
        <v>33656606.936571807</v>
      </c>
      <c r="K30" s="9">
        <f t="shared" si="12"/>
        <v>31960172.065521073</v>
      </c>
      <c r="L30" s="9">
        <f t="shared" si="13"/>
        <v>5235637.2594155082</v>
      </c>
      <c r="M30" s="9">
        <f t="shared" si="14"/>
        <v>6591752.0925143538</v>
      </c>
      <c r="N30" s="74">
        <f>(J30/C13)*($J$34/2)</f>
        <v>5.7205919971853456</v>
      </c>
      <c r="O30" s="74">
        <f t="shared" si="15"/>
        <v>0.889897922949345</v>
      </c>
      <c r="P30" s="3">
        <f t="shared" si="7"/>
        <v>0.21277671740601634</v>
      </c>
      <c r="Q30" s="1">
        <v>0.15</v>
      </c>
      <c r="R30" s="3">
        <f t="shared" si="23"/>
        <v>5.3674335102063599</v>
      </c>
      <c r="S30" s="3">
        <f t="shared" si="16"/>
        <v>0.20666463597615384</v>
      </c>
      <c r="T30" s="3">
        <f t="shared" si="17"/>
        <v>4.0654180278667573E-2</v>
      </c>
      <c r="U30" s="3">
        <f t="shared" si="24"/>
        <v>0.74952202559568393</v>
      </c>
      <c r="V30" s="3">
        <f t="shared" si="18"/>
        <v>2.8859173808356339E-2</v>
      </c>
      <c r="W30" s="3">
        <f t="shared" si="19"/>
        <v>5.6770528211401196E-3</v>
      </c>
    </row>
    <row r="31" spans="1:23" x14ac:dyDescent="0.3">
      <c r="D31" s="34" t="s">
        <v>111</v>
      </c>
      <c r="E31" s="49" t="s">
        <v>102</v>
      </c>
      <c r="F31" s="50">
        <f>AVERAGE(F19:F30)</f>
        <v>197.52717954019639</v>
      </c>
      <c r="G31" s="51">
        <f>AVERAGE(G19:G30)</f>
        <v>25.176568830109659</v>
      </c>
      <c r="H31" s="53" t="s">
        <v>77</v>
      </c>
      <c r="I31" s="53" t="s">
        <v>77</v>
      </c>
    </row>
    <row r="32" spans="1:23" x14ac:dyDescent="0.3">
      <c r="B32" s="8"/>
      <c r="C32" s="8"/>
      <c r="D32" s="5" t="s">
        <v>107</v>
      </c>
      <c r="E32" s="55" t="s">
        <v>98</v>
      </c>
      <c r="F32" s="56">
        <v>254.21403071085103</v>
      </c>
      <c r="G32" s="52" t="s">
        <v>112</v>
      </c>
      <c r="H32" s="64">
        <f>SUM(H19:H26)</f>
        <v>339819506154.26196</v>
      </c>
      <c r="I32" s="64">
        <f>SUM(I19:I26)</f>
        <v>182462516255.92999</v>
      </c>
      <c r="P32" t="s">
        <v>144</v>
      </c>
      <c r="Q32" t="s">
        <v>144</v>
      </c>
      <c r="R32" t="s">
        <v>145</v>
      </c>
      <c r="S32" t="s">
        <v>146</v>
      </c>
    </row>
    <row r="33" spans="3:19" x14ac:dyDescent="0.3">
      <c r="D33" s="5" t="s">
        <v>108</v>
      </c>
      <c r="E33" s="57" t="s">
        <v>99</v>
      </c>
      <c r="F33" s="58">
        <v>241.15903458297754</v>
      </c>
      <c r="G33" s="52" t="s">
        <v>113</v>
      </c>
      <c r="H33">
        <f>SUM(H19:H30)</f>
        <v>22280087268141.488</v>
      </c>
      <c r="I33">
        <f>SUM(I19:I30)</f>
        <v>614421987927.99731</v>
      </c>
      <c r="N33" s="3">
        <f>SUM(R19:T19)+P19</f>
        <v>0</v>
      </c>
      <c r="O33" s="3">
        <f>SUM(U19:W19) + P19/2</f>
        <v>0</v>
      </c>
      <c r="P33" s="3">
        <f>N19-N33</f>
        <v>0</v>
      </c>
      <c r="Q33" s="3">
        <f>O19-O33</f>
        <v>0</v>
      </c>
      <c r="R33" s="3">
        <f>N19</f>
        <v>0</v>
      </c>
      <c r="S33">
        <f>0</f>
        <v>0</v>
      </c>
    </row>
    <row r="34" spans="3:19" x14ac:dyDescent="0.3">
      <c r="D34" s="5" t="s">
        <v>109</v>
      </c>
      <c r="E34" s="57" t="s">
        <v>100</v>
      </c>
      <c r="F34" s="58">
        <v>35.49909186036939</v>
      </c>
      <c r="I34" s="63" t="s">
        <v>81</v>
      </c>
      <c r="J34" s="3">
        <v>0.21167934144832934</v>
      </c>
      <c r="N34" s="3">
        <f>SUM(R20:T20)+P20/2</f>
        <v>9.3680145137604018E-2</v>
      </c>
      <c r="O34" s="3">
        <f t="shared" ref="O34:O43" si="25">SUM(U20:W20) + P20/2</f>
        <v>6.7394392825122232E-2</v>
      </c>
      <c r="P34" s="3">
        <f t="shared" ref="P34:P44" si="26">N20-N34</f>
        <v>4.2711654676339819E-2</v>
      </c>
      <c r="Q34" s="3">
        <f t="shared" ref="Q34:Q44" si="27">O20-O34</f>
        <v>4.2711654676339805E-2</v>
      </c>
      <c r="R34">
        <f>2*P34*C3/($F$32*P20)</f>
        <v>983.40091412091169</v>
      </c>
      <c r="S34">
        <f>2*Q34*C3/($F$34*P20)</f>
        <v>7042.2733958020472</v>
      </c>
    </row>
    <row r="35" spans="3:19" x14ac:dyDescent="0.3">
      <c r="D35" s="5" t="s">
        <v>110</v>
      </c>
      <c r="E35" s="59" t="s">
        <v>101</v>
      </c>
      <c r="F35" s="61">
        <v>45.935138770965942</v>
      </c>
      <c r="H35" s="20" t="s">
        <v>121</v>
      </c>
      <c r="I35" s="63" t="s">
        <v>122</v>
      </c>
      <c r="J35">
        <v>7.4999999999999997E-2</v>
      </c>
      <c r="N35" s="3">
        <f t="shared" ref="N35:N41" si="28">SUM(R21:T21)+P21/2</f>
        <v>0.14160061983820726</v>
      </c>
      <c r="O35" s="3">
        <f t="shared" si="25"/>
        <v>8.1839051032476684E-2</v>
      </c>
      <c r="P35" s="3">
        <f t="shared" si="26"/>
        <v>3.370037514462812E-2</v>
      </c>
      <c r="Q35" s="3">
        <f t="shared" si="27"/>
        <v>3.3700375144628078E-2</v>
      </c>
      <c r="R35">
        <f>2*P35*C4/($F$32*P21)</f>
        <v>775.92357342698403</v>
      </c>
      <c r="S35">
        <f t="shared" ref="S35:S44" si="29">2*Q35*C4/($F$34*P21)</f>
        <v>5556.4987380606153</v>
      </c>
    </row>
    <row r="36" spans="3:19" x14ac:dyDescent="0.3">
      <c r="H36" s="54" t="s">
        <v>116</v>
      </c>
      <c r="I36" s="54" t="s">
        <v>117</v>
      </c>
      <c r="J36" s="54" t="s">
        <v>118</v>
      </c>
      <c r="K36" s="54" t="s">
        <v>119</v>
      </c>
      <c r="N36" s="3">
        <f t="shared" si="28"/>
        <v>0.20220146945998355</v>
      </c>
      <c r="O36" s="3">
        <f t="shared" si="25"/>
        <v>0.10491214249330769</v>
      </c>
      <c r="P36" s="3">
        <f t="shared" si="26"/>
        <v>1.6718323195185208E-2</v>
      </c>
      <c r="Q36" s="3">
        <f t="shared" si="27"/>
        <v>1.6718323195185195E-2</v>
      </c>
      <c r="R36">
        <f t="shared" ref="R35:R42" si="30">2*P36*C5/($F$32*P22)</f>
        <v>384.92571728487468</v>
      </c>
      <c r="S36">
        <f t="shared" si="29"/>
        <v>2756.5076453264287</v>
      </c>
    </row>
    <row r="37" spans="3:19" x14ac:dyDescent="0.3">
      <c r="G37" s="62" t="s">
        <v>120</v>
      </c>
      <c r="H37" s="60">
        <f>(J26/$C$9)*($J$34/2)</f>
        <v>0.81872558441365972</v>
      </c>
      <c r="I37" s="60">
        <f>(K26/$C$9)*($J$34/2)</f>
        <v>0.78211579219720406</v>
      </c>
      <c r="J37" s="60">
        <f>(L26/$C$9)*($J$34/2)</f>
        <v>0.20538886738047077</v>
      </c>
      <c r="K37" s="60">
        <f>(M26/$C$9)*($J$34/2)</f>
        <v>0.2346544071949476</v>
      </c>
      <c r="N37" s="3">
        <f>SUM(R23:T23)+P23/2</f>
        <v>0.21927626142524279</v>
      </c>
      <c r="O37" s="3">
        <f>SUM(U23:W23) + P23/2</f>
        <v>0.10967997248017117</v>
      </c>
      <c r="P37" s="3">
        <f t="shared" si="26"/>
        <v>1.3948006391871604E-2</v>
      </c>
      <c r="Q37" s="3">
        <f t="shared" si="27"/>
        <v>1.3948006391871617E-2</v>
      </c>
      <c r="R37">
        <f t="shared" si="30"/>
        <v>321.14143879162611</v>
      </c>
      <c r="S37">
        <f t="shared" si="29"/>
        <v>2299.7393821964633</v>
      </c>
    </row>
    <row r="38" spans="3:19" x14ac:dyDescent="0.3">
      <c r="G38" s="62" t="s">
        <v>86</v>
      </c>
      <c r="H38" s="60">
        <f>H37/$J$35</f>
        <v>10.916341125515464</v>
      </c>
      <c r="I38" s="60">
        <f>I37/$J$35</f>
        <v>10.428210562629388</v>
      </c>
      <c r="J38" s="60">
        <f>J37/$J$35</f>
        <v>2.7385182317396102</v>
      </c>
      <c r="K38" s="60">
        <f t="shared" ref="K38" si="31">K37/$J$35</f>
        <v>3.1287254292659679</v>
      </c>
      <c r="M38" s="73"/>
      <c r="N38" s="3">
        <f t="shared" si="28"/>
        <v>0.41461241225625833</v>
      </c>
      <c r="O38" s="3">
        <f t="shared" si="25"/>
        <v>0.14359064988432427</v>
      </c>
      <c r="P38" s="3">
        <f t="shared" si="26"/>
        <v>6.2379065061167749E-3</v>
      </c>
      <c r="Q38" s="3">
        <f t="shared" si="27"/>
        <v>6.2379065061168859E-3</v>
      </c>
      <c r="R38">
        <f t="shared" si="30"/>
        <v>143.62269518240319</v>
      </c>
      <c r="S38">
        <f t="shared" si="29"/>
        <v>1028.5024864153067</v>
      </c>
    </row>
    <row r="39" spans="3:19" x14ac:dyDescent="0.3">
      <c r="H39" s="20" t="s">
        <v>123</v>
      </c>
      <c r="I39" s="63" t="s">
        <v>122</v>
      </c>
      <c r="J39">
        <v>7.4999999999999997E-2</v>
      </c>
      <c r="N39" s="74">
        <f>SUM(R25:T25)+P25/2</f>
        <v>0.5368589748348328</v>
      </c>
      <c r="O39" s="74">
        <f t="shared" si="25"/>
        <v>0.16624774009862042</v>
      </c>
      <c r="P39" s="3">
        <f t="shared" si="26"/>
        <v>-2.5505771675782274E-4</v>
      </c>
      <c r="Q39" s="3">
        <f t="shared" si="27"/>
        <v>-2.5505771675773947E-4</v>
      </c>
      <c r="R39">
        <f t="shared" si="30"/>
        <v>-5.8724953110322788</v>
      </c>
      <c r="S39">
        <f t="shared" si="29"/>
        <v>-42.053771663218733</v>
      </c>
    </row>
    <row r="40" spans="3:19" x14ac:dyDescent="0.3">
      <c r="H40" s="54" t="s">
        <v>116</v>
      </c>
      <c r="I40" s="54" t="s">
        <v>117</v>
      </c>
      <c r="J40" s="54" t="s">
        <v>118</v>
      </c>
      <c r="K40" s="54" t="s">
        <v>119</v>
      </c>
      <c r="N40" s="74">
        <f t="shared" si="28"/>
        <v>0.81887235165225891</v>
      </c>
      <c r="O40" s="74">
        <f>SUM(U26:W26) + P26/2</f>
        <v>0.20553563461906998</v>
      </c>
      <c r="P40" s="3">
        <f t="shared" si="26"/>
        <v>-1.4676723859918805E-4</v>
      </c>
      <c r="Q40" s="3">
        <f t="shared" si="27"/>
        <v>-1.4676723859921581E-4</v>
      </c>
      <c r="R40">
        <f t="shared" si="30"/>
        <v>-3.3791956245936752</v>
      </c>
      <c r="S40">
        <f t="shared" si="29"/>
        <v>-24.198899049798218</v>
      </c>
    </row>
    <row r="41" spans="3:19" x14ac:dyDescent="0.3">
      <c r="G41" s="62" t="s">
        <v>120</v>
      </c>
      <c r="H41" s="60">
        <f>(J25/$C$8)*($J$34/2)</f>
        <v>0.53660391711807498</v>
      </c>
      <c r="I41" s="60">
        <f t="shared" ref="I41:K41" si="32">(K25/$C$8)*($J$34/2)</f>
        <v>0.51448229954655988</v>
      </c>
      <c r="J41" s="60">
        <f>(L25/$C$8)*($J$34/2)</f>
        <v>0.16599268238186268</v>
      </c>
      <c r="K41" s="60">
        <f t="shared" si="32"/>
        <v>0.18367650522281309</v>
      </c>
      <c r="N41" s="74">
        <f t="shared" si="28"/>
        <v>0.90632690276369621</v>
      </c>
      <c r="O41" s="74">
        <f t="shared" si="25"/>
        <v>0.21758501356784005</v>
      </c>
      <c r="P41" s="3">
        <f t="shared" si="26"/>
        <v>4.2684627838296407E-5</v>
      </c>
      <c r="Q41" s="3">
        <f t="shared" si="27"/>
        <v>4.2684627838213141E-5</v>
      </c>
      <c r="R41">
        <f t="shared" si="30"/>
        <v>0.98277864328080755</v>
      </c>
      <c r="S41">
        <f t="shared" si="29"/>
        <v>7.0378172260620939</v>
      </c>
    </row>
    <row r="42" spans="3:19" x14ac:dyDescent="0.3">
      <c r="G42" s="62" t="s">
        <v>86</v>
      </c>
      <c r="H42" s="60">
        <f>H41/$J$35</f>
        <v>7.154718894907667</v>
      </c>
      <c r="I42" s="60">
        <f>I41/$J$35</f>
        <v>6.8597639939541324</v>
      </c>
      <c r="J42" s="60">
        <f>J41/$J$35</f>
        <v>2.2132357650915027</v>
      </c>
      <c r="K42" s="60">
        <f t="shared" ref="K42" si="33">K41/$J$35</f>
        <v>2.4490200696375082</v>
      </c>
      <c r="N42" s="74">
        <f>SUM(R28:T28)+P28/2</f>
        <v>1.4103296463461965</v>
      </c>
      <c r="O42" s="74">
        <f t="shared" si="25"/>
        <v>0.28740996724811796</v>
      </c>
      <c r="P42" s="3">
        <f t="shared" si="26"/>
        <v>6.8807617627708595E-4</v>
      </c>
      <c r="Q42" s="3">
        <f t="shared" si="27"/>
        <v>6.8807617627719697E-4</v>
      </c>
      <c r="R42">
        <f t="shared" si="30"/>
        <v>15.84239116614093</v>
      </c>
      <c r="S42">
        <f t="shared" si="29"/>
        <v>113.44960964872999</v>
      </c>
    </row>
    <row r="43" spans="3:19" ht="90.35" x14ac:dyDescent="0.3">
      <c r="C43" t="s">
        <v>136</v>
      </c>
      <c r="D43" s="67" t="s">
        <v>137</v>
      </c>
      <c r="N43" s="74">
        <f>SUM(R29:T29)+P29/2</f>
        <v>2.8125431104955103</v>
      </c>
      <c r="O43" s="74">
        <f>SUM(U29:W29) + P29/2</f>
        <v>0.48362153707111788</v>
      </c>
      <c r="P43" s="3">
        <f t="shared" si="26"/>
        <v>2.1975213008529337E-4</v>
      </c>
      <c r="Q43" s="3">
        <f t="shared" si="27"/>
        <v>2.1975213008512684E-4</v>
      </c>
      <c r="R43" s="3">
        <f>N29</f>
        <v>2.8127628626255956</v>
      </c>
      <c r="S43">
        <f t="shared" si="29"/>
        <v>36.232606558944433</v>
      </c>
    </row>
    <row r="44" spans="3:19" x14ac:dyDescent="0.3">
      <c r="N44" s="74">
        <f>SUM(R30:T30)+P30/2</f>
        <v>5.7211406851641895</v>
      </c>
      <c r="O44" s="74">
        <f>SUM(U30:W30) + P30/2</f>
        <v>0.89044661092818855</v>
      </c>
      <c r="P44" s="3">
        <f t="shared" si="26"/>
        <v>-5.4868797884388698E-4</v>
      </c>
      <c r="Q44" s="3">
        <f t="shared" si="27"/>
        <v>-5.4868797884355391E-4</v>
      </c>
      <c r="R44">
        <f>2*P44*C13/($F$32*P30)</f>
        <v>-12.63309192891408</v>
      </c>
      <c r="S44">
        <f t="shared" si="29"/>
        <v>-90.467362720715002</v>
      </c>
    </row>
    <row r="45" spans="3:19" x14ac:dyDescent="0.3">
      <c r="D45" t="s">
        <v>124</v>
      </c>
      <c r="E45" t="s">
        <v>125</v>
      </c>
      <c r="N45" s="3"/>
    </row>
    <row r="46" spans="3:19" ht="30.15" x14ac:dyDescent="0.3">
      <c r="C46" t="s">
        <v>126</v>
      </c>
      <c r="D46" s="65" t="s">
        <v>127</v>
      </c>
      <c r="E46" s="65" t="s">
        <v>128</v>
      </c>
    </row>
    <row r="47" spans="3:19" ht="45.2" x14ac:dyDescent="0.3">
      <c r="D47" s="65" t="s">
        <v>129</v>
      </c>
      <c r="E47" s="65" t="s">
        <v>130</v>
      </c>
    </row>
    <row r="48" spans="3:19" ht="30.15" x14ac:dyDescent="0.3">
      <c r="D48" s="66" t="s">
        <v>131</v>
      </c>
      <c r="E48" s="65"/>
    </row>
    <row r="51" spans="3:5" ht="45.2" x14ac:dyDescent="0.3">
      <c r="C51" t="s">
        <v>132</v>
      </c>
      <c r="D51" s="65" t="s">
        <v>133</v>
      </c>
      <c r="E51" s="65" t="s">
        <v>135</v>
      </c>
    </row>
    <row r="52" spans="3:5" ht="45.2" x14ac:dyDescent="0.3">
      <c r="D52" s="65" t="s">
        <v>134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2018-04-26T21:14:44Z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