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/>
  <mc:AlternateContent xmlns:mc="http://schemas.openxmlformats.org/markup-compatibility/2006">
    <mc:Choice Requires="x15">
      <x15ac:absPath xmlns:x15ac="http://schemas.microsoft.com/office/spreadsheetml/2010/11/ac" url="C:\Users\manolis\Desktop\PycharmProjects\IRAS\IRAS\GUA work\Pt(100)\IR chamber\"/>
    </mc:Choice>
  </mc:AlternateContent>
  <xr:revisionPtr revIDLastSave="0" documentId="13_ncr:1_{17161766-54AE-4349-8705-F3F76148A4AE}" xr6:coauthVersionLast="33" xr6:coauthVersionMax="33" xr10:uidLastSave="{00000000-0000-0000-0000-000000000000}"/>
  <bookViews>
    <workbookView xWindow="0" yWindow="0" windowWidth="14138" windowHeight="10172" tabRatio="500" firstSheet="3" activeTab="3" xr2:uid="{00000000-000D-0000-FFFF-FFFF00000000}"/>
  </bookViews>
  <sheets>
    <sheet name="uptake old" sheetId="1" r:id="rId1"/>
    <sheet name="uptake area" sheetId="3" r:id="rId2"/>
    <sheet name="uptake area - peaks" sheetId="4" r:id="rId3"/>
    <sheet name="uptake 1" sheetId="2" r:id="rId4"/>
    <sheet name="verti intg uptk" sheetId="5" r:id="rId5"/>
    <sheet name="vert + sloped intg uptk" sheetId="7" r:id="rId6"/>
  </sheets>
  <externalReferences>
    <externalReference r:id="rId7"/>
  </externalReferences>
  <definedNames>
    <definedName name="solver_adj" localSheetId="1" hidden="1">'uptake area'!$E$52,'uptake area'!$F$52</definedName>
    <definedName name="solver_adj" localSheetId="5" hidden="1">'vert + sloped intg uptk'!$F$32</definedName>
    <definedName name="solver_adj" localSheetId="4" hidden="1">'verti intg uptk'!$I$49</definedName>
    <definedName name="solver_cvg" localSheetId="1" hidden="1">0.0001</definedName>
    <definedName name="solver_cvg" localSheetId="5" hidden="1">0.0001</definedName>
    <definedName name="solver_cvg" localSheetId="4" hidden="1">0.0001</definedName>
    <definedName name="solver_drv" localSheetId="1" hidden="1">1</definedName>
    <definedName name="solver_drv" localSheetId="5" hidden="1">1</definedName>
    <definedName name="solver_drv" localSheetId="4" hidden="1">1</definedName>
    <definedName name="solver_eng" localSheetId="1" hidden="1">1</definedName>
    <definedName name="solver_eng" localSheetId="5" hidden="1">1</definedName>
    <definedName name="solver_eng" localSheetId="4" hidden="1">1</definedName>
    <definedName name="solver_est" localSheetId="1" hidden="1">1</definedName>
    <definedName name="solver_est" localSheetId="5" hidden="1">1</definedName>
    <definedName name="solver_est" localSheetId="4" hidden="1">1</definedName>
    <definedName name="solver_itr" localSheetId="1" hidden="1">2147483647</definedName>
    <definedName name="solver_itr" localSheetId="5" hidden="1">2147483647</definedName>
    <definedName name="solver_itr" localSheetId="4" hidden="1">2147483647</definedName>
    <definedName name="solver_mip" localSheetId="1" hidden="1">2147483647</definedName>
    <definedName name="solver_mip" localSheetId="5" hidden="1">2147483647</definedName>
    <definedName name="solver_mip" localSheetId="4" hidden="1">2147483647</definedName>
    <definedName name="solver_mni" localSheetId="1" hidden="1">30</definedName>
    <definedName name="solver_mni" localSheetId="5" hidden="1">30</definedName>
    <definedName name="solver_mni" localSheetId="4" hidden="1">30</definedName>
    <definedName name="solver_mrt" localSheetId="1" hidden="1">0.075</definedName>
    <definedName name="solver_mrt" localSheetId="5" hidden="1">0.075</definedName>
    <definedName name="solver_mrt" localSheetId="4" hidden="1">0.075</definedName>
    <definedName name="solver_msl" localSheetId="1" hidden="1">2</definedName>
    <definedName name="solver_msl" localSheetId="5" hidden="1">2</definedName>
    <definedName name="solver_msl" localSheetId="4" hidden="1">2</definedName>
    <definedName name="solver_neg" localSheetId="1" hidden="1">1</definedName>
    <definedName name="solver_neg" localSheetId="5" hidden="1">1</definedName>
    <definedName name="solver_neg" localSheetId="4" hidden="1">1</definedName>
    <definedName name="solver_nod" localSheetId="1" hidden="1">2147483647</definedName>
    <definedName name="solver_nod" localSheetId="5" hidden="1">2147483647</definedName>
    <definedName name="solver_nod" localSheetId="4" hidden="1">2147483647</definedName>
    <definedName name="solver_num" localSheetId="1" hidden="1">0</definedName>
    <definedName name="solver_num" localSheetId="5" hidden="1">0</definedName>
    <definedName name="solver_num" localSheetId="4" hidden="1">0</definedName>
    <definedName name="solver_nwt" localSheetId="1" hidden="1">1</definedName>
    <definedName name="solver_nwt" localSheetId="5" hidden="1">1</definedName>
    <definedName name="solver_nwt" localSheetId="4" hidden="1">1</definedName>
    <definedName name="solver_opt" localSheetId="1" hidden="1">'uptake area'!$C$64</definedName>
    <definedName name="solver_opt" localSheetId="5" hidden="1">'vert + sloped intg uptk'!$H$32</definedName>
    <definedName name="solver_opt" localSheetId="4" hidden="1">'verti intg uptk'!$J$49</definedName>
    <definedName name="solver_pre" localSheetId="1" hidden="1">0.000001</definedName>
    <definedName name="solver_pre" localSheetId="5" hidden="1">0.000001</definedName>
    <definedName name="solver_pre" localSheetId="4" hidden="1">0.000001</definedName>
    <definedName name="solver_rbv" localSheetId="1" hidden="1">1</definedName>
    <definedName name="solver_rbv" localSheetId="5" hidden="1">1</definedName>
    <definedName name="solver_rbv" localSheetId="4" hidden="1">1</definedName>
    <definedName name="solver_rlx" localSheetId="1" hidden="1">2</definedName>
    <definedName name="solver_rlx" localSheetId="5" hidden="1">2</definedName>
    <definedName name="solver_rlx" localSheetId="4" hidden="1">2</definedName>
    <definedName name="solver_rsd" localSheetId="1" hidden="1">0</definedName>
    <definedName name="solver_rsd" localSheetId="5" hidden="1">0</definedName>
    <definedName name="solver_rsd" localSheetId="4" hidden="1">0</definedName>
    <definedName name="solver_scl" localSheetId="1" hidden="1">1</definedName>
    <definedName name="solver_scl" localSheetId="5" hidden="1">1</definedName>
    <definedName name="solver_scl" localSheetId="4" hidden="1">1</definedName>
    <definedName name="solver_sho" localSheetId="1" hidden="1">2</definedName>
    <definedName name="solver_sho" localSheetId="5" hidden="1">2</definedName>
    <definedName name="solver_sho" localSheetId="4" hidden="1">2</definedName>
    <definedName name="solver_ssz" localSheetId="1" hidden="1">100</definedName>
    <definedName name="solver_ssz" localSheetId="5" hidden="1">100</definedName>
    <definedName name="solver_ssz" localSheetId="4" hidden="1">100</definedName>
    <definedName name="solver_tim" localSheetId="1" hidden="1">2147483647</definedName>
    <definedName name="solver_tim" localSheetId="5" hidden="1">2147483647</definedName>
    <definedName name="solver_tim" localSheetId="4" hidden="1">2147483647</definedName>
    <definedName name="solver_tol" localSheetId="1" hidden="1">0.01</definedName>
    <definedName name="solver_tol" localSheetId="5" hidden="1">0.01</definedName>
    <definedName name="solver_tol" localSheetId="4" hidden="1">0.01</definedName>
    <definedName name="solver_typ" localSheetId="1" hidden="1">2</definedName>
    <definedName name="solver_typ" localSheetId="5" hidden="1">2</definedName>
    <definedName name="solver_typ" localSheetId="4" hidden="1">2</definedName>
    <definedName name="solver_val" localSheetId="1" hidden="1">0</definedName>
    <definedName name="solver_val" localSheetId="5" hidden="1">0</definedName>
    <definedName name="solver_val" localSheetId="4" hidden="1">0</definedName>
    <definedName name="solver_ver" localSheetId="1" hidden="1">3</definedName>
    <definedName name="solver_ver" localSheetId="5" hidden="1">3</definedName>
    <definedName name="solver_ver" localSheetId="4" hidden="1">3</definedName>
  </definedNames>
  <calcPr calcId="179017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17" i="2" l="1"/>
  <c r="Q13" i="2"/>
  <c r="M13" i="2"/>
  <c r="J38" i="7" l="1"/>
  <c r="L35" i="7"/>
  <c r="O25" i="7"/>
  <c r="L41" i="7" l="1"/>
  <c r="L40" i="7"/>
  <c r="L39" i="7"/>
  <c r="L43" i="7"/>
  <c r="J41" i="7"/>
  <c r="J42" i="7"/>
  <c r="L46" i="7"/>
  <c r="L45" i="7"/>
  <c r="L36" i="7"/>
  <c r="L37" i="7"/>
  <c r="L38" i="7"/>
  <c r="L42" i="7"/>
  <c r="L44" i="7"/>
  <c r="O26" i="7"/>
  <c r="J37" i="7"/>
  <c r="O38" i="7"/>
  <c r="M7" i="7"/>
  <c r="W21" i="7"/>
  <c r="T21" i="7"/>
  <c r="S21" i="7"/>
  <c r="N20" i="7" l="1"/>
  <c r="N21" i="7"/>
  <c r="N22" i="7"/>
  <c r="N23" i="7"/>
  <c r="N24" i="7"/>
  <c r="N25" i="7"/>
  <c r="N26" i="7"/>
  <c r="N27" i="7"/>
  <c r="N28" i="7"/>
  <c r="N29" i="7"/>
  <c r="N30" i="7"/>
  <c r="J22" i="7"/>
  <c r="J24" i="7"/>
  <c r="J25" i="7"/>
  <c r="J26" i="7"/>
  <c r="J27" i="7"/>
  <c r="J28" i="7"/>
  <c r="J29" i="7"/>
  <c r="J30" i="7"/>
  <c r="J19" i="7"/>
  <c r="J20" i="7"/>
  <c r="J21" i="7"/>
  <c r="J23" i="7"/>
  <c r="S5" i="7"/>
  <c r="O21" i="7" l="1"/>
  <c r="O22" i="7"/>
  <c r="O23" i="7"/>
  <c r="O24" i="7"/>
  <c r="O27" i="7"/>
  <c r="O28" i="7"/>
  <c r="O29" i="7"/>
  <c r="O30" i="7"/>
  <c r="O20" i="7"/>
  <c r="X21" i="7"/>
  <c r="X22" i="7"/>
  <c r="X23" i="7"/>
  <c r="X24" i="7"/>
  <c r="X25" i="7"/>
  <c r="X26" i="7"/>
  <c r="X27" i="7"/>
  <c r="X28" i="7"/>
  <c r="X29" i="7"/>
  <c r="X30" i="7"/>
  <c r="X20" i="7"/>
  <c r="W22" i="7"/>
  <c r="W23" i="7"/>
  <c r="W24" i="7"/>
  <c r="W25" i="7"/>
  <c r="W26" i="7"/>
  <c r="W27" i="7"/>
  <c r="W28" i="7"/>
  <c r="W29" i="7"/>
  <c r="W30" i="7"/>
  <c r="W20" i="7"/>
  <c r="V21" i="7"/>
  <c r="V22" i="7"/>
  <c r="V23" i="7"/>
  <c r="V24" i="7"/>
  <c r="V25" i="7"/>
  <c r="V26" i="7"/>
  <c r="V27" i="7"/>
  <c r="V28" i="7"/>
  <c r="V29" i="7"/>
  <c r="V30" i="7"/>
  <c r="V20" i="7"/>
  <c r="U21" i="7"/>
  <c r="U22" i="7"/>
  <c r="U23" i="7"/>
  <c r="U24" i="7"/>
  <c r="U25" i="7"/>
  <c r="U26" i="7"/>
  <c r="U27" i="7"/>
  <c r="U28" i="7"/>
  <c r="U29" i="7"/>
  <c r="U30" i="7"/>
  <c r="U20" i="7"/>
  <c r="T22" i="7"/>
  <c r="T23" i="7"/>
  <c r="T24" i="7"/>
  <c r="T25" i="7"/>
  <c r="T26" i="7"/>
  <c r="T27" i="7"/>
  <c r="T28" i="7"/>
  <c r="T29" i="7"/>
  <c r="T30" i="7"/>
  <c r="T20" i="7"/>
  <c r="S20" i="7"/>
  <c r="S22" i="7"/>
  <c r="S23" i="7"/>
  <c r="S24" i="7"/>
  <c r="S25" i="7"/>
  <c r="S26" i="7"/>
  <c r="S27" i="7"/>
  <c r="S28" i="7"/>
  <c r="S29" i="7"/>
  <c r="S30" i="7"/>
  <c r="P19" i="7"/>
  <c r="J4" i="7" l="1"/>
  <c r="O33" i="7"/>
  <c r="O34" i="7"/>
  <c r="O35" i="7"/>
  <c r="O36" i="7"/>
  <c r="O37" i="7"/>
  <c r="Q38" i="7"/>
  <c r="Q33" i="7"/>
  <c r="Q20" i="7"/>
  <c r="Q21" i="7"/>
  <c r="Q22" i="7"/>
  <c r="Q23" i="7"/>
  <c r="Q24" i="7"/>
  <c r="Q25" i="7"/>
  <c r="Q26" i="7"/>
  <c r="Q27" i="7"/>
  <c r="Q28" i="7"/>
  <c r="Q29" i="7"/>
  <c r="Q30" i="7"/>
  <c r="Q19" i="7"/>
  <c r="S33" i="7" l="1"/>
  <c r="R33" i="7"/>
  <c r="G3" i="7"/>
  <c r="T2" i="7" l="1"/>
  <c r="J38" i="5" l="1"/>
  <c r="K37" i="5"/>
  <c r="C20" i="7"/>
  <c r="C21" i="7"/>
  <c r="C22" i="7"/>
  <c r="C23" i="7"/>
  <c r="C24" i="7"/>
  <c r="C25" i="7"/>
  <c r="C26" i="7"/>
  <c r="C27" i="7"/>
  <c r="C28" i="7"/>
  <c r="C29" i="7"/>
  <c r="C30" i="7"/>
  <c r="C19" i="7"/>
  <c r="B30" i="7"/>
  <c r="B20" i="7"/>
  <c r="B21" i="7"/>
  <c r="B22" i="7"/>
  <c r="B23" i="7"/>
  <c r="B24" i="7"/>
  <c r="B25" i="7"/>
  <c r="B26" i="7"/>
  <c r="B27" i="7"/>
  <c r="B28" i="7"/>
  <c r="B29" i="7"/>
  <c r="B19" i="7"/>
  <c r="B1" i="7"/>
  <c r="C1" i="7"/>
  <c r="B2" i="7"/>
  <c r="C2" i="7"/>
  <c r="B3" i="7"/>
  <c r="C3" i="7"/>
  <c r="B4" i="7"/>
  <c r="C4" i="7"/>
  <c r="P21" i="7" s="1"/>
  <c r="B5" i="7"/>
  <c r="C5" i="7"/>
  <c r="P22" i="7" s="1"/>
  <c r="B6" i="7"/>
  <c r="C6" i="7"/>
  <c r="P23" i="7" s="1"/>
  <c r="B7" i="7"/>
  <c r="C7" i="7"/>
  <c r="P24" i="7" s="1"/>
  <c r="B8" i="7"/>
  <c r="C8" i="7"/>
  <c r="P25" i="7" s="1"/>
  <c r="B9" i="7"/>
  <c r="C9" i="7"/>
  <c r="P26" i="7" s="1"/>
  <c r="B10" i="7"/>
  <c r="C10" i="7"/>
  <c r="P27" i="7" s="1"/>
  <c r="B11" i="7"/>
  <c r="C11" i="7"/>
  <c r="P28" i="7" s="1"/>
  <c r="B12" i="7"/>
  <c r="C12" i="7"/>
  <c r="P29" i="7" s="1"/>
  <c r="B13" i="7"/>
  <c r="C13" i="7"/>
  <c r="P30" i="7" s="1"/>
  <c r="D1" i="7"/>
  <c r="G1" i="7"/>
  <c r="H1" i="7"/>
  <c r="I1" i="7"/>
  <c r="D2" i="7"/>
  <c r="G2" i="7"/>
  <c r="H2" i="7"/>
  <c r="I2" i="7"/>
  <c r="D3" i="7"/>
  <c r="H3" i="7"/>
  <c r="I3" i="7"/>
  <c r="D4" i="7"/>
  <c r="G4" i="7"/>
  <c r="H4" i="7"/>
  <c r="I4" i="7"/>
  <c r="D5" i="7"/>
  <c r="G5" i="7"/>
  <c r="H5" i="7"/>
  <c r="I5" i="7"/>
  <c r="D6" i="7"/>
  <c r="G6" i="7"/>
  <c r="H6" i="7"/>
  <c r="I6" i="7"/>
  <c r="D7" i="7"/>
  <c r="G7" i="7"/>
  <c r="H7" i="7"/>
  <c r="I7" i="7"/>
  <c r="D8" i="7"/>
  <c r="G8" i="7"/>
  <c r="H8" i="7"/>
  <c r="I8" i="7"/>
  <c r="D9" i="7"/>
  <c r="G9" i="7"/>
  <c r="H9" i="7"/>
  <c r="I9" i="7"/>
  <c r="D10" i="7"/>
  <c r="G10" i="7"/>
  <c r="H10" i="7"/>
  <c r="I10" i="7"/>
  <c r="D11" i="7"/>
  <c r="G11" i="7"/>
  <c r="H11" i="7"/>
  <c r="I11" i="7"/>
  <c r="D12" i="7"/>
  <c r="G12" i="7"/>
  <c r="H12" i="7"/>
  <c r="I12" i="7"/>
  <c r="D13" i="7"/>
  <c r="G13" i="7"/>
  <c r="H13" i="7"/>
  <c r="I13" i="7"/>
  <c r="E1" i="7"/>
  <c r="E2" i="7"/>
  <c r="E3" i="7"/>
  <c r="E4" i="7"/>
  <c r="E5" i="7"/>
  <c r="E6" i="7"/>
  <c r="E7" i="7"/>
  <c r="E8" i="7"/>
  <c r="E9" i="7"/>
  <c r="E10" i="7"/>
  <c r="E11" i="7"/>
  <c r="E12" i="7"/>
  <c r="E13" i="7"/>
  <c r="U34" i="5"/>
  <c r="U31" i="5"/>
  <c r="U29" i="5"/>
  <c r="J36" i="5"/>
  <c r="J37" i="5"/>
  <c r="J39" i="5"/>
  <c r="J40" i="5"/>
  <c r="J41" i="5"/>
  <c r="J42" i="5"/>
  <c r="J43" i="5"/>
  <c r="J44" i="5"/>
  <c r="J45" i="5"/>
  <c r="J46" i="5"/>
  <c r="J35" i="5"/>
  <c r="K36" i="5"/>
  <c r="K38" i="5"/>
  <c r="K39" i="5"/>
  <c r="K40" i="5"/>
  <c r="K41" i="5"/>
  <c r="K42" i="5"/>
  <c r="K43" i="5"/>
  <c r="K44" i="5"/>
  <c r="K45" i="5"/>
  <c r="K46" i="5"/>
  <c r="K35" i="5"/>
  <c r="I37" i="5"/>
  <c r="I38" i="5"/>
  <c r="I39" i="5"/>
  <c r="I40" i="5"/>
  <c r="I41" i="5"/>
  <c r="I42" i="5"/>
  <c r="I43" i="5"/>
  <c r="I44" i="5"/>
  <c r="I45" i="5"/>
  <c r="I46" i="5"/>
  <c r="I36" i="5"/>
  <c r="H36" i="5"/>
  <c r="H37" i="5"/>
  <c r="H38" i="5"/>
  <c r="H39" i="5"/>
  <c r="H40" i="5"/>
  <c r="H41" i="5"/>
  <c r="H42" i="5"/>
  <c r="H43" i="5"/>
  <c r="H44" i="5"/>
  <c r="H45" i="5"/>
  <c r="H46" i="5"/>
  <c r="H35" i="5"/>
  <c r="G36" i="5"/>
  <c r="G37" i="5"/>
  <c r="G38" i="5"/>
  <c r="G39" i="5"/>
  <c r="G40" i="5"/>
  <c r="G41" i="5"/>
  <c r="G42" i="5"/>
  <c r="G43" i="5"/>
  <c r="G44" i="5"/>
  <c r="G45" i="5"/>
  <c r="G46" i="5"/>
  <c r="G35" i="5"/>
  <c r="I48" i="5"/>
  <c r="I35" i="5"/>
  <c r="G18" i="5"/>
  <c r="G19" i="5"/>
  <c r="G20" i="5"/>
  <c r="G21" i="5"/>
  <c r="G22" i="5"/>
  <c r="G23" i="5"/>
  <c r="G24" i="5"/>
  <c r="G25" i="5"/>
  <c r="G26" i="5"/>
  <c r="G27" i="5"/>
  <c r="G28" i="5"/>
  <c r="G17" i="5"/>
  <c r="H18" i="5"/>
  <c r="Q15" i="5"/>
  <c r="Q3" i="5"/>
  <c r="Q4" i="5"/>
  <c r="Q5" i="5"/>
  <c r="Q6" i="5"/>
  <c r="Q7" i="5"/>
  <c r="Q8" i="5"/>
  <c r="Q9" i="5"/>
  <c r="Q10" i="5"/>
  <c r="Q11" i="5"/>
  <c r="Q12" i="5"/>
  <c r="Q13" i="5"/>
  <c r="Q2" i="5"/>
  <c r="K18" i="5"/>
  <c r="K20" i="5"/>
  <c r="K21" i="5"/>
  <c r="K24" i="5"/>
  <c r="K25" i="5"/>
  <c r="K28" i="5"/>
  <c r="K17" i="5"/>
  <c r="G17" i="3"/>
  <c r="I17" i="5"/>
  <c r="H17" i="5"/>
  <c r="H19" i="5" s="1"/>
  <c r="I19" i="5" s="1"/>
  <c r="O3" i="5"/>
  <c r="O4" i="5"/>
  <c r="O5" i="5"/>
  <c r="O6" i="5"/>
  <c r="O7" i="5"/>
  <c r="O8" i="5"/>
  <c r="O9" i="5"/>
  <c r="O10" i="5"/>
  <c r="O11" i="5"/>
  <c r="O12" i="5"/>
  <c r="O13" i="5"/>
  <c r="O2" i="5"/>
  <c r="M11" i="5"/>
  <c r="L10" i="5"/>
  <c r="K10" i="5"/>
  <c r="J10" i="5"/>
  <c r="J3" i="5"/>
  <c r="K3" i="5"/>
  <c r="L3" i="5"/>
  <c r="M3" i="5"/>
  <c r="J4" i="5"/>
  <c r="K4" i="5"/>
  <c r="L4" i="5"/>
  <c r="M4" i="5"/>
  <c r="J5" i="5"/>
  <c r="K5" i="5"/>
  <c r="L5" i="5"/>
  <c r="M5" i="5"/>
  <c r="J6" i="5"/>
  <c r="K6" i="5"/>
  <c r="L6" i="5"/>
  <c r="M6" i="5"/>
  <c r="J7" i="5"/>
  <c r="K7" i="5"/>
  <c r="L7" i="5"/>
  <c r="M7" i="5"/>
  <c r="J8" i="5"/>
  <c r="K8" i="5"/>
  <c r="L8" i="5"/>
  <c r="M8" i="5"/>
  <c r="J9" i="5"/>
  <c r="K9" i="5"/>
  <c r="L9" i="5"/>
  <c r="M9" i="5"/>
  <c r="M10" i="5"/>
  <c r="J11" i="5"/>
  <c r="K11" i="5"/>
  <c r="L11" i="5"/>
  <c r="J12" i="5"/>
  <c r="K12" i="5"/>
  <c r="L12" i="5"/>
  <c r="M12" i="5"/>
  <c r="J13" i="5"/>
  <c r="K13" i="5"/>
  <c r="L13" i="5"/>
  <c r="M13" i="5"/>
  <c r="M2" i="5"/>
  <c r="K2" i="5"/>
  <c r="L2" i="5"/>
  <c r="J2" i="5"/>
  <c r="N36" i="7" l="1"/>
  <c r="P20" i="7"/>
  <c r="M12" i="7"/>
  <c r="N43" i="7"/>
  <c r="N39" i="7"/>
  <c r="M4" i="7"/>
  <c r="N35" i="7"/>
  <c r="N42" i="7"/>
  <c r="O42" i="7"/>
  <c r="N38" i="7"/>
  <c r="O40" i="7"/>
  <c r="N37" i="7"/>
  <c r="N41" i="7"/>
  <c r="O41" i="7"/>
  <c r="O44" i="7"/>
  <c r="N44" i="7"/>
  <c r="O43" i="7"/>
  <c r="N40" i="7"/>
  <c r="O39" i="7"/>
  <c r="M11" i="7"/>
  <c r="M3" i="7"/>
  <c r="O8" i="7"/>
  <c r="M8" i="7"/>
  <c r="J10" i="7"/>
  <c r="M27" i="7" s="1"/>
  <c r="M10" i="7"/>
  <c r="J6" i="7"/>
  <c r="M23" i="7" s="1"/>
  <c r="M6" i="7"/>
  <c r="J2" i="7"/>
  <c r="K2" i="7" s="1"/>
  <c r="D19" i="7" s="1"/>
  <c r="M2" i="7"/>
  <c r="H22" i="7"/>
  <c r="K28" i="7"/>
  <c r="M21" i="7"/>
  <c r="M13" i="7"/>
  <c r="M9" i="7"/>
  <c r="M5" i="7"/>
  <c r="H29" i="7"/>
  <c r="J12" i="7"/>
  <c r="J9" i="7"/>
  <c r="K9" i="7" s="1"/>
  <c r="E26" i="7" s="1"/>
  <c r="G26" i="7" s="1"/>
  <c r="J8" i="7"/>
  <c r="K25" i="7" s="1"/>
  <c r="I41" i="7" s="1"/>
  <c r="I42" i="7" s="1"/>
  <c r="J5" i="7"/>
  <c r="K5" i="7" s="1"/>
  <c r="E22" i="7" s="1"/>
  <c r="G22" i="7" s="1"/>
  <c r="I21" i="7"/>
  <c r="K4" i="7"/>
  <c r="E21" i="7" s="1"/>
  <c r="G21" i="7" s="1"/>
  <c r="K6" i="7"/>
  <c r="E23" i="7" s="1"/>
  <c r="G23" i="7" s="1"/>
  <c r="D22" i="7"/>
  <c r="F22" i="7" s="1"/>
  <c r="D23" i="7"/>
  <c r="F23" i="7" s="1"/>
  <c r="J13" i="7"/>
  <c r="J11" i="7"/>
  <c r="M28" i="7" s="1"/>
  <c r="J7" i="7"/>
  <c r="H24" i="7" s="1"/>
  <c r="J3" i="7"/>
  <c r="M20" i="7" s="1"/>
  <c r="I18" i="5"/>
  <c r="H20" i="5"/>
  <c r="H21" i="5"/>
  <c r="J19" i="5"/>
  <c r="J18" i="5"/>
  <c r="J20" i="5"/>
  <c r="J17" i="5"/>
  <c r="K27" i="5"/>
  <c r="K23" i="5"/>
  <c r="K19" i="5"/>
  <c r="K26" i="5"/>
  <c r="K22" i="5"/>
  <c r="E18" i="4"/>
  <c r="E19" i="4"/>
  <c r="E20" i="4"/>
  <c r="E21" i="4"/>
  <c r="E22" i="4"/>
  <c r="E23" i="4"/>
  <c r="E24" i="4"/>
  <c r="E25" i="4"/>
  <c r="E26" i="4"/>
  <c r="E27" i="4"/>
  <c r="E28" i="4"/>
  <c r="E29" i="4"/>
  <c r="F19" i="4"/>
  <c r="F20" i="4"/>
  <c r="F21" i="4"/>
  <c r="F22" i="4"/>
  <c r="F23" i="4"/>
  <c r="F24" i="4"/>
  <c r="F25" i="4"/>
  <c r="F26" i="4"/>
  <c r="F27" i="4"/>
  <c r="F28" i="4"/>
  <c r="F29" i="4"/>
  <c r="F18" i="4"/>
  <c r="G19" i="4"/>
  <c r="G20" i="4"/>
  <c r="G21" i="4"/>
  <c r="G22" i="4"/>
  <c r="G23" i="4"/>
  <c r="G24" i="4"/>
  <c r="G25" i="4"/>
  <c r="G26" i="4"/>
  <c r="G27" i="4"/>
  <c r="G28" i="4"/>
  <c r="G29" i="4"/>
  <c r="G18" i="4"/>
  <c r="M3" i="4"/>
  <c r="M4" i="4"/>
  <c r="M5" i="4"/>
  <c r="M6" i="4"/>
  <c r="M7" i="4"/>
  <c r="M8" i="4"/>
  <c r="M9" i="4"/>
  <c r="M10" i="4"/>
  <c r="M11" i="4"/>
  <c r="M12" i="4"/>
  <c r="M13" i="4"/>
  <c r="M2" i="4"/>
  <c r="B19" i="4"/>
  <c r="B23" i="4"/>
  <c r="B24" i="4"/>
  <c r="B27" i="4"/>
  <c r="B28" i="4"/>
  <c r="B29" i="4"/>
  <c r="B18" i="4"/>
  <c r="N13" i="4"/>
  <c r="L3" i="4"/>
  <c r="N3" i="4"/>
  <c r="O3" i="4"/>
  <c r="P3" i="4"/>
  <c r="Q3" i="4"/>
  <c r="L4" i="4"/>
  <c r="N4" i="4"/>
  <c r="B20" i="4" s="1"/>
  <c r="O4" i="4"/>
  <c r="P4" i="4"/>
  <c r="Q4" i="4"/>
  <c r="L5" i="4"/>
  <c r="N5" i="4"/>
  <c r="B21" i="4" s="1"/>
  <c r="O5" i="4"/>
  <c r="P5" i="4"/>
  <c r="Q5" i="4"/>
  <c r="L6" i="4"/>
  <c r="N6" i="4"/>
  <c r="B22" i="4" s="1"/>
  <c r="O6" i="4"/>
  <c r="P6" i="4"/>
  <c r="Q6" i="4"/>
  <c r="L7" i="4"/>
  <c r="N7" i="4"/>
  <c r="O7" i="4"/>
  <c r="P7" i="4"/>
  <c r="Q7" i="4"/>
  <c r="L8" i="4"/>
  <c r="N8" i="4"/>
  <c r="O8" i="4"/>
  <c r="P8" i="4"/>
  <c r="Q8" i="4"/>
  <c r="L9" i="4"/>
  <c r="N9" i="4"/>
  <c r="B25" i="4" s="1"/>
  <c r="O9" i="4"/>
  <c r="P9" i="4"/>
  <c r="Q9" i="4"/>
  <c r="L10" i="4"/>
  <c r="N10" i="4"/>
  <c r="B26" i="4" s="1"/>
  <c r="O10" i="4"/>
  <c r="P10" i="4"/>
  <c r="Q10" i="4"/>
  <c r="L11" i="4"/>
  <c r="N11" i="4"/>
  <c r="O11" i="4"/>
  <c r="P11" i="4"/>
  <c r="Q11" i="4"/>
  <c r="L12" i="4"/>
  <c r="N12" i="4"/>
  <c r="O12" i="4"/>
  <c r="P12" i="4"/>
  <c r="Q12" i="4"/>
  <c r="L13" i="4"/>
  <c r="O13" i="4"/>
  <c r="P13" i="4"/>
  <c r="Q13" i="4"/>
  <c r="Q2" i="4"/>
  <c r="P2" i="4"/>
  <c r="O2" i="4"/>
  <c r="L2" i="4"/>
  <c r="N2" i="4"/>
  <c r="E48" i="3"/>
  <c r="E18" i="3"/>
  <c r="E35" i="3"/>
  <c r="C51" i="3"/>
  <c r="B58" i="3"/>
  <c r="C58" i="3" s="1"/>
  <c r="B59" i="3"/>
  <c r="C59" i="3" s="1"/>
  <c r="B60" i="3"/>
  <c r="C60" i="3" s="1"/>
  <c r="B61" i="3"/>
  <c r="C61" i="3" s="1"/>
  <c r="B62" i="3"/>
  <c r="C62" i="3" s="1"/>
  <c r="B57" i="3"/>
  <c r="C57" i="3" s="1"/>
  <c r="B52" i="3"/>
  <c r="C52" i="3" s="1"/>
  <c r="B53" i="3"/>
  <c r="C53" i="3" s="1"/>
  <c r="B54" i="3"/>
  <c r="C54" i="3" s="1"/>
  <c r="B55" i="3"/>
  <c r="C55" i="3" s="1"/>
  <c r="B56" i="3"/>
  <c r="C56" i="3" s="1"/>
  <c r="F35" i="3"/>
  <c r="H36" i="3"/>
  <c r="H37" i="3"/>
  <c r="H38" i="3"/>
  <c r="H39" i="3"/>
  <c r="H40" i="3"/>
  <c r="H41" i="3"/>
  <c r="H42" i="3"/>
  <c r="H43" i="3"/>
  <c r="H44" i="3"/>
  <c r="H45" i="3"/>
  <c r="H35" i="3"/>
  <c r="R43" i="7" l="1"/>
  <c r="P43" i="7"/>
  <c r="N34" i="7"/>
  <c r="K8" i="7"/>
  <c r="E25" i="7" s="1"/>
  <c r="G25" i="7" s="1"/>
  <c r="P44" i="7"/>
  <c r="R44" i="7" s="1"/>
  <c r="K12" i="7"/>
  <c r="E29" i="7" s="1"/>
  <c r="G29" i="7" s="1"/>
  <c r="P37" i="7"/>
  <c r="R37" i="7" s="1"/>
  <c r="N33" i="7"/>
  <c r="P33" i="7" s="1"/>
  <c r="L20" i="7"/>
  <c r="Q34" i="7" s="1"/>
  <c r="S34" i="7" s="1"/>
  <c r="K10" i="7"/>
  <c r="P41" i="7"/>
  <c r="R41" i="7" s="1"/>
  <c r="L24" i="7"/>
  <c r="S38" i="7" s="1"/>
  <c r="M25" i="7"/>
  <c r="K41" i="7" s="1"/>
  <c r="K42" i="7" s="1"/>
  <c r="L30" i="7"/>
  <c r="Q44" i="7" s="1"/>
  <c r="S44" i="7" s="1"/>
  <c r="H26" i="7"/>
  <c r="I26" i="7"/>
  <c r="M22" i="7"/>
  <c r="L27" i="7"/>
  <c r="Q41" i="7" s="1"/>
  <c r="S41" i="7" s="1"/>
  <c r="K29" i="7"/>
  <c r="H30" i="7"/>
  <c r="K26" i="7"/>
  <c r="I37" i="7" s="1"/>
  <c r="I38" i="7" s="1"/>
  <c r="L21" i="7"/>
  <c r="Q35" i="7" s="1"/>
  <c r="S35" i="7" s="1"/>
  <c r="I27" i="7"/>
  <c r="I20" i="7"/>
  <c r="I25" i="7"/>
  <c r="M24" i="7"/>
  <c r="L19" i="7"/>
  <c r="I19" i="7"/>
  <c r="H21" i="7"/>
  <c r="K30" i="7"/>
  <c r="M29" i="7"/>
  <c r="K20" i="7"/>
  <c r="P38" i="7"/>
  <c r="R38" i="7" s="1"/>
  <c r="H19" i="7"/>
  <c r="H28" i="7"/>
  <c r="M26" i="7"/>
  <c r="K37" i="7" s="1"/>
  <c r="K38" i="7" s="1"/>
  <c r="M19" i="7"/>
  <c r="P35" i="7"/>
  <c r="R35" i="7" s="1"/>
  <c r="H23" i="7"/>
  <c r="P36" i="7"/>
  <c r="R36" i="7" s="1"/>
  <c r="L25" i="7"/>
  <c r="K19" i="7"/>
  <c r="I24" i="7"/>
  <c r="I29" i="7"/>
  <c r="L26" i="7"/>
  <c r="H25" i="7"/>
  <c r="H20" i="7"/>
  <c r="L22" i="7"/>
  <c r="Q36" i="7" s="1"/>
  <c r="S36" i="7" s="1"/>
  <c r="K24" i="7"/>
  <c r="P42" i="7"/>
  <c r="R42" i="7" s="1"/>
  <c r="M30" i="7"/>
  <c r="K21" i="7"/>
  <c r="H27" i="7"/>
  <c r="L28" i="7"/>
  <c r="Q42" i="7" s="1"/>
  <c r="S42" i="7" s="1"/>
  <c r="L29" i="7"/>
  <c r="Q43" i="7" s="1"/>
  <c r="S43" i="7" s="1"/>
  <c r="K23" i="7"/>
  <c r="I28" i="7"/>
  <c r="L23" i="7"/>
  <c r="Q37" i="7" s="1"/>
  <c r="S37" i="7" s="1"/>
  <c r="K22" i="7"/>
  <c r="I30" i="7"/>
  <c r="I23" i="7"/>
  <c r="K27" i="7"/>
  <c r="I22" i="7"/>
  <c r="D26" i="7"/>
  <c r="F26" i="7" s="1"/>
  <c r="K3" i="7"/>
  <c r="K11" i="7"/>
  <c r="E28" i="7" s="1"/>
  <c r="G28" i="7" s="1"/>
  <c r="D29" i="7"/>
  <c r="F29" i="7" s="1"/>
  <c r="D25" i="7"/>
  <c r="F25" i="7" s="1"/>
  <c r="K7" i="7"/>
  <c r="K13" i="7"/>
  <c r="E30" i="7" s="1"/>
  <c r="G30" i="7" s="1"/>
  <c r="E19" i="7"/>
  <c r="D21" i="7"/>
  <c r="F21" i="7" s="1"/>
  <c r="E20" i="7"/>
  <c r="G20" i="7" s="1"/>
  <c r="D20" i="7"/>
  <c r="F20" i="7" s="1"/>
  <c r="E24" i="7"/>
  <c r="G24" i="7" s="1"/>
  <c r="D24" i="7"/>
  <c r="F24" i="7" s="1"/>
  <c r="J21" i="5"/>
  <c r="I21" i="5"/>
  <c r="I20" i="5"/>
  <c r="C64" i="3"/>
  <c r="P34" i="7" l="1"/>
  <c r="R34" i="7" s="1"/>
  <c r="H41" i="7"/>
  <c r="H42" i="7" s="1"/>
  <c r="P39" i="7"/>
  <c r="R39" i="7" s="1"/>
  <c r="N8" i="7"/>
  <c r="Q39" i="7"/>
  <c r="S39" i="7" s="1"/>
  <c r="Q40" i="7"/>
  <c r="S40" i="7" s="1"/>
  <c r="H38" i="7"/>
  <c r="P40" i="7"/>
  <c r="R40" i="7" s="1"/>
  <c r="H37" i="7"/>
  <c r="H32" i="7"/>
  <c r="H33" i="7"/>
  <c r="D30" i="7"/>
  <c r="F30" i="7" s="1"/>
  <c r="I32" i="7"/>
  <c r="I33" i="7"/>
  <c r="E27" i="7"/>
  <c r="G27" i="7" s="1"/>
  <c r="G31" i="7" s="1"/>
  <c r="D27" i="7"/>
  <c r="F27" i="7" s="1"/>
  <c r="D28" i="7"/>
  <c r="F28" i="7" s="1"/>
  <c r="H22" i="5"/>
  <c r="J22" i="5"/>
  <c r="H23" i="5"/>
  <c r="J23" i="5"/>
  <c r="B33" i="3"/>
  <c r="H34" i="3"/>
  <c r="B35" i="3"/>
  <c r="B36" i="3"/>
  <c r="B37" i="3"/>
  <c r="B38" i="3"/>
  <c r="B39" i="3"/>
  <c r="B40" i="3"/>
  <c r="B41" i="3"/>
  <c r="B42" i="3"/>
  <c r="B43" i="3"/>
  <c r="B44" i="3"/>
  <c r="B45" i="3"/>
  <c r="B34" i="3"/>
  <c r="G47" i="3"/>
  <c r="K14" i="3"/>
  <c r="B17" i="3"/>
  <c r="A33" i="3"/>
  <c r="C33" i="3"/>
  <c r="D33" i="3"/>
  <c r="G33" i="3"/>
  <c r="H33" i="3"/>
  <c r="I35" i="3"/>
  <c r="J35" i="3"/>
  <c r="K35" i="3"/>
  <c r="A47" i="3"/>
  <c r="A48" i="3"/>
  <c r="D48" i="3"/>
  <c r="E17" i="3"/>
  <c r="E34" i="3" s="1"/>
  <c r="B18" i="3"/>
  <c r="B19" i="3"/>
  <c r="B20" i="3"/>
  <c r="B21" i="3"/>
  <c r="B22" i="3"/>
  <c r="B23" i="3"/>
  <c r="B24" i="3"/>
  <c r="B25" i="3"/>
  <c r="B26" i="3"/>
  <c r="B27" i="3"/>
  <c r="B28" i="3"/>
  <c r="F31" i="7" l="1"/>
  <c r="I23" i="5"/>
  <c r="I22" i="5"/>
  <c r="A31" i="3"/>
  <c r="H25" i="5" l="1"/>
  <c r="J25" i="5"/>
  <c r="H24" i="5"/>
  <c r="J24" i="5"/>
  <c r="S12" i="3"/>
  <c r="S13" i="3"/>
  <c r="S3" i="3"/>
  <c r="S4" i="3"/>
  <c r="S5" i="3"/>
  <c r="S6" i="3"/>
  <c r="S7" i="3"/>
  <c r="S8" i="3"/>
  <c r="S9" i="3"/>
  <c r="S10" i="3"/>
  <c r="S11" i="3"/>
  <c r="S2" i="3"/>
  <c r="R13" i="3"/>
  <c r="R3" i="3"/>
  <c r="R4" i="3"/>
  <c r="R5" i="3"/>
  <c r="R6" i="3"/>
  <c r="R7" i="3"/>
  <c r="R8" i="3"/>
  <c r="R9" i="3"/>
  <c r="R10" i="3"/>
  <c r="R11" i="3"/>
  <c r="R12" i="3"/>
  <c r="R2" i="3"/>
  <c r="Q3" i="3"/>
  <c r="Q4" i="3"/>
  <c r="Q5" i="3"/>
  <c r="Q6" i="3"/>
  <c r="Q7" i="3"/>
  <c r="Q8" i="3"/>
  <c r="Q9" i="3"/>
  <c r="Q10" i="3"/>
  <c r="Q11" i="3"/>
  <c r="Q12" i="3"/>
  <c r="Q13" i="3"/>
  <c r="Q2" i="3"/>
  <c r="P13" i="3"/>
  <c r="P3" i="3"/>
  <c r="P4" i="3"/>
  <c r="P5" i="3"/>
  <c r="P6" i="3"/>
  <c r="P7" i="3"/>
  <c r="P8" i="3"/>
  <c r="P9" i="3"/>
  <c r="P10" i="3"/>
  <c r="P11" i="3"/>
  <c r="P12" i="3"/>
  <c r="P2" i="3"/>
  <c r="O3" i="3"/>
  <c r="O4" i="3"/>
  <c r="O5" i="3"/>
  <c r="O6" i="3"/>
  <c r="O7" i="3"/>
  <c r="O8" i="3"/>
  <c r="O9" i="3"/>
  <c r="O10" i="3"/>
  <c r="O11" i="3"/>
  <c r="O12" i="3"/>
  <c r="O13" i="3"/>
  <c r="O2" i="3"/>
  <c r="M3" i="3"/>
  <c r="M4" i="3"/>
  <c r="M5" i="3"/>
  <c r="M6" i="3"/>
  <c r="M7" i="3"/>
  <c r="M8" i="3"/>
  <c r="M9" i="3"/>
  <c r="M10" i="3"/>
  <c r="M11" i="3"/>
  <c r="M12" i="3"/>
  <c r="M13" i="3"/>
  <c r="N13" i="3"/>
  <c r="N3" i="3"/>
  <c r="N4" i="3"/>
  <c r="N5" i="3"/>
  <c r="N6" i="3"/>
  <c r="N7" i="3"/>
  <c r="N8" i="3"/>
  <c r="N9" i="3"/>
  <c r="N10" i="3"/>
  <c r="N11" i="3"/>
  <c r="N12" i="3"/>
  <c r="N2" i="3"/>
  <c r="D34" i="3" s="1"/>
  <c r="M2" i="3"/>
  <c r="H14" i="3"/>
  <c r="Q17" i="3" s="1"/>
  <c r="I24" i="5" l="1"/>
  <c r="I25" i="5"/>
  <c r="F42" i="3"/>
  <c r="D42" i="3"/>
  <c r="F44" i="3"/>
  <c r="D44" i="3"/>
  <c r="F40" i="3"/>
  <c r="D40" i="3"/>
  <c r="F36" i="3"/>
  <c r="D36" i="3"/>
  <c r="F43" i="3"/>
  <c r="D43" i="3"/>
  <c r="F39" i="3"/>
  <c r="D39" i="3"/>
  <c r="D35" i="3"/>
  <c r="F38" i="3"/>
  <c r="D38" i="3"/>
  <c r="F45" i="3"/>
  <c r="D45" i="3"/>
  <c r="F41" i="3"/>
  <c r="D41" i="3"/>
  <c r="F37" i="3"/>
  <c r="D37" i="3"/>
  <c r="D17" i="3"/>
  <c r="D24" i="3"/>
  <c r="D20" i="3"/>
  <c r="D25" i="3"/>
  <c r="D21" i="3"/>
  <c r="D27" i="3"/>
  <c r="D23" i="3"/>
  <c r="D19" i="3"/>
  <c r="D28" i="3"/>
  <c r="D26" i="3"/>
  <c r="D22" i="3"/>
  <c r="D18" i="3"/>
  <c r="H27" i="5" l="1"/>
  <c r="I27" i="5" s="1"/>
  <c r="J27" i="5"/>
  <c r="H26" i="5"/>
  <c r="J26" i="5"/>
  <c r="G41" i="3"/>
  <c r="G38" i="3"/>
  <c r="G39" i="3"/>
  <c r="G36" i="3"/>
  <c r="G44" i="3"/>
  <c r="G37" i="3"/>
  <c r="G45" i="3"/>
  <c r="G35" i="3"/>
  <c r="G43" i="3"/>
  <c r="G40" i="3"/>
  <c r="G42" i="3"/>
  <c r="E19" i="3"/>
  <c r="E36" i="3"/>
  <c r="E41" i="3"/>
  <c r="E24" i="3"/>
  <c r="E44" i="3"/>
  <c r="E27" i="3"/>
  <c r="E22" i="3"/>
  <c r="E39" i="3"/>
  <c r="E20" i="3"/>
  <c r="E37" i="3"/>
  <c r="E43" i="3"/>
  <c r="E26" i="3"/>
  <c r="E42" i="3"/>
  <c r="E25" i="3"/>
  <c r="E28" i="3"/>
  <c r="E45" i="3"/>
  <c r="E23" i="3"/>
  <c r="E40" i="3"/>
  <c r="E38" i="3"/>
  <c r="E21" i="3"/>
  <c r="I26" i="5" l="1"/>
  <c r="H48" i="3"/>
  <c r="G48" i="3"/>
  <c r="E30" i="3"/>
  <c r="R2" i="2"/>
  <c r="R3" i="2"/>
  <c r="R4" i="2"/>
  <c r="R5" i="2"/>
  <c r="R6" i="2"/>
  <c r="R7" i="2"/>
  <c r="R8" i="2"/>
  <c r="R9" i="2"/>
  <c r="R10" i="2"/>
  <c r="R11" i="2"/>
  <c r="R12" i="2"/>
  <c r="R13" i="2"/>
  <c r="Q3" i="2"/>
  <c r="Q4" i="2"/>
  <c r="Q5" i="2"/>
  <c r="Q6" i="2"/>
  <c r="Q7" i="2"/>
  <c r="Q8" i="2"/>
  <c r="Q9" i="2"/>
  <c r="Q10" i="2"/>
  <c r="Q11" i="2"/>
  <c r="Q12" i="2"/>
  <c r="P3" i="2"/>
  <c r="P4" i="2"/>
  <c r="P5" i="2"/>
  <c r="P6" i="2"/>
  <c r="P7" i="2"/>
  <c r="P8" i="2"/>
  <c r="P9" i="2"/>
  <c r="P10" i="2"/>
  <c r="P11" i="2"/>
  <c r="P12" i="2"/>
  <c r="P13" i="2"/>
  <c r="Q2" i="2"/>
  <c r="P2" i="2"/>
  <c r="O3" i="2"/>
  <c r="O4" i="2"/>
  <c r="O5" i="2"/>
  <c r="O6" i="2"/>
  <c r="O7" i="2"/>
  <c r="O8" i="2"/>
  <c r="O9" i="2"/>
  <c r="O10" i="2"/>
  <c r="O11" i="2"/>
  <c r="O12" i="2"/>
  <c r="O13" i="2"/>
  <c r="O2" i="2"/>
  <c r="O16" i="2"/>
  <c r="K15" i="2"/>
  <c r="H15" i="2"/>
  <c r="N3" i="2"/>
  <c r="N4" i="2"/>
  <c r="N5" i="2"/>
  <c r="N6" i="2"/>
  <c r="N7" i="2"/>
  <c r="N8" i="2"/>
  <c r="N9" i="2"/>
  <c r="N10" i="2"/>
  <c r="N11" i="2"/>
  <c r="N12" i="2"/>
  <c r="N13" i="2"/>
  <c r="N2" i="2"/>
  <c r="M9" i="2"/>
  <c r="M3" i="2"/>
  <c r="M4" i="2"/>
  <c r="M5" i="2"/>
  <c r="M6" i="2"/>
  <c r="M7" i="2"/>
  <c r="M8" i="2"/>
  <c r="M10" i="2"/>
  <c r="M11" i="2"/>
  <c r="M12" i="2"/>
  <c r="M2" i="2"/>
  <c r="H28" i="5" l="1"/>
  <c r="I28" i="5" s="1"/>
  <c r="I30" i="5" s="1"/>
  <c r="J28" i="5"/>
  <c r="J31" i="5" s="1"/>
  <c r="F21" i="3"/>
  <c r="F19" i="3"/>
  <c r="F24" i="3"/>
  <c r="F23" i="3"/>
  <c r="F17" i="3"/>
  <c r="F34" i="3" s="1"/>
  <c r="G34" i="3" s="1"/>
  <c r="F28" i="3"/>
  <c r="F27" i="3"/>
  <c r="F22" i="3"/>
  <c r="F20" i="3"/>
  <c r="F18" i="3"/>
  <c r="F25" i="3"/>
  <c r="F26" i="3"/>
  <c r="G28" i="3" l="1"/>
  <c r="H28" i="3"/>
  <c r="H24" i="3"/>
  <c r="G24" i="3"/>
  <c r="H26" i="3"/>
  <c r="G26" i="3"/>
  <c r="G22" i="3"/>
  <c r="H22" i="3"/>
  <c r="G27" i="3"/>
  <c r="H27" i="3"/>
  <c r="H18" i="3"/>
  <c r="G18" i="3"/>
  <c r="H20" i="3"/>
  <c r="G20" i="3"/>
  <c r="G19" i="3"/>
  <c r="H19" i="3"/>
  <c r="H25" i="3"/>
  <c r="G25" i="3"/>
  <c r="G23" i="3"/>
  <c r="H23" i="3"/>
  <c r="G21" i="3"/>
  <c r="H21" i="3"/>
  <c r="G30" i="3" l="1"/>
  <c r="H30" i="3"/>
</calcChain>
</file>

<file path=xl/sharedStrings.xml><?xml version="1.0" encoding="utf-8"?>
<sst xmlns="http://schemas.openxmlformats.org/spreadsheetml/2006/main" count="256" uniqueCount="149">
  <si>
    <t>L</t>
  </si>
  <si>
    <t>H2O</t>
  </si>
  <si>
    <t>CO</t>
  </si>
  <si>
    <t>GUA</t>
  </si>
  <si>
    <t>Benzene</t>
  </si>
  <si>
    <t>H2</t>
  </si>
  <si>
    <t>recomb</t>
  </si>
  <si>
    <t>second peak only</t>
  </si>
  <si>
    <t>GUA total</t>
  </si>
  <si>
    <t>H2 corr</t>
  </si>
  <si>
    <t>CO corr</t>
  </si>
  <si>
    <t>GUA total corr</t>
  </si>
  <si>
    <t>GUA second corr</t>
  </si>
  <si>
    <t>GUA recom corr</t>
  </si>
  <si>
    <t>TPD Area</t>
  </si>
  <si>
    <t>H2 sat area</t>
  </si>
  <si>
    <t>CO sat area</t>
  </si>
  <si>
    <t>GUA recom + second peak</t>
  </si>
  <si>
    <t>θ</t>
  </si>
  <si>
    <t>avg</t>
  </si>
  <si>
    <t>recomb only</t>
  </si>
  <si>
    <t>GUA second + recom</t>
  </si>
  <si>
    <t>45 line</t>
  </si>
  <si>
    <t>trendline</t>
  </si>
  <si>
    <t>slope:</t>
  </si>
  <si>
    <t>delta (slope-CO)</t>
  </si>
  <si>
    <t>vert dotted line</t>
  </si>
  <si>
    <t>angle</t>
  </si>
  <si>
    <t xml:space="preserve">factor </t>
  </si>
  <si>
    <t>CO+ factor*(GUA_total + B)</t>
  </si>
  <si>
    <t>factor ( delta/(GUA_total+B)</t>
  </si>
  <si>
    <t>MSE</t>
  </si>
  <si>
    <t>SSE (Slope vs factor)</t>
  </si>
  <si>
    <t>% +/- over trendline</t>
  </si>
  <si>
    <t>avg %</t>
  </si>
  <si>
    <t>optimized factor</t>
  </si>
  <si>
    <t>two factor</t>
  </si>
  <si>
    <t>f1</t>
  </si>
  <si>
    <t>f2</t>
  </si>
  <si>
    <t>mse</t>
  </si>
  <si>
    <t>Solver</t>
  </si>
  <si>
    <t>1 factor</t>
  </si>
  <si>
    <t>factor</t>
  </si>
  <si>
    <t xml:space="preserve">optimized </t>
  </si>
  <si>
    <t>factor appl.</t>
  </si>
  <si>
    <t>sum f*(Gua + B) + CO</t>
  </si>
  <si>
    <t>check</t>
  </si>
  <si>
    <t>fGUA total corr</t>
  </si>
  <si>
    <t>fBenzene</t>
  </si>
  <si>
    <t>fGUA second corr</t>
  </si>
  <si>
    <t>fGUA recom corr</t>
  </si>
  <si>
    <t>fGUA second + recom</t>
  </si>
  <si>
    <t>second</t>
  </si>
  <si>
    <t>fGUA multi calc</t>
  </si>
  <si>
    <t>%multi</t>
  </si>
  <si>
    <t>%second</t>
  </si>
  <si>
    <t>%recom</t>
  </si>
  <si>
    <t>file</t>
  </si>
  <si>
    <t>multilayer</t>
  </si>
  <si>
    <t>secondpeak</t>
  </si>
  <si>
    <t>0 L TPD_output Guaiacol.xlsx</t>
  </si>
  <si>
    <t>0.0015 L TPD_output Guaiacol.xlsx</t>
  </si>
  <si>
    <t>0.0025 L TPD_output Guaiacol.xlsx</t>
  </si>
  <si>
    <t>0.005 L TPD_output Guaiacol.xlsx</t>
  </si>
  <si>
    <t>0.0075 L TPD_output Guaiacol.xlsx</t>
  </si>
  <si>
    <t>0.01 L TPD_output Guaiacol.xlsx</t>
  </si>
  <si>
    <t>0.015 L TPD_output Guaiacol.xlsx</t>
  </si>
  <si>
    <t>0.025 L TPD_output Guaiacol.xlsx</t>
  </si>
  <si>
    <t>0.035 L TPD_output Guaiacol.xlsx</t>
  </si>
  <si>
    <t>0.05 L TPD_output Guaiacol.xlsx</t>
  </si>
  <si>
    <t>0.09 L TPD_output Guaiacol.xlsx</t>
  </si>
  <si>
    <t>0.15 L TPD_output Guaiacol.xlsx</t>
  </si>
  <si>
    <t>total GUA</t>
  </si>
  <si>
    <t>totalGUA + CO</t>
  </si>
  <si>
    <t xml:space="preserve">slope = </t>
  </si>
  <si>
    <t>delta (slope - CO - totalGUA)</t>
  </si>
  <si>
    <t>avg factor</t>
  </si>
  <si>
    <t>SSE</t>
  </si>
  <si>
    <t>(slope-( CO+factor*(GUA))^2</t>
  </si>
  <si>
    <t>opt factor</t>
  </si>
  <si>
    <t>CO + f*GUA</t>
  </si>
  <si>
    <t>θCO</t>
  </si>
  <si>
    <t>avg θ</t>
  </si>
  <si>
    <t>theta</t>
  </si>
  <si>
    <t>gua thet</t>
  </si>
  <si>
    <t>0.2*8</t>
  </si>
  <si>
    <t>layers</t>
  </si>
  <si>
    <t>GUA_total (m +s +r)</t>
  </si>
  <si>
    <t>trend012</t>
  </si>
  <si>
    <t>trend123</t>
  </si>
  <si>
    <t>intercept:</t>
  </si>
  <si>
    <t>CO + GUA total</t>
  </si>
  <si>
    <t>delta012 (trend - CO - GUA)</t>
  </si>
  <si>
    <t>delta123 (trend - CO - GUA)</t>
  </si>
  <si>
    <t>(trend012-( CO+factor*(GUA))^2</t>
  </si>
  <si>
    <t>(trend123-( CO+factor*(GUA))^2</t>
  </si>
  <si>
    <t>factor123</t>
  </si>
  <si>
    <t>factor012</t>
  </si>
  <si>
    <t>case 1a factor:</t>
  </si>
  <si>
    <t>case 1b factor:</t>
  </si>
  <si>
    <t>case 2a factor:</t>
  </si>
  <si>
    <t>case 2b factor:</t>
  </si>
  <si>
    <t>average factor:</t>
  </si>
  <si>
    <t>CO + f1a*GUA</t>
  </si>
  <si>
    <t>CO + f1b*GUA</t>
  </si>
  <si>
    <t>CO + f2a*GUA</t>
  </si>
  <si>
    <t>CO + f2b*GUA</t>
  </si>
  <si>
    <t>0,1,2 up to 0.025 L</t>
  </si>
  <si>
    <t>0,1,2 whole range</t>
  </si>
  <si>
    <t>1,2,3 up to 0.025 L</t>
  </si>
  <si>
    <t>1,2,3 whole range</t>
  </si>
  <si>
    <t>Case Explanation</t>
  </si>
  <si>
    <t>a</t>
  </si>
  <si>
    <t>b</t>
  </si>
  <si>
    <t>Case 2</t>
  </si>
  <si>
    <t>Case 1</t>
  </si>
  <si>
    <t>Case 1a</t>
  </si>
  <si>
    <t>Case 1b</t>
  </si>
  <si>
    <t>Case 2a</t>
  </si>
  <si>
    <t>Case 2b</t>
  </si>
  <si>
    <t>ML</t>
  </si>
  <si>
    <t>ML at 0.025L using CO</t>
  </si>
  <si>
    <t>θgua</t>
  </si>
  <si>
    <t>ML at 0.015L using CO</t>
  </si>
  <si>
    <t>model 1a (7.15 Layers @ 0.015 L)</t>
  </si>
  <si>
    <t>model 2a (7.15 Layers @ 0.015 L)</t>
  </si>
  <si>
    <t>pros</t>
  </si>
  <si>
    <t>leads to physisorbed seconds peak</t>
  </si>
  <si>
    <t>leads to chemisorbed second peak</t>
  </si>
  <si>
    <t>supported (somewhat) by IRAS between 100-191</t>
  </si>
  <si>
    <t>agrees very well w/ TPD ratio: multi/(2nd peak + recomb)</t>
  </si>
  <si>
    <t>no peak shifts in IRAS from 100 - 191 K</t>
  </si>
  <si>
    <t>cons</t>
  </si>
  <si>
    <t xml:space="preserve">increase in intensity of peaks after desorbing 5 layers? </t>
  </si>
  <si>
    <t>doesn't match TPD area ratio well: (multi + second)/recomb</t>
  </si>
  <si>
    <t>no peak shifts in IRAS from 100-191 K</t>
  </si>
  <si>
    <t>additional info</t>
  </si>
  <si>
    <t>ratio of b(CCO) o.o.p mode decreases from 100-191 K suggesting that the ring is tilted away from the surface at 191 K</t>
  </si>
  <si>
    <t>θGUA</t>
  </si>
  <si>
    <t>Case 2 a</t>
  </si>
  <si>
    <t>θGUA_multi</t>
  </si>
  <si>
    <t>θGUA_phys</t>
  </si>
  <si>
    <t>θGUA_recomb</t>
  </si>
  <si>
    <t>θGUA_chemi</t>
  </si>
  <si>
    <t>delta</t>
  </si>
  <si>
    <t>inverse</t>
  </si>
  <si>
    <t>inverse 2</t>
  </si>
  <si>
    <t>θH2</t>
  </si>
  <si>
    <t>layers case 2a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</si>
</sst>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0.000"/>
    <numFmt numFmtId="165" formatCode="#,##0.0"/>
    <numFmt numFmtId="166" formatCode="0.0000000"/>
    <numFmt numFmtId="167" formatCode="0.00000000"/>
  </numFmts>
  <fonts count="7" x14ac:knownFonts="1">
    <font>
      <sz val="11"/>
      <color rgb="FF000000"/>
      <name val="Calibri"/>
      <family val="2"/>
    </font>
    <font>
      <b/>
      <sz val="10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000000"/>
      <name val="Calibri"/>
      <family val="2"/>
      <charset val="1"/>
    </font>
    <font>
      <sz val="11"/>
      <color rgb="FFFF0000"/>
      <name val="Calibri"/>
      <family val="2"/>
    </font>
    <font>
      <b/>
      <u/>
      <sz val="11"/>
      <color rgb="FF000000"/>
      <name val="Calibri"/>
      <family val="2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DDDDDD"/>
        <bgColor rgb="FFFFCCCC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Border="0" applyProtection="0"/>
  </cellStyleXfs>
  <cellXfs count="83">
    <xf numFmtId="0" fontId="0" fillId="0" borderId="0" xfId="0"/>
    <xf numFmtId="0" fontId="2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164" fontId="0" fillId="0" borderId="0" xfId="0" applyNumberFormat="1"/>
    <xf numFmtId="0" fontId="0" fillId="0" borderId="0" xfId="0" applyNumberFormat="1"/>
    <xf numFmtId="0" fontId="0" fillId="3" borderId="0" xfId="0" applyFill="1"/>
    <xf numFmtId="0" fontId="0" fillId="0" borderId="1" xfId="0" applyFont="1" applyBorder="1" applyAlignment="1">
      <alignment horizontal="center" vertical="top"/>
    </xf>
    <xf numFmtId="3" fontId="0" fillId="0" borderId="0" xfId="0" applyNumberFormat="1"/>
    <xf numFmtId="11" fontId="0" fillId="0" borderId="0" xfId="0" applyNumberFormat="1"/>
    <xf numFmtId="3" fontId="0" fillId="3" borderId="0" xfId="0" applyNumberFormat="1" applyFill="1"/>
    <xf numFmtId="0" fontId="0" fillId="0" borderId="0" xfId="0" applyAlignment="1">
      <alignment horizontal="right"/>
    </xf>
    <xf numFmtId="165" fontId="0" fillId="0" borderId="0" xfId="0" applyNumberFormat="1"/>
    <xf numFmtId="166" fontId="0" fillId="0" borderId="0" xfId="0" applyNumberFormat="1"/>
    <xf numFmtId="49" fontId="0" fillId="0" borderId="0" xfId="0" applyNumberFormat="1" applyAlignment="1">
      <alignment shrinkToFit="1"/>
    </xf>
    <xf numFmtId="165" fontId="4" fillId="0" borderId="0" xfId="0" applyNumberFormat="1" applyFont="1"/>
    <xf numFmtId="0" fontId="0" fillId="0" borderId="0" xfId="0" applyAlignment="1">
      <alignment shrinkToFit="1"/>
    </xf>
    <xf numFmtId="0" fontId="2" fillId="0" borderId="0" xfId="0" applyFont="1" applyBorder="1" applyAlignment="1">
      <alignment horizontal="center" vertical="top"/>
    </xf>
    <xf numFmtId="10" fontId="0" fillId="0" borderId="0" xfId="0" applyNumberFormat="1"/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0" fontId="2" fillId="0" borderId="0" xfId="0" applyFont="1"/>
    <xf numFmtId="0" fontId="5" fillId="3" borderId="0" xfId="0" applyFont="1" applyFill="1"/>
    <xf numFmtId="49" fontId="0" fillId="3" borderId="0" xfId="0" applyNumberFormat="1" applyFill="1" applyAlignment="1">
      <alignment shrinkToFit="1"/>
    </xf>
    <xf numFmtId="0" fontId="0" fillId="3" borderId="0" xfId="0" applyFill="1" applyAlignment="1">
      <alignment shrinkToFit="1"/>
    </xf>
    <xf numFmtId="0" fontId="2" fillId="3" borderId="1" xfId="0" applyFont="1" applyFill="1" applyBorder="1" applyAlignment="1">
      <alignment horizontal="center" vertical="top"/>
    </xf>
    <xf numFmtId="11" fontId="0" fillId="3" borderId="0" xfId="0" applyNumberFormat="1" applyFill="1"/>
    <xf numFmtId="165" fontId="0" fillId="3" borderId="0" xfId="0" applyNumberFormat="1" applyFill="1"/>
    <xf numFmtId="10" fontId="0" fillId="3" borderId="0" xfId="0" applyNumberFormat="1" applyFill="1"/>
    <xf numFmtId="0" fontId="4" fillId="3" borderId="0" xfId="0" applyFont="1" applyFill="1"/>
    <xf numFmtId="0" fontId="2" fillId="0" borderId="0" xfId="0" applyFont="1" applyFill="1" applyBorder="1" applyAlignment="1">
      <alignment horizontal="center" vertical="top"/>
    </xf>
    <xf numFmtId="11" fontId="0" fillId="0" borderId="0" xfId="0" applyNumberFormat="1" applyFill="1"/>
    <xf numFmtId="0" fontId="0" fillId="0" borderId="0" xfId="0" applyFill="1"/>
    <xf numFmtId="49" fontId="0" fillId="0" borderId="0" xfId="0" applyNumberFormat="1" applyAlignment="1">
      <alignment horizontal="center" shrinkToFit="1"/>
    </xf>
    <xf numFmtId="0" fontId="6" fillId="0" borderId="1" xfId="0" applyFont="1" applyBorder="1" applyAlignment="1">
      <alignment horizontal="center" vertical="top"/>
    </xf>
    <xf numFmtId="0" fontId="2" fillId="3" borderId="0" xfId="0" applyFont="1" applyFill="1"/>
    <xf numFmtId="0" fontId="6" fillId="3" borderId="1" xfId="0" applyFont="1" applyFill="1" applyBorder="1" applyAlignment="1">
      <alignment horizontal="center" vertical="top"/>
    </xf>
    <xf numFmtId="0" fontId="6" fillId="3" borderId="2" xfId="0" applyFont="1" applyFill="1" applyBorder="1" applyAlignment="1">
      <alignment horizontal="center" vertical="top"/>
    </xf>
    <xf numFmtId="0" fontId="6" fillId="3" borderId="0" xfId="0" applyFont="1" applyFill="1" applyBorder="1" applyAlignment="1">
      <alignment horizontal="center" vertical="top"/>
    </xf>
    <xf numFmtId="0" fontId="2" fillId="0" borderId="3" xfId="0" applyFont="1" applyBorder="1"/>
    <xf numFmtId="0" fontId="2" fillId="0" borderId="4" xfId="0" applyFont="1" applyBorder="1"/>
    <xf numFmtId="0" fontId="2" fillId="0" borderId="0" xfId="0" applyFont="1" applyAlignment="1">
      <alignment shrinkToFit="1"/>
    </xf>
    <xf numFmtId="11" fontId="0" fillId="0" borderId="5" xfId="0" applyNumberFormat="1" applyBorder="1"/>
    <xf numFmtId="11" fontId="0" fillId="0" borderId="6" xfId="0" applyNumberFormat="1" applyBorder="1"/>
    <xf numFmtId="0" fontId="0" fillId="0" borderId="6" xfId="0" applyBorder="1"/>
    <xf numFmtId="0" fontId="0" fillId="0" borderId="7" xfId="0" applyBorder="1"/>
    <xf numFmtId="11" fontId="0" fillId="0" borderId="2" xfId="0" applyNumberFormat="1" applyBorder="1"/>
    <xf numFmtId="11" fontId="0" fillId="0" borderId="0" xfId="0" applyNumberFormat="1" applyBorder="1"/>
    <xf numFmtId="11" fontId="0" fillId="0" borderId="3" xfId="0" applyNumberFormat="1" applyBorder="1"/>
    <xf numFmtId="11" fontId="0" fillId="0" borderId="4" xfId="0" applyNumberFormat="1" applyBorder="1"/>
    <xf numFmtId="0" fontId="0" fillId="0" borderId="10" xfId="0" applyBorder="1"/>
    <xf numFmtId="2" fontId="0" fillId="0" borderId="11" xfId="0" applyNumberFormat="1" applyBorder="1"/>
    <xf numFmtId="2" fontId="0" fillId="0" borderId="12" xfId="0" applyNumberFormat="1" applyBorder="1"/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2" fillId="3" borderId="0" xfId="0" applyFont="1" applyFill="1" applyAlignment="1">
      <alignment horizontal="center"/>
    </xf>
    <xf numFmtId="0" fontId="2" fillId="3" borderId="5" xfId="0" applyFont="1" applyFill="1" applyBorder="1"/>
    <xf numFmtId="2" fontId="0" fillId="3" borderId="7" xfId="0" applyNumberFormat="1" applyFill="1" applyBorder="1"/>
    <xf numFmtId="0" fontId="2" fillId="3" borderId="2" xfId="0" applyFont="1" applyFill="1" applyBorder="1"/>
    <xf numFmtId="2" fontId="0" fillId="3" borderId="8" xfId="0" applyNumberFormat="1" applyFill="1" applyBorder="1"/>
    <xf numFmtId="0" fontId="2" fillId="3" borderId="3" xfId="0" applyFont="1" applyFill="1" applyBorder="1"/>
    <xf numFmtId="2" fontId="0" fillId="0" borderId="0" xfId="0" applyNumberFormat="1"/>
    <xf numFmtId="2" fontId="0" fillId="3" borderId="9" xfId="0" applyNumberFormat="1" applyFill="1" applyBorder="1"/>
    <xf numFmtId="0" fontId="2" fillId="0" borderId="0" xfId="0" applyFont="1" applyAlignment="1">
      <alignment horizontal="right"/>
    </xf>
    <xf numFmtId="0" fontId="0" fillId="0" borderId="0" xfId="0" applyBorder="1" applyAlignment="1">
      <alignment horizontal="right"/>
    </xf>
    <xf numFmtId="0" fontId="0" fillId="4" borderId="0" xfId="0" applyFill="1"/>
    <xf numFmtId="0" fontId="0" fillId="0" borderId="0" xfId="0" applyAlignment="1">
      <alignment wrapText="1"/>
    </xf>
    <xf numFmtId="0" fontId="0" fillId="0" borderId="0" xfId="0" quotePrefix="1" applyAlignment="1">
      <alignment wrapText="1"/>
    </xf>
    <xf numFmtId="0" fontId="0" fillId="0" borderId="0" xfId="0" applyFill="1" applyBorder="1" applyAlignment="1">
      <alignment wrapText="1"/>
    </xf>
    <xf numFmtId="167" fontId="0" fillId="0" borderId="0" xfId="0" applyNumberFormat="1"/>
    <xf numFmtId="0" fontId="2" fillId="6" borderId="0" xfId="0" applyFont="1" applyFill="1" applyAlignment="1">
      <alignment horizontal="center"/>
    </xf>
    <xf numFmtId="0" fontId="0" fillId="6" borderId="0" xfId="0" applyFill="1"/>
    <xf numFmtId="0" fontId="2" fillId="7" borderId="0" xfId="0" applyFont="1" applyFill="1" applyAlignment="1">
      <alignment horizontal="center"/>
    </xf>
    <xf numFmtId="0" fontId="0" fillId="7" borderId="0" xfId="0" applyFill="1"/>
    <xf numFmtId="0" fontId="2" fillId="0" borderId="0" xfId="0" applyFont="1" applyFill="1" applyAlignment="1">
      <alignment horizontal="left"/>
    </xf>
    <xf numFmtId="164" fontId="0" fillId="5" borderId="0" xfId="0" applyNumberFormat="1" applyFill="1"/>
    <xf numFmtId="164" fontId="0" fillId="4" borderId="0" xfId="0" applyNumberFormat="1" applyFill="1"/>
    <xf numFmtId="164" fontId="0" fillId="0" borderId="0" xfId="0" applyNumberFormat="1" applyFill="1"/>
    <xf numFmtId="11" fontId="0" fillId="3" borderId="2" xfId="0" applyNumberFormat="1" applyFill="1" applyBorder="1"/>
    <xf numFmtId="11" fontId="0" fillId="3" borderId="0" xfId="0" applyNumberFormat="1" applyFill="1" applyBorder="1"/>
    <xf numFmtId="0" fontId="0" fillId="3" borderId="6" xfId="0" applyFill="1" applyBorder="1"/>
    <xf numFmtId="0" fontId="0" fillId="3" borderId="7" xfId="0" applyFill="1" applyBorder="1"/>
    <xf numFmtId="164" fontId="0" fillId="3" borderId="0" xfId="0" applyNumberFormat="1" applyFill="1"/>
    <xf numFmtId="2" fontId="0" fillId="3" borderId="0" xfId="0" applyNumberFormat="1" applyFill="1"/>
  </cellXfs>
  <cellStyles count="2">
    <cellStyle name="Explanatory Text" xfId="1" builtinId="53" customBuiltin="1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2"/>
          <c:order val="0"/>
          <c:tx>
            <c:v>CO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'uptake old'!$A$2:$A$13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'uptake old'!$C$2:$C$13</c:f>
              <c:numCache>
                <c:formatCode>General</c:formatCode>
                <c:ptCount val="12"/>
                <c:pt idx="0">
                  <c:v>96904.452850423098</c:v>
                </c:pt>
                <c:pt idx="1">
                  <c:v>466397.15793790901</c:v>
                </c:pt>
                <c:pt idx="2">
                  <c:v>519140.80899688101</c:v>
                </c:pt>
                <c:pt idx="3">
                  <c:v>618537.95000606799</c:v>
                </c:pt>
                <c:pt idx="4">
                  <c:v>634752.80853782</c:v>
                </c:pt>
                <c:pt idx="5">
                  <c:v>679880.56387744599</c:v>
                </c:pt>
                <c:pt idx="6">
                  <c:v>717884.33882466902</c:v>
                </c:pt>
                <c:pt idx="7">
                  <c:v>717250.50706161</c:v>
                </c:pt>
                <c:pt idx="8">
                  <c:v>716141.63200111699</c:v>
                </c:pt>
                <c:pt idx="9">
                  <c:v>712364.11000687804</c:v>
                </c:pt>
                <c:pt idx="10">
                  <c:v>715105.24349274498</c:v>
                </c:pt>
                <c:pt idx="11">
                  <c:v>719602.97734090895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81-4262-94E7-65E90F41253D}"/>
            </c:ext>
          </c:extLst>
        </c:ser>
        <c:ser>
          <c:idx val="3"/>
          <c:order val="1"/>
          <c:tx>
            <c:v>H2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'uptake old'!$A$2:$A$13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'uptake old'!$F$2:$F$13</c:f>
              <c:numCache>
                <c:formatCode>General</c:formatCode>
                <c:ptCount val="12"/>
                <c:pt idx="0">
                  <c:v>42232.1926429702</c:v>
                </c:pt>
                <c:pt idx="1">
                  <c:v>420548.78756653197</c:v>
                </c:pt>
                <c:pt idx="2">
                  <c:v>498796.27313669003</c:v>
                </c:pt>
                <c:pt idx="3">
                  <c:v>588656.95149659296</c:v>
                </c:pt>
                <c:pt idx="4">
                  <c:v>625225.391612145</c:v>
                </c:pt>
                <c:pt idx="5">
                  <c:v>698082.20990663697</c:v>
                </c:pt>
                <c:pt idx="6">
                  <c:v>734989.85376617499</c:v>
                </c:pt>
                <c:pt idx="7">
                  <c:v>730801.40001686604</c:v>
                </c:pt>
                <c:pt idx="8">
                  <c:v>731327.47083776095</c:v>
                </c:pt>
                <c:pt idx="9">
                  <c:v>740129.29715764197</c:v>
                </c:pt>
                <c:pt idx="10">
                  <c:v>726484.91994797601</c:v>
                </c:pt>
                <c:pt idx="11">
                  <c:v>745362.50813423598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081-4262-94E7-65E90F4125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7021352"/>
        <c:axId val="1123249752"/>
      </c:scatterChart>
      <c:scatterChart>
        <c:scatterStyle val="lineMarker"/>
        <c:varyColors val="0"/>
        <c:ser>
          <c:idx val="0"/>
          <c:order val="2"/>
          <c:tx>
            <c:v>GUA ML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'uptake old'!$A$2:$A$13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'uptake old'!$K$2:$K$13</c:f>
              <c:numCache>
                <c:formatCode>General</c:formatCode>
                <c:ptCount val="12"/>
                <c:pt idx="0">
                  <c:v>100.943872666519</c:v>
                </c:pt>
                <c:pt idx="1">
                  <c:v>223.034305929223</c:v>
                </c:pt>
                <c:pt idx="2">
                  <c:v>339.277681832702</c:v>
                </c:pt>
                <c:pt idx="3">
                  <c:v>465.17623466400698</c:v>
                </c:pt>
                <c:pt idx="4">
                  <c:v>394.80304815039102</c:v>
                </c:pt>
                <c:pt idx="5">
                  <c:v>646.54592365087206</c:v>
                </c:pt>
                <c:pt idx="6">
                  <c:v>771.40879700764901</c:v>
                </c:pt>
                <c:pt idx="7">
                  <c:v>772.35538138385095</c:v>
                </c:pt>
                <c:pt idx="8">
                  <c:v>937.84019066407996</c:v>
                </c:pt>
                <c:pt idx="9">
                  <c:v>751.37458007567898</c:v>
                </c:pt>
                <c:pt idx="10">
                  <c:v>703.54074259321999</c:v>
                </c:pt>
                <c:pt idx="11">
                  <c:v>1041.8256310315001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081-4262-94E7-65E90F41253D}"/>
            </c:ext>
          </c:extLst>
        </c:ser>
        <c:ser>
          <c:idx val="1"/>
          <c:order val="3"/>
          <c:tx>
            <c:v>GUA intersect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8046701830002879"/>
                  <c:y val="7.760292577411982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'uptake old'!$A$3:$A$8</c:f>
              <c:numCache>
                <c:formatCode>General</c:formatCode>
                <c:ptCount val="6"/>
                <c:pt idx="0">
                  <c:v>1.5E-3</c:v>
                </c:pt>
                <c:pt idx="1">
                  <c:v>2.5000000000000001E-3</c:v>
                </c:pt>
                <c:pt idx="2">
                  <c:v>5.0000000000000001E-3</c:v>
                </c:pt>
                <c:pt idx="3">
                  <c:v>7.4999999999999997E-3</c:v>
                </c:pt>
                <c:pt idx="4">
                  <c:v>0.01</c:v>
                </c:pt>
                <c:pt idx="5">
                  <c:v>1.4999999999999999E-2</c:v>
                </c:pt>
              </c:numCache>
            </c:numRef>
          </c:xVal>
          <c:yVal>
            <c:numRef>
              <c:f>'uptake old'!$K$3:$K$8</c:f>
              <c:numCache>
                <c:formatCode>General</c:formatCode>
                <c:ptCount val="6"/>
                <c:pt idx="0">
                  <c:v>223.034305929223</c:v>
                </c:pt>
                <c:pt idx="1">
                  <c:v>339.277681832702</c:v>
                </c:pt>
                <c:pt idx="2">
                  <c:v>465.17623466400698</c:v>
                </c:pt>
                <c:pt idx="3">
                  <c:v>394.80304815039102</c:v>
                </c:pt>
                <c:pt idx="4">
                  <c:v>646.54592365087206</c:v>
                </c:pt>
                <c:pt idx="5">
                  <c:v>771.40879700764901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081-4262-94E7-65E90F4125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3241520"/>
        <c:axId val="1123237992"/>
      </c:scatterChart>
      <c:valAx>
        <c:axId val="1027021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GUA exposure (L)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3249752"/>
        <c:crosses val="autoZero"/>
        <c:crossBetween val="midCat"/>
      </c:valAx>
      <c:valAx>
        <c:axId val="1123249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TPD CO/H2</a:t>
                </a:r>
                <a:r>
                  <a:rPr lang="en-US" baseline="0"/>
                  <a:t> </a:t>
                </a:r>
                <a:r>
                  <a:rPr lang="en-US"/>
                  <a:t>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7021352"/>
        <c:crosses val="autoZero"/>
        <c:crossBetween val="midCat"/>
      </c:valAx>
      <c:valAx>
        <c:axId val="112323799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TPD</a:t>
                </a:r>
                <a:r>
                  <a:rPr lang="en-US" baseline="0"/>
                  <a:t> GUA area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3241520"/>
        <c:crosses val="max"/>
        <c:crossBetween val="midCat"/>
      </c:valAx>
      <c:valAx>
        <c:axId val="11232415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23237992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'uptake 1'!$M$1</c:f>
              <c:strCache>
                <c:ptCount val="1"/>
                <c:pt idx="0">
                  <c:v>H2 corr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'uptake 1'!$A$2:$A$13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'uptake 1'!$M$2:$M$13</c:f>
              <c:numCache>
                <c:formatCode>0.000</c:formatCode>
                <c:ptCount val="12"/>
                <c:pt idx="0" formatCode="General">
                  <c:v>0</c:v>
                </c:pt>
                <c:pt idx="1">
                  <c:v>0.4287588075800367</c:v>
                </c:pt>
                <c:pt idx="2">
                  <c:v>0.51743929122621579</c:v>
                </c:pt>
                <c:pt idx="3">
                  <c:v>0.61928139336743904</c:v>
                </c:pt>
                <c:pt idx="4">
                  <c:v>0.66072562549839797</c:v>
                </c:pt>
                <c:pt idx="5">
                  <c:v>0.74329668623215561</c:v>
                </c:pt>
                <c:pt idx="6">
                  <c:v>0.78512534927296529</c:v>
                </c:pt>
                <c:pt idx="7">
                  <c:v>0.7803784350237486</c:v>
                </c:pt>
                <c:pt idx="8">
                  <c:v>0.78097464862076282</c:v>
                </c:pt>
                <c:pt idx="9">
                  <c:v>0.79095005178329458</c:v>
                </c:pt>
                <c:pt idx="10">
                  <c:v>0.77548642427900649</c:v>
                </c:pt>
                <c:pt idx="11">
                  <c:v>0.79688102422343443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9A2-4716-BD73-C9D2ECB062E3}"/>
            </c:ext>
          </c:extLst>
        </c:ser>
        <c:ser>
          <c:idx val="1"/>
          <c:order val="1"/>
          <c:tx>
            <c:strRef>
              <c:f>'uptake 1'!$N$1</c:f>
              <c:strCache>
                <c:ptCount val="1"/>
                <c:pt idx="0">
                  <c:v>CO corr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'uptake 1'!$A$2:$A$13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'uptake 1'!$N$2:$N$13</c:f>
              <c:numCache>
                <c:formatCode>0.000</c:formatCode>
                <c:ptCount val="12"/>
                <c:pt idx="0" formatCode="General">
                  <c:v>0</c:v>
                </c:pt>
                <c:pt idx="1">
                  <c:v>0.12625603209564973</c:v>
                </c:pt>
                <c:pt idx="2">
                  <c:v>0.14427859115907318</c:v>
                </c:pt>
                <c:pt idx="3">
                  <c:v>0.17824269505795895</c:v>
                </c:pt>
                <c:pt idx="4">
                  <c:v>0.18378332866458613</c:v>
                </c:pt>
                <c:pt idx="5">
                  <c:v>0.19920352843609554</c:v>
                </c:pt>
                <c:pt idx="6">
                  <c:v>0.21218945688184485</c:v>
                </c:pt>
                <c:pt idx="7">
                  <c:v>0.21197287592552777</c:v>
                </c:pt>
                <c:pt idx="8">
                  <c:v>0.21159397219265294</c:v>
                </c:pt>
                <c:pt idx="9">
                  <c:v>0.21030318909577497</c:v>
                </c:pt>
                <c:pt idx="10">
                  <c:v>0.21123983718815917</c:v>
                </c:pt>
                <c:pt idx="11">
                  <c:v>0.21277671740601634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9A2-4716-BD73-C9D2ECB062E3}"/>
            </c:ext>
          </c:extLst>
        </c:ser>
        <c:ser>
          <c:idx val="2"/>
          <c:order val="2"/>
          <c:tx>
            <c:strRef>
              <c:f>'uptake 1'!$O$1</c:f>
              <c:strCache>
                <c:ptCount val="1"/>
                <c:pt idx="0">
                  <c:v>GUA total corr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'uptake 1'!$A$2:$A$13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'uptake 1'!$O$2:$O$13</c:f>
              <c:numCache>
                <c:formatCode>0.000</c:formatCode>
                <c:ptCount val="12"/>
                <c:pt idx="0" formatCode="General">
                  <c:v>0</c:v>
                </c:pt>
                <c:pt idx="1">
                  <c:v>1.4436197829819928E-2</c:v>
                </c:pt>
                <c:pt idx="2">
                  <c:v>2.958095253381007E-2</c:v>
                </c:pt>
                <c:pt idx="3">
                  <c:v>6.3973856162221801E-2</c:v>
                </c:pt>
                <c:pt idx="4">
                  <c:v>7.2858637504995744E-2</c:v>
                </c:pt>
                <c:pt idx="5">
                  <c:v>0.17083219763272037</c:v>
                </c:pt>
                <c:pt idx="6">
                  <c:v>0.23308324772790112</c:v>
                </c:pt>
                <c:pt idx="7">
                  <c:v>0.37551994584847659</c:v>
                </c:pt>
                <c:pt idx="8">
                  <c:v>0.42733588210241991</c:v>
                </c:pt>
                <c:pt idx="9">
                  <c:v>0.64584994602272838</c:v>
                </c:pt>
                <c:pt idx="10">
                  <c:v>1.2979569989614688</c:v>
                </c:pt>
                <c:pt idx="11">
                  <c:v>2.6322555012921907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9A2-4716-BD73-C9D2ECB062E3}"/>
            </c:ext>
          </c:extLst>
        </c:ser>
        <c:ser>
          <c:idx val="3"/>
          <c:order val="3"/>
          <c:tx>
            <c:strRef>
              <c:f>'uptake 1'!$R$1</c:f>
              <c:strCache>
                <c:ptCount val="1"/>
                <c:pt idx="0">
                  <c:v>GUA second + recom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'uptake 1'!$A$2:$A$13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'uptake 1'!$R$2:$R$13</c:f>
              <c:numCache>
                <c:formatCode>0.000</c:formatCode>
                <c:ptCount val="12"/>
                <c:pt idx="0" formatCode="General">
                  <c:v>-1.8268072920264571E-19</c:v>
                </c:pt>
                <c:pt idx="1">
                  <c:v>4.256571812044049E-3</c:v>
                </c:pt>
                <c:pt idx="2">
                  <c:v>1.2735989309537683E-2</c:v>
                </c:pt>
                <c:pt idx="3">
                  <c:v>2.1557061103575199E-2</c:v>
                </c:pt>
                <c:pt idx="4">
                  <c:v>2.2723350402530713E-2</c:v>
                </c:pt>
                <c:pt idx="5">
                  <c:v>4.1296178472659512E-2</c:v>
                </c:pt>
                <c:pt idx="6">
                  <c:v>5.5856704264425933E-2</c:v>
                </c:pt>
                <c:pt idx="7">
                  <c:v>6.7305726594567197E-2</c:v>
                </c:pt>
                <c:pt idx="8">
                  <c:v>7.4267857499158249E-2</c:v>
                </c:pt>
                <c:pt idx="9">
                  <c:v>7.5417965985642335E-2</c:v>
                </c:pt>
                <c:pt idx="10">
                  <c:v>7.928466349323765E-2</c:v>
                </c:pt>
                <c:pt idx="11">
                  <c:v>7.3579958087543196E-2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9A2-4716-BD73-C9D2ECB062E3}"/>
            </c:ext>
          </c:extLst>
        </c:ser>
        <c:ser>
          <c:idx val="4"/>
          <c:order val="4"/>
          <c:tx>
            <c:strRef>
              <c:f>'uptake 1'!$L$19</c:f>
              <c:strCache>
                <c:ptCount val="1"/>
                <c:pt idx="0">
                  <c:v>45 line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'uptake 1'!$M$19:$M$21</c:f>
              <c:numCache>
                <c:formatCode>General</c:formatCode>
                <c:ptCount val="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</c:numCache>
            </c:numRef>
          </c:xVal>
          <c:yVal>
            <c:numRef>
              <c:f>'uptake 1'!$N$19:$N$21</c:f>
              <c:numCache>
                <c:formatCode>General</c:formatCode>
                <c:ptCount val="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9A2-4716-BD73-C9D2ECB062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0258760"/>
        <c:axId val="847613592"/>
      </c:scatterChart>
      <c:valAx>
        <c:axId val="1070258760"/>
        <c:scaling>
          <c:orientation val="minMax"/>
          <c:max val="5.000000000000001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613592"/>
        <c:crosses val="autoZero"/>
        <c:crossBetween val="midCat"/>
      </c:valAx>
      <c:valAx>
        <c:axId val="84761359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258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Uptake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'verti intg uptk'!$D$1</c:f>
              <c:strCache>
                <c:ptCount val="1"/>
                <c:pt idx="0">
                  <c:v>recomb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'verti intg uptk'!$A$2:$C$13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'verti intg uptk'!$D$2:$D$13</c:f>
            </c:numRef>
          </c:yVal>
          <c:smooth val="0"/>
          <c:extLst>
            <c:ext xmlns:c16="http://schemas.microsoft.com/office/drawing/2014/chart" uri="{C3380CC4-5D6E-409C-BE32-E72D297353CC}">
              <c16:uniqueId val="{00000000-CF31-4414-B9AB-D33561E8F639}"/>
            </c:ext>
          </c:extLst>
        </c:ser>
        <c:ser>
          <c:idx val="1"/>
          <c:order val="1"/>
          <c:tx>
            <c:strRef>
              <c:f>'verti intg uptk'!$E$1</c:f>
              <c:strCache>
                <c:ptCount val="1"/>
                <c:pt idx="0">
                  <c:v>secondpeak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'verti intg uptk'!$A$2:$C$13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'verti intg uptk'!$E$2:$E$13</c:f>
            </c:numRef>
          </c:yVal>
          <c:smooth val="0"/>
          <c:extLst>
            <c:ext xmlns:c16="http://schemas.microsoft.com/office/drawing/2014/chart" uri="{C3380CC4-5D6E-409C-BE32-E72D297353CC}">
              <c16:uniqueId val="{00000001-CF31-4414-B9AB-D33561E8F639}"/>
            </c:ext>
          </c:extLst>
        </c:ser>
        <c:ser>
          <c:idx val="2"/>
          <c:order val="2"/>
          <c:tx>
            <c:strRef>
              <c:f>'verti intg uptk'!$F$1</c:f>
              <c:strCache>
                <c:ptCount val="1"/>
                <c:pt idx="0">
                  <c:v>total GUA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'verti intg uptk'!$A$2:$C$13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'verti intg uptk'!$F$2:$F$13</c:f>
            </c:numRef>
          </c:yVal>
          <c:smooth val="0"/>
          <c:extLst>
            <c:ext xmlns:c16="http://schemas.microsoft.com/office/drawing/2014/chart" uri="{C3380CC4-5D6E-409C-BE32-E72D297353CC}">
              <c16:uniqueId val="{00000002-CF31-4414-B9AB-D33561E8F639}"/>
            </c:ext>
          </c:extLst>
        </c:ser>
        <c:ser>
          <c:idx val="4"/>
          <c:order val="4"/>
          <c:tx>
            <c:strRef>
              <c:f>'verti intg uptk'!$H$1</c:f>
              <c:strCache>
                <c:ptCount val="1"/>
                <c:pt idx="0">
                  <c:v>CO corr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'verti intg uptk'!$A$2:$C$13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'verti intg uptk'!$H$2:$H$13</c:f>
              <c:numCache>
                <c:formatCode>#,##0</c:formatCode>
                <c:ptCount val="12"/>
                <c:pt idx="0">
                  <c:v>0</c:v>
                </c:pt>
                <c:pt idx="1">
                  <c:v>369492.7050874859</c:v>
                </c:pt>
                <c:pt idx="2">
                  <c:v>422236.3561464579</c:v>
                </c:pt>
                <c:pt idx="3">
                  <c:v>521633.49715564487</c:v>
                </c:pt>
                <c:pt idx="4">
                  <c:v>537848.35568739695</c:v>
                </c:pt>
                <c:pt idx="5">
                  <c:v>582976.11102702294</c:v>
                </c:pt>
                <c:pt idx="6">
                  <c:v>620979.88597424596</c:v>
                </c:pt>
                <c:pt idx="7">
                  <c:v>620346.05421118694</c:v>
                </c:pt>
                <c:pt idx="8">
                  <c:v>619237.17915069393</c:v>
                </c:pt>
                <c:pt idx="9">
                  <c:v>615459.65715645498</c:v>
                </c:pt>
                <c:pt idx="10">
                  <c:v>618200.79064232192</c:v>
                </c:pt>
                <c:pt idx="11">
                  <c:v>622698.5244904859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F31-4414-B9AB-D33561E8F639}"/>
            </c:ext>
          </c:extLst>
        </c:ser>
        <c:ser>
          <c:idx val="9"/>
          <c:order val="9"/>
          <c:tx>
            <c:strRef>
              <c:f>'verti intg uptk'!$M$1</c:f>
              <c:strCache>
                <c:ptCount val="1"/>
                <c:pt idx="0">
                  <c:v>total GUA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'verti intg uptk'!$A$2:$C$13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'verti intg uptk'!$M$2:$M$13</c:f>
              <c:numCache>
                <c:formatCode>#,##0</c:formatCode>
                <c:ptCount val="12"/>
                <c:pt idx="0">
                  <c:v>0</c:v>
                </c:pt>
                <c:pt idx="1">
                  <c:v>1726.7175341507595</c:v>
                </c:pt>
                <c:pt idx="2">
                  <c:v>2979.5296505011347</c:v>
                </c:pt>
                <c:pt idx="3">
                  <c:v>5801.0000325729079</c:v>
                </c:pt>
                <c:pt idx="4">
                  <c:v>6538.1319505742376</c:v>
                </c:pt>
                <c:pt idx="5">
                  <c:v>14532.764857944363</c:v>
                </c:pt>
                <c:pt idx="6">
                  <c:v>21201.078990986742</c:v>
                </c:pt>
                <c:pt idx="7">
                  <c:v>32784.837376983247</c:v>
                </c:pt>
                <c:pt idx="8">
                  <c:v>37549.209539675998</c:v>
                </c:pt>
                <c:pt idx="9">
                  <c:v>57878.526064943158</c:v>
                </c:pt>
                <c:pt idx="10">
                  <c:v>110133.35496122229</c:v>
                </c:pt>
                <c:pt idx="11">
                  <c:v>225142.8614983017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F31-4414-B9AB-D33561E8F639}"/>
            </c:ext>
          </c:extLst>
        </c:ser>
        <c:ser>
          <c:idx val="12"/>
          <c:order val="12"/>
          <c:tx>
            <c:v>CO+f*GUA_2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'verti intg uptk'!$A$17:$A$28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  <c:extLst xmlns:c15="http://schemas.microsoft.com/office/drawing/2012/chart"/>
            </c:numRef>
          </c:xVal>
          <c:yVal>
            <c:numRef>
              <c:f>'verti intg uptk'!$K$17:$K$28</c:f>
              <c:numCache>
                <c:formatCode>#,##0</c:formatCode>
                <c:ptCount val="12"/>
                <c:pt idx="0">
                  <c:v>0</c:v>
                </c:pt>
                <c:pt idx="1">
                  <c:v>414593.55904093076</c:v>
                </c:pt>
                <c:pt idx="2">
                  <c:v>500059.93120113597</c:v>
                </c:pt>
                <c:pt idx="3">
                  <c:v>673152.23144687654</c:v>
                </c:pt>
                <c:pt idx="4">
                  <c:v>708620.54534737347</c:v>
                </c:pt>
                <c:pt idx="5">
                  <c:v>962563.44504935667</c:v>
                </c:pt>
                <c:pt idx="6">
                  <c:v>1174739.6922637075</c:v>
                </c:pt>
                <c:pt idx="7">
                  <c:v>1476666.8670730223</c:v>
                </c:pt>
                <c:pt idx="8">
                  <c:v>1600000.6115143611</c:v>
                </c:pt>
                <c:pt idx="9">
                  <c:v>2127212.9691302609</c:v>
                </c:pt>
                <c:pt idx="10">
                  <c:v>3494819.727596554</c:v>
                </c:pt>
                <c:pt idx="11">
                  <c:v>6503298.6309170518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D-CF31-4414-B9AB-D33561E8F639}"/>
            </c:ext>
          </c:extLst>
        </c:ser>
        <c:ser>
          <c:idx val="13"/>
          <c:order val="13"/>
          <c:tx>
            <c:v>trend1</c:v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'verti intg uptk'!$A$35:$A$46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'verti intg uptk'!$G$35:$G$46</c:f>
              <c:numCache>
                <c:formatCode>0.00E+00</c:formatCode>
                <c:ptCount val="12"/>
                <c:pt idx="0">
                  <c:v>0</c:v>
                </c:pt>
                <c:pt idx="1">
                  <c:v>300000</c:v>
                </c:pt>
                <c:pt idx="2">
                  <c:v>500000</c:v>
                </c:pt>
                <c:pt idx="3">
                  <c:v>1000000</c:v>
                </c:pt>
                <c:pt idx="4">
                  <c:v>1500000</c:v>
                </c:pt>
                <c:pt idx="5">
                  <c:v>2000000</c:v>
                </c:pt>
                <c:pt idx="6">
                  <c:v>3000000</c:v>
                </c:pt>
                <c:pt idx="7">
                  <c:v>5000000</c:v>
                </c:pt>
                <c:pt idx="8">
                  <c:v>7000000.0000000009</c:v>
                </c:pt>
                <c:pt idx="9">
                  <c:v>10000000</c:v>
                </c:pt>
                <c:pt idx="10">
                  <c:v>18000000</c:v>
                </c:pt>
                <c:pt idx="11">
                  <c:v>30000000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CF31-4414-B9AB-D33561E8F639}"/>
            </c:ext>
          </c:extLst>
        </c:ser>
        <c:ser>
          <c:idx val="14"/>
          <c:order val="14"/>
          <c:tx>
            <c:v>CO+f*GUA_1</c:v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'verti intg uptk'!$A$35:$A$46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'verti intg uptk'!$K$35:$K$46</c:f>
              <c:numCache>
                <c:formatCode>#,##0</c:formatCode>
                <c:ptCount val="12"/>
                <c:pt idx="0">
                  <c:v>0</c:v>
                </c:pt>
                <c:pt idx="1">
                  <c:v>581375.7170880083</c:v>
                </c:pt>
                <c:pt idx="2">
                  <c:v>787850.13153650053</c:v>
                </c:pt>
                <c:pt idx="3">
                  <c:v>1233465.8236404704</c:v>
                </c:pt>
                <c:pt idx="4">
                  <c:v>1340133.0740306624</c:v>
                </c:pt>
                <c:pt idx="5">
                  <c:v>2366270.6742058471</c:v>
                </c:pt>
                <c:pt idx="6">
                  <c:v>3222533.6348800343</c:v>
                </c:pt>
                <c:pt idx="7">
                  <c:v>4643326.0460133748</c:v>
                </c:pt>
                <c:pt idx="8">
                  <c:v>5226846.3903574748</c:v>
                </c:pt>
                <c:pt idx="9">
                  <c:v>7717649.905558819</c:v>
                </c:pt>
                <c:pt idx="10">
                  <c:v>14132505.539034968</c:v>
                </c:pt>
                <c:pt idx="11">
                  <c:v>28249653.530850887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CF31-4414-B9AB-D33561E8F6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9994320"/>
        <c:axId val="880578064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'verti intg uptk'!$G$1</c15:sqref>
                        </c15:formulaRef>
                      </c:ext>
                    </c:extLst>
                    <c:strCache>
                      <c:ptCount val="1"/>
                      <c:pt idx="0">
                        <c:v>H2 corr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'verti intg uptk'!$A$2:$C$13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'verti intg uptk'!$G$2:$G$13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0</c:v>
                      </c:pt>
                      <c:pt idx="1">
                        <c:v>378316.59492356179</c:v>
                      </c:pt>
                      <c:pt idx="2">
                        <c:v>456564.08049371984</c:v>
                      </c:pt>
                      <c:pt idx="3">
                        <c:v>546424.75885362271</c:v>
                      </c:pt>
                      <c:pt idx="4">
                        <c:v>582993.19896917476</c:v>
                      </c:pt>
                      <c:pt idx="5">
                        <c:v>655850.01726366673</c:v>
                      </c:pt>
                      <c:pt idx="6">
                        <c:v>692757.66112320474</c:v>
                      </c:pt>
                      <c:pt idx="7">
                        <c:v>688569.2073738958</c:v>
                      </c:pt>
                      <c:pt idx="8">
                        <c:v>689095.27819479071</c:v>
                      </c:pt>
                      <c:pt idx="9">
                        <c:v>697897.10451467172</c:v>
                      </c:pt>
                      <c:pt idx="10">
                        <c:v>684252.72730500577</c:v>
                      </c:pt>
                      <c:pt idx="11">
                        <c:v>703130.31549126573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CF31-4414-B9AB-D33561E8F639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'verti intg uptk'!$I$1</c15:sqref>
                        </c15:formulaRef>
                      </c:ext>
                    </c:extLst>
                    <c:strCache>
                      <c:ptCount val="1"/>
                      <c:pt idx="0">
                        <c:v>Benzene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'verti intg uptk'!$A$2:$C$13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'verti intg uptk'!$I$2:$I$13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0</c:v>
                      </c:pt>
                      <c:pt idx="1">
                        <c:v>61.702380744041022</c:v>
                      </c:pt>
                      <c:pt idx="2">
                        <c:v>153.49410905686699</c:v>
                      </c:pt>
                      <c:pt idx="3">
                        <c:v>229.73054905644801</c:v>
                      </c:pt>
                      <c:pt idx="4">
                        <c:v>342.87304976849401</c:v>
                      </c:pt>
                      <c:pt idx="5">
                        <c:v>547.75542111203504</c:v>
                      </c:pt>
                      <c:pt idx="6">
                        <c:v>696.85043635950103</c:v>
                      </c:pt>
                      <c:pt idx="7">
                        <c:v>909.93309697389407</c:v>
                      </c:pt>
                      <c:pt idx="8">
                        <c:v>902.80313072230399</c:v>
                      </c:pt>
                      <c:pt idx="9">
                        <c:v>1020.0124737153441</c:v>
                      </c:pt>
                      <c:pt idx="10">
                        <c:v>1071.3432244094338</c:v>
                      </c:pt>
                      <c:pt idx="11">
                        <c:v>1021.8198180778239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CF31-4414-B9AB-D33561E8F639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'verti intg uptk'!$J$1</c15:sqref>
                        </c15:formulaRef>
                      </c:ext>
                    </c:extLst>
                    <c:strCache>
                      <c:ptCount val="1"/>
                      <c:pt idx="0">
                        <c:v>multilayer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'verti intg uptk'!$A$2:$C$13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'verti intg uptk'!$J$2:$J$13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0</c:v>
                      </c:pt>
                      <c:pt idx="1">
                        <c:v>88.443560702123989</c:v>
                      </c:pt>
                      <c:pt idx="2">
                        <c:v>99.319682212585292</c:v>
                      </c:pt>
                      <c:pt idx="3">
                        <c:v>515.38094202489287</c:v>
                      </c:pt>
                      <c:pt idx="4">
                        <c:v>778.7480986484486</c:v>
                      </c:pt>
                      <c:pt idx="5">
                        <c:v>3612.9412114549659</c:v>
                      </c:pt>
                      <c:pt idx="6">
                        <c:v>5596.7653614826413</c:v>
                      </c:pt>
                      <c:pt idx="7">
                        <c:v>11200.618764440449</c:v>
                      </c:pt>
                      <c:pt idx="8">
                        <c:v>12646.767464971659</c:v>
                      </c:pt>
                      <c:pt idx="9">
                        <c:v>23988.480803216229</c:v>
                      </c:pt>
                      <c:pt idx="10">
                        <c:v>56027.682921549196</c:v>
                      </c:pt>
                      <c:pt idx="11">
                        <c:v>124221.42678498491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CF31-4414-B9AB-D33561E8F639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'verti intg uptk'!$K$1</c15:sqref>
                        </c15:formulaRef>
                      </c:ext>
                    </c:extLst>
                    <c:strCache>
                      <c:ptCount val="1"/>
                      <c:pt idx="0">
                        <c:v>recomb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'verti intg uptk'!$A$2:$C$13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'verti intg uptk'!$K$2:$K$13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0</c:v>
                      </c:pt>
                      <c:pt idx="1">
                        <c:v>936.81877980730917</c:v>
                      </c:pt>
                      <c:pt idx="2">
                        <c:v>1318.520198774685</c:v>
                      </c:pt>
                      <c:pt idx="3">
                        <c:v>1913.2837889054858</c:v>
                      </c:pt>
                      <c:pt idx="4">
                        <c:v>1999.3409708528811</c:v>
                      </c:pt>
                      <c:pt idx="5">
                        <c:v>3193.0074205254159</c:v>
                      </c:pt>
                      <c:pt idx="6">
                        <c:v>4951.1614391790408</c:v>
                      </c:pt>
                      <c:pt idx="7">
                        <c:v>6324.6245208367454</c:v>
                      </c:pt>
                      <c:pt idx="8">
                        <c:v>7502.1831900181814</c:v>
                      </c:pt>
                      <c:pt idx="9">
                        <c:v>10525.039312210896</c:v>
                      </c:pt>
                      <c:pt idx="10">
                        <c:v>15875.794708432246</c:v>
                      </c:pt>
                      <c:pt idx="11">
                        <c:v>29699.793993883948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CF31-4414-B9AB-D33561E8F639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'verti intg uptk'!$L$1</c15:sqref>
                        </c15:formulaRef>
                      </c:ext>
                    </c:extLst>
                    <c:strCache>
                      <c:ptCount val="1"/>
                      <c:pt idx="0">
                        <c:v>secondpeak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'verti intg uptk'!$A$2:$C$13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'verti intg uptk'!$L$2:$L$13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0</c:v>
                      </c:pt>
                      <c:pt idx="1">
                        <c:v>664.39019843134042</c:v>
                      </c:pt>
                      <c:pt idx="2">
                        <c:v>1505.9448113947897</c:v>
                      </c:pt>
                      <c:pt idx="3">
                        <c:v>3187.328306859984</c:v>
                      </c:pt>
                      <c:pt idx="4">
                        <c:v>3555.3050576372711</c:v>
                      </c:pt>
                      <c:pt idx="5">
                        <c:v>7233.8487221567721</c:v>
                      </c:pt>
                      <c:pt idx="6">
                        <c:v>9970.4491196380895</c:v>
                      </c:pt>
                      <c:pt idx="7">
                        <c:v>14268.560136117139</c:v>
                      </c:pt>
                      <c:pt idx="8">
                        <c:v>16155.30408450072</c:v>
                      </c:pt>
                      <c:pt idx="9">
                        <c:v>21507.070842327761</c:v>
                      </c:pt>
                      <c:pt idx="10">
                        <c:v>35002.597935338294</c:v>
                      </c:pt>
                      <c:pt idx="11">
                        <c:v>62843.873201213864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CF31-4414-B9AB-D33561E8F639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v>trend2</c:v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5">
                          <a:lumMod val="60000"/>
                        </a:schemeClr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0.14416535514689688"/>
                        <c:y val="-2.8220132366771716E-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'verti intg uptk'!$A$3:$A$5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1.5E-3</c:v>
                      </c:pt>
                      <c:pt idx="1">
                        <c:v>2.5000000000000001E-3</c:v>
                      </c:pt>
                      <c:pt idx="2">
                        <c:v>5.0000000000000001E-3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'verti intg uptk'!$O$3:$O$5</c15:sqref>
                        </c15:formulaRef>
                      </c:ext>
                    </c:extLst>
                    <c:numCache>
                      <c:formatCode>#,##0</c:formatCode>
                      <c:ptCount val="3"/>
                      <c:pt idx="0">
                        <c:v>371219.42262163665</c:v>
                      </c:pt>
                      <c:pt idx="1">
                        <c:v>425215.88579695905</c:v>
                      </c:pt>
                      <c:pt idx="2">
                        <c:v>527434.49718821782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CF31-4414-B9AB-D33561E8F639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v>total</c:v>
                </c:tx>
                <c:spPr>
                  <a:ln w="190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'verti intg uptk'!$A$17:$A$28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'verti intg uptk'!$G$17:$G$28</c15:sqref>
                        </c15:formulaRef>
                      </c:ext>
                    </c:extLst>
                    <c:numCache>
                      <c:formatCode>0.00E+00</c:formatCode>
                      <c:ptCount val="12"/>
                      <c:pt idx="0">
                        <c:v>309552</c:v>
                      </c:pt>
                      <c:pt idx="1">
                        <c:v>369552</c:v>
                      </c:pt>
                      <c:pt idx="2">
                        <c:v>409552</c:v>
                      </c:pt>
                      <c:pt idx="3">
                        <c:v>509552</c:v>
                      </c:pt>
                      <c:pt idx="4">
                        <c:v>609552</c:v>
                      </c:pt>
                      <c:pt idx="5">
                        <c:v>709552</c:v>
                      </c:pt>
                      <c:pt idx="6">
                        <c:v>909552</c:v>
                      </c:pt>
                      <c:pt idx="7">
                        <c:v>1309552</c:v>
                      </c:pt>
                      <c:pt idx="8">
                        <c:v>1709552.0000000002</c:v>
                      </c:pt>
                      <c:pt idx="9">
                        <c:v>2309552</c:v>
                      </c:pt>
                      <c:pt idx="10">
                        <c:v>3909552</c:v>
                      </c:pt>
                      <c:pt idx="11">
                        <c:v>6309552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CF31-4414-B9AB-D33561E8F639}"/>
                  </c:ext>
                </c:extLst>
              </c15:ser>
            </c15:filteredScatterSeries>
            <c15:filteredScatterSeries>
              <c15:ser>
                <c:idx val="15"/>
                <c:order val="15"/>
                <c:tx>
                  <c:v>trend2</c:v>
                </c:tx>
                <c:spPr>
                  <a:ln w="19050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'verti intg uptk'!$A$17:$A$28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'verti intg uptk'!$G$17:$G$28</c15:sqref>
                        </c15:formulaRef>
                      </c:ext>
                    </c:extLst>
                    <c:numCache>
                      <c:formatCode>0.00E+00</c:formatCode>
                      <c:ptCount val="12"/>
                      <c:pt idx="0">
                        <c:v>309552</c:v>
                      </c:pt>
                      <c:pt idx="1">
                        <c:v>369552</c:v>
                      </c:pt>
                      <c:pt idx="2">
                        <c:v>409552</c:v>
                      </c:pt>
                      <c:pt idx="3">
                        <c:v>509552</c:v>
                      </c:pt>
                      <c:pt idx="4">
                        <c:v>609552</c:v>
                      </c:pt>
                      <c:pt idx="5">
                        <c:v>709552</c:v>
                      </c:pt>
                      <c:pt idx="6">
                        <c:v>909552</c:v>
                      </c:pt>
                      <c:pt idx="7">
                        <c:v>1309552</c:v>
                      </c:pt>
                      <c:pt idx="8">
                        <c:v>1709552.0000000002</c:v>
                      </c:pt>
                      <c:pt idx="9">
                        <c:v>2309552</c:v>
                      </c:pt>
                      <c:pt idx="10">
                        <c:v>3909552</c:v>
                      </c:pt>
                      <c:pt idx="11">
                        <c:v>6309552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CF31-4414-B9AB-D33561E8F639}"/>
                  </c:ext>
                </c:extLst>
              </c15:ser>
            </c15:filteredScatterSeries>
          </c:ext>
        </c:extLst>
      </c:scatterChart>
      <c:valAx>
        <c:axId val="959994320"/>
        <c:scaling>
          <c:orientation val="minMax"/>
          <c:max val="3.0000000000000006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Langmuir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578064"/>
        <c:crosses val="autoZero"/>
        <c:crossBetween val="midCat"/>
      </c:valAx>
      <c:valAx>
        <c:axId val="880578064"/>
        <c:scaling>
          <c:orientation val="minMax"/>
          <c:max val="6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9994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'verti intg uptk'!$D$1</c:f>
              <c:strCache>
                <c:ptCount val="1"/>
                <c:pt idx="0">
                  <c:v>recomb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'verti intg uptk'!$A$2:$C$13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'verti intg uptk'!$D$2:$D$13</c:f>
            </c:numRef>
          </c:yVal>
          <c:smooth val="0"/>
          <c:extLst>
            <c:ext xmlns:c16="http://schemas.microsoft.com/office/drawing/2014/chart" uri="{C3380CC4-5D6E-409C-BE32-E72D297353CC}">
              <c16:uniqueId val="{00000000-D62A-4FA1-BCD7-CBF8127C26B8}"/>
            </c:ext>
          </c:extLst>
        </c:ser>
        <c:ser>
          <c:idx val="1"/>
          <c:order val="1"/>
          <c:tx>
            <c:strRef>
              <c:f>'verti intg uptk'!$E$1</c:f>
              <c:strCache>
                <c:ptCount val="1"/>
                <c:pt idx="0">
                  <c:v>secondpeak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'verti intg uptk'!$A$2:$C$13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'verti intg uptk'!$E$2:$E$13</c:f>
            </c:numRef>
          </c:yVal>
          <c:smooth val="0"/>
          <c:extLst>
            <c:ext xmlns:c16="http://schemas.microsoft.com/office/drawing/2014/chart" uri="{C3380CC4-5D6E-409C-BE32-E72D297353CC}">
              <c16:uniqueId val="{00000001-D62A-4FA1-BCD7-CBF8127C26B8}"/>
            </c:ext>
          </c:extLst>
        </c:ser>
        <c:ser>
          <c:idx val="2"/>
          <c:order val="2"/>
          <c:tx>
            <c:strRef>
              <c:f>'verti intg uptk'!$F$1</c:f>
              <c:strCache>
                <c:ptCount val="1"/>
                <c:pt idx="0">
                  <c:v>total GUA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'verti intg uptk'!$A$2:$C$13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'verti intg uptk'!$F$2:$F$13</c:f>
            </c:numRef>
          </c:yVal>
          <c:smooth val="0"/>
          <c:extLst>
            <c:ext xmlns:c16="http://schemas.microsoft.com/office/drawing/2014/chart" uri="{C3380CC4-5D6E-409C-BE32-E72D297353CC}">
              <c16:uniqueId val="{00000002-D62A-4FA1-BCD7-CBF8127C26B8}"/>
            </c:ext>
          </c:extLst>
        </c:ser>
        <c:ser>
          <c:idx val="6"/>
          <c:order val="6"/>
          <c:tx>
            <c:strRef>
              <c:f>'verti intg uptk'!$J$1</c:f>
              <c:strCache>
                <c:ptCount val="1"/>
                <c:pt idx="0">
                  <c:v>multilayer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'verti intg uptk'!$A$2:$C$13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'verti intg uptk'!$J$2:$J$13</c:f>
              <c:numCache>
                <c:formatCode>#,##0</c:formatCode>
                <c:ptCount val="12"/>
                <c:pt idx="0">
                  <c:v>0</c:v>
                </c:pt>
                <c:pt idx="1">
                  <c:v>88.443560702123989</c:v>
                </c:pt>
                <c:pt idx="2">
                  <c:v>99.319682212585292</c:v>
                </c:pt>
                <c:pt idx="3">
                  <c:v>515.38094202489287</c:v>
                </c:pt>
                <c:pt idx="4">
                  <c:v>778.7480986484486</c:v>
                </c:pt>
                <c:pt idx="5">
                  <c:v>3612.9412114549659</c:v>
                </c:pt>
                <c:pt idx="6">
                  <c:v>5596.7653614826413</c:v>
                </c:pt>
                <c:pt idx="7">
                  <c:v>11200.618764440449</c:v>
                </c:pt>
                <c:pt idx="8">
                  <c:v>12646.767464971659</c:v>
                </c:pt>
                <c:pt idx="9">
                  <c:v>23988.480803216229</c:v>
                </c:pt>
                <c:pt idx="10">
                  <c:v>56027.682921549196</c:v>
                </c:pt>
                <c:pt idx="11">
                  <c:v>124221.42678498491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62A-4FA1-BCD7-CBF8127C26B8}"/>
            </c:ext>
          </c:extLst>
        </c:ser>
        <c:ser>
          <c:idx val="7"/>
          <c:order val="7"/>
          <c:tx>
            <c:strRef>
              <c:f>'verti intg uptk'!$K$1</c:f>
              <c:strCache>
                <c:ptCount val="1"/>
                <c:pt idx="0">
                  <c:v>recomb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'verti intg uptk'!$A$2:$C$13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'verti intg uptk'!$K$2:$K$13</c:f>
              <c:numCache>
                <c:formatCode>#,##0</c:formatCode>
                <c:ptCount val="12"/>
                <c:pt idx="0">
                  <c:v>0</c:v>
                </c:pt>
                <c:pt idx="1">
                  <c:v>936.81877980730917</c:v>
                </c:pt>
                <c:pt idx="2">
                  <c:v>1318.520198774685</c:v>
                </c:pt>
                <c:pt idx="3">
                  <c:v>1913.2837889054858</c:v>
                </c:pt>
                <c:pt idx="4">
                  <c:v>1999.3409708528811</c:v>
                </c:pt>
                <c:pt idx="5">
                  <c:v>3193.0074205254159</c:v>
                </c:pt>
                <c:pt idx="6">
                  <c:v>4951.1614391790408</c:v>
                </c:pt>
                <c:pt idx="7">
                  <c:v>6324.6245208367454</c:v>
                </c:pt>
                <c:pt idx="8">
                  <c:v>7502.1831900181814</c:v>
                </c:pt>
                <c:pt idx="9">
                  <c:v>10525.039312210896</c:v>
                </c:pt>
                <c:pt idx="10">
                  <c:v>15875.794708432246</c:v>
                </c:pt>
                <c:pt idx="11">
                  <c:v>29699.793993883948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62A-4FA1-BCD7-CBF8127C26B8}"/>
            </c:ext>
          </c:extLst>
        </c:ser>
        <c:ser>
          <c:idx val="8"/>
          <c:order val="8"/>
          <c:tx>
            <c:strRef>
              <c:f>'verti intg uptk'!$L$1</c:f>
              <c:strCache>
                <c:ptCount val="1"/>
                <c:pt idx="0">
                  <c:v>secondpeak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'verti intg uptk'!$A$2:$C$13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'verti intg uptk'!$L$2:$L$13</c:f>
              <c:numCache>
                <c:formatCode>#,##0</c:formatCode>
                <c:ptCount val="12"/>
                <c:pt idx="0">
                  <c:v>0</c:v>
                </c:pt>
                <c:pt idx="1">
                  <c:v>664.39019843134042</c:v>
                </c:pt>
                <c:pt idx="2">
                  <c:v>1505.9448113947897</c:v>
                </c:pt>
                <c:pt idx="3">
                  <c:v>3187.328306859984</c:v>
                </c:pt>
                <c:pt idx="4">
                  <c:v>3555.3050576372711</c:v>
                </c:pt>
                <c:pt idx="5">
                  <c:v>7233.8487221567721</c:v>
                </c:pt>
                <c:pt idx="6">
                  <c:v>9970.4491196380895</c:v>
                </c:pt>
                <c:pt idx="7">
                  <c:v>14268.560136117139</c:v>
                </c:pt>
                <c:pt idx="8">
                  <c:v>16155.30408450072</c:v>
                </c:pt>
                <c:pt idx="9">
                  <c:v>21507.070842327761</c:v>
                </c:pt>
                <c:pt idx="10">
                  <c:v>35002.597935338294</c:v>
                </c:pt>
                <c:pt idx="11">
                  <c:v>62843.873201213864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62A-4FA1-BCD7-CBF8127C26B8}"/>
            </c:ext>
          </c:extLst>
        </c:ser>
        <c:ser>
          <c:idx val="9"/>
          <c:order val="9"/>
          <c:tx>
            <c:strRef>
              <c:f>'verti intg uptk'!$M$1</c:f>
              <c:strCache>
                <c:ptCount val="1"/>
                <c:pt idx="0">
                  <c:v>total GUA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'verti intg uptk'!$A$2:$C$13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'verti intg uptk'!$M$2:$M$13</c:f>
              <c:numCache>
                <c:formatCode>#,##0</c:formatCode>
                <c:ptCount val="12"/>
                <c:pt idx="0">
                  <c:v>0</c:v>
                </c:pt>
                <c:pt idx="1">
                  <c:v>1726.7175341507595</c:v>
                </c:pt>
                <c:pt idx="2">
                  <c:v>2979.5296505011347</c:v>
                </c:pt>
                <c:pt idx="3">
                  <c:v>5801.0000325729079</c:v>
                </c:pt>
                <c:pt idx="4">
                  <c:v>6538.1319505742376</c:v>
                </c:pt>
                <c:pt idx="5">
                  <c:v>14532.764857944363</c:v>
                </c:pt>
                <c:pt idx="6">
                  <c:v>21201.078990986742</c:v>
                </c:pt>
                <c:pt idx="7">
                  <c:v>32784.837376983247</c:v>
                </c:pt>
                <c:pt idx="8">
                  <c:v>37549.209539675998</c:v>
                </c:pt>
                <c:pt idx="9">
                  <c:v>57878.526064943158</c:v>
                </c:pt>
                <c:pt idx="10">
                  <c:v>110133.35496122229</c:v>
                </c:pt>
                <c:pt idx="11">
                  <c:v>225142.8614983017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62A-4FA1-BCD7-CBF8127C2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0030096"/>
        <c:axId val="955263296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'verti intg uptk'!$G$1</c15:sqref>
                        </c15:formulaRef>
                      </c:ext>
                    </c:extLst>
                    <c:strCache>
                      <c:ptCount val="1"/>
                      <c:pt idx="0">
                        <c:v>H2 corr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'verti intg uptk'!$A$2:$C$13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'verti intg uptk'!$G$2:$G$13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0</c:v>
                      </c:pt>
                      <c:pt idx="1">
                        <c:v>378316.59492356179</c:v>
                      </c:pt>
                      <c:pt idx="2">
                        <c:v>456564.08049371984</c:v>
                      </c:pt>
                      <c:pt idx="3">
                        <c:v>546424.75885362271</c:v>
                      </c:pt>
                      <c:pt idx="4">
                        <c:v>582993.19896917476</c:v>
                      </c:pt>
                      <c:pt idx="5">
                        <c:v>655850.01726366673</c:v>
                      </c:pt>
                      <c:pt idx="6">
                        <c:v>692757.66112320474</c:v>
                      </c:pt>
                      <c:pt idx="7">
                        <c:v>688569.2073738958</c:v>
                      </c:pt>
                      <c:pt idx="8">
                        <c:v>689095.27819479071</c:v>
                      </c:pt>
                      <c:pt idx="9">
                        <c:v>697897.10451467172</c:v>
                      </c:pt>
                      <c:pt idx="10">
                        <c:v>684252.72730500577</c:v>
                      </c:pt>
                      <c:pt idx="11">
                        <c:v>703130.31549126573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D62A-4FA1-BCD7-CBF8127C26B8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'verti intg uptk'!$H$1</c15:sqref>
                        </c15:formulaRef>
                      </c:ext>
                    </c:extLst>
                    <c:strCache>
                      <c:ptCount val="1"/>
                      <c:pt idx="0">
                        <c:v>CO corr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'verti intg uptk'!$A$2:$C$13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'verti intg uptk'!$H$2:$H$13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0</c:v>
                      </c:pt>
                      <c:pt idx="1">
                        <c:v>369492.7050874859</c:v>
                      </c:pt>
                      <c:pt idx="2">
                        <c:v>422236.3561464579</c:v>
                      </c:pt>
                      <c:pt idx="3">
                        <c:v>521633.49715564487</c:v>
                      </c:pt>
                      <c:pt idx="4">
                        <c:v>537848.35568739695</c:v>
                      </c:pt>
                      <c:pt idx="5">
                        <c:v>582976.11102702294</c:v>
                      </c:pt>
                      <c:pt idx="6">
                        <c:v>620979.88597424596</c:v>
                      </c:pt>
                      <c:pt idx="7">
                        <c:v>620346.05421118694</c:v>
                      </c:pt>
                      <c:pt idx="8">
                        <c:v>619237.17915069393</c:v>
                      </c:pt>
                      <c:pt idx="9">
                        <c:v>615459.65715645498</c:v>
                      </c:pt>
                      <c:pt idx="10">
                        <c:v>618200.79064232192</c:v>
                      </c:pt>
                      <c:pt idx="11">
                        <c:v>622698.5244904859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62A-4FA1-BCD7-CBF8127C26B8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'verti intg uptk'!$I$1</c15:sqref>
                        </c15:formulaRef>
                      </c:ext>
                    </c:extLst>
                    <c:strCache>
                      <c:ptCount val="1"/>
                      <c:pt idx="0">
                        <c:v>Benzene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'verti intg uptk'!$A$2:$C$13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'verti intg uptk'!$I$2:$I$13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0</c:v>
                      </c:pt>
                      <c:pt idx="1">
                        <c:v>61.702380744041022</c:v>
                      </c:pt>
                      <c:pt idx="2">
                        <c:v>153.49410905686699</c:v>
                      </c:pt>
                      <c:pt idx="3">
                        <c:v>229.73054905644801</c:v>
                      </c:pt>
                      <c:pt idx="4">
                        <c:v>342.87304976849401</c:v>
                      </c:pt>
                      <c:pt idx="5">
                        <c:v>547.75542111203504</c:v>
                      </c:pt>
                      <c:pt idx="6">
                        <c:v>696.85043635950103</c:v>
                      </c:pt>
                      <c:pt idx="7">
                        <c:v>909.93309697389407</c:v>
                      </c:pt>
                      <c:pt idx="8">
                        <c:v>902.80313072230399</c:v>
                      </c:pt>
                      <c:pt idx="9">
                        <c:v>1020.0124737153441</c:v>
                      </c:pt>
                      <c:pt idx="10">
                        <c:v>1071.3432244094338</c:v>
                      </c:pt>
                      <c:pt idx="11">
                        <c:v>1021.8198180778239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62A-4FA1-BCD7-CBF8127C26B8}"/>
                  </c:ext>
                </c:extLst>
              </c15:ser>
            </c15:filteredScatterSeries>
          </c:ext>
        </c:extLst>
      </c:scatterChart>
      <c:valAx>
        <c:axId val="960030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263296"/>
        <c:crosses val="autoZero"/>
        <c:crossBetween val="midCat"/>
      </c:valAx>
      <c:valAx>
        <c:axId val="95526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030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Case 1a:</a:t>
            </a:r>
          </a:p>
          <a:p>
            <a:pPr>
              <a:defRPr/>
            </a:pPr>
            <a:r>
              <a:rPr lang="en-US"/>
              <a:t>0,1,2 up to 0.025</a:t>
            </a:r>
            <a:r>
              <a:rPr lang="en-US" baseline="0"/>
              <a:t> L</a:t>
            </a:r>
          </a:p>
          <a:p>
            <a:pPr>
              <a:defRPr/>
            </a:pPr>
            <a:r>
              <a:rPr lang="en-US" baseline="0"/>
              <a:t>Divide case 1a line by 2 to get GUA amt.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'vert + sloped intg uptk'!$C$1</c:f>
              <c:strCache>
                <c:ptCount val="1"/>
                <c:pt idx="0">
                  <c:v>CO corr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'vert + sloped intg uptk'!$A$2:$A$13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'vert + sloped intg uptk'!$C$2:$C$13</c:f>
              <c:numCache>
                <c:formatCode>#,##0</c:formatCode>
                <c:ptCount val="12"/>
                <c:pt idx="0">
                  <c:v>0</c:v>
                </c:pt>
                <c:pt idx="1">
                  <c:v>369492.7050874859</c:v>
                </c:pt>
                <c:pt idx="2">
                  <c:v>422236.3561464579</c:v>
                </c:pt>
                <c:pt idx="3">
                  <c:v>521633.49715564487</c:v>
                </c:pt>
                <c:pt idx="4">
                  <c:v>537848.35568739695</c:v>
                </c:pt>
                <c:pt idx="5">
                  <c:v>582976.11102702294</c:v>
                </c:pt>
                <c:pt idx="6">
                  <c:v>620979.88597424596</c:v>
                </c:pt>
                <c:pt idx="7">
                  <c:v>620346.05421118694</c:v>
                </c:pt>
                <c:pt idx="8">
                  <c:v>619237.17915069393</c:v>
                </c:pt>
                <c:pt idx="9">
                  <c:v>615459.65715645498</c:v>
                </c:pt>
                <c:pt idx="10">
                  <c:v>618200.79064232192</c:v>
                </c:pt>
                <c:pt idx="11">
                  <c:v>622698.5244904859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95E-4EF6-88AA-01DC0792ED20}"/>
            </c:ext>
          </c:extLst>
        </c:ser>
        <c:ser>
          <c:idx val="10"/>
          <c:order val="11"/>
          <c:tx>
            <c:strRef>
              <c:f>'vert + sloped intg uptk'!$B$18</c:f>
              <c:strCache>
                <c:ptCount val="1"/>
                <c:pt idx="0">
                  <c:v>trend012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'vert + sloped intg uptk'!$A$19:$A$30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'vert + sloped intg uptk'!$B$19:$B$30</c:f>
              <c:numCache>
                <c:formatCode>0.00E+00</c:formatCode>
                <c:ptCount val="12"/>
                <c:pt idx="0">
                  <c:v>0</c:v>
                </c:pt>
                <c:pt idx="1">
                  <c:v>300000</c:v>
                </c:pt>
                <c:pt idx="2">
                  <c:v>500000</c:v>
                </c:pt>
                <c:pt idx="3">
                  <c:v>1000000</c:v>
                </c:pt>
                <c:pt idx="4">
                  <c:v>1500000</c:v>
                </c:pt>
                <c:pt idx="5">
                  <c:v>2000000</c:v>
                </c:pt>
                <c:pt idx="6">
                  <c:v>3000000</c:v>
                </c:pt>
                <c:pt idx="7">
                  <c:v>5000000</c:v>
                </c:pt>
                <c:pt idx="8">
                  <c:v>7000000.0000000009</c:v>
                </c:pt>
                <c:pt idx="9">
                  <c:v>10000000</c:v>
                </c:pt>
                <c:pt idx="10">
                  <c:v>18000000</c:v>
                </c:pt>
                <c:pt idx="11">
                  <c:v>30000000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B95E-4EF6-88AA-01DC0792ED20}"/>
            </c:ext>
          </c:extLst>
        </c:ser>
        <c:ser>
          <c:idx val="12"/>
          <c:order val="13"/>
          <c:tx>
            <c:strRef>
              <c:f>'vert + sloped intg uptk'!$J$17</c:f>
              <c:strCache>
                <c:ptCount val="1"/>
                <c:pt idx="0">
                  <c:v>Case 1a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'vert + sloped intg uptk'!$A$19:$A$30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'vert + sloped intg uptk'!$J$19:$J$30</c:f>
              <c:numCache>
                <c:formatCode>#,##0</c:formatCode>
                <c:ptCount val="12"/>
                <c:pt idx="0">
                  <c:v>0</c:v>
                </c:pt>
                <c:pt idx="1">
                  <c:v>476152.03940254607</c:v>
                </c:pt>
                <c:pt idx="2">
                  <c:v>699345.08340738318</c:v>
                </c:pt>
                <c:pt idx="3">
                  <c:v>1078951.7414213934</c:v>
                </c:pt>
                <c:pt idx="4">
                  <c:v>1185182.1542297422</c:v>
                </c:pt>
                <c:pt idx="5">
                  <c:v>2318088.1089093992</c:v>
                </c:pt>
                <c:pt idx="6">
                  <c:v>3148349.1679952587</c:v>
                </c:pt>
                <c:pt idx="7">
                  <c:v>4798703.3812341858</c:v>
                </c:pt>
                <c:pt idx="8">
                  <c:v>5302905.2596643157</c:v>
                </c:pt>
                <c:pt idx="9">
                  <c:v>8205094.3450931404</c:v>
                </c:pt>
                <c:pt idx="10">
                  <c:v>16429115.979548298</c:v>
                </c:pt>
                <c:pt idx="11">
                  <c:v>33656606.936571807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B95E-4EF6-88AA-01DC0792ED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1002656"/>
        <c:axId val="86815051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'vert + sloped intg uptk'!$B$1</c15:sqref>
                        </c15:formulaRef>
                      </c:ext>
                    </c:extLst>
                    <c:strCache>
                      <c:ptCount val="1"/>
                      <c:pt idx="0">
                        <c:v>H2 corr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'vert + sloped intg uptk'!$A$2:$A$13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'vert + sloped intg uptk'!$B$2:$B$13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0</c:v>
                      </c:pt>
                      <c:pt idx="1">
                        <c:v>378316.59492356179</c:v>
                      </c:pt>
                      <c:pt idx="2">
                        <c:v>456564.08049371984</c:v>
                      </c:pt>
                      <c:pt idx="3">
                        <c:v>546424.75885362271</c:v>
                      </c:pt>
                      <c:pt idx="4">
                        <c:v>582993.19896917476</c:v>
                      </c:pt>
                      <c:pt idx="5">
                        <c:v>655850.01726366673</c:v>
                      </c:pt>
                      <c:pt idx="6">
                        <c:v>692757.66112320474</c:v>
                      </c:pt>
                      <c:pt idx="7">
                        <c:v>688569.2073738958</c:v>
                      </c:pt>
                      <c:pt idx="8">
                        <c:v>689095.27819479071</c:v>
                      </c:pt>
                      <c:pt idx="9">
                        <c:v>697897.10451467172</c:v>
                      </c:pt>
                      <c:pt idx="10">
                        <c:v>684252.72730500577</c:v>
                      </c:pt>
                      <c:pt idx="11">
                        <c:v>703130.31549126573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B95E-4EF6-88AA-01DC0792ED20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uptk'!$D$1</c15:sqref>
                        </c15:formulaRef>
                      </c:ext>
                    </c:extLst>
                    <c:strCache>
                      <c:ptCount val="1"/>
                      <c:pt idx="0">
                        <c:v>Benzene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uptk'!$A$2:$A$13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uptk'!$E$2:$E$13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0</c:v>
                      </c:pt>
                      <c:pt idx="1">
                        <c:v>88.443560702123989</c:v>
                      </c:pt>
                      <c:pt idx="2">
                        <c:v>99.319682212585292</c:v>
                      </c:pt>
                      <c:pt idx="3">
                        <c:v>515.38094202489287</c:v>
                      </c:pt>
                      <c:pt idx="4">
                        <c:v>778.7480986484486</c:v>
                      </c:pt>
                      <c:pt idx="5">
                        <c:v>3612.9412114549659</c:v>
                      </c:pt>
                      <c:pt idx="6">
                        <c:v>5596.7653614826413</c:v>
                      </c:pt>
                      <c:pt idx="7">
                        <c:v>11200.618764440449</c:v>
                      </c:pt>
                      <c:pt idx="8">
                        <c:v>12646.767464971659</c:v>
                      </c:pt>
                      <c:pt idx="9">
                        <c:v>23988.480803216229</c:v>
                      </c:pt>
                      <c:pt idx="10">
                        <c:v>56027.682921549196</c:v>
                      </c:pt>
                      <c:pt idx="11">
                        <c:v>124221.42678498491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B95E-4EF6-88AA-01DC0792ED20}"/>
                  </c:ext>
                </c:extLst>
              </c15:ser>
            </c15:filteredScatterSeries>
            <c15:filteredScatterSeries>
              <c15:ser>
                <c:idx val="18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uptk'!$E$1</c15:sqref>
                        </c15:formulaRef>
                      </c:ext>
                    </c:extLst>
                    <c:strCache>
                      <c:ptCount val="1"/>
                      <c:pt idx="0">
                        <c:v>multilayer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uptk'!$A$2:$A$13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uptk'!$E$2:$E$13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0</c:v>
                      </c:pt>
                      <c:pt idx="1">
                        <c:v>88.443560702123989</c:v>
                      </c:pt>
                      <c:pt idx="2">
                        <c:v>99.319682212585292</c:v>
                      </c:pt>
                      <c:pt idx="3">
                        <c:v>515.38094202489287</c:v>
                      </c:pt>
                      <c:pt idx="4">
                        <c:v>778.7480986484486</c:v>
                      </c:pt>
                      <c:pt idx="5">
                        <c:v>3612.9412114549659</c:v>
                      </c:pt>
                      <c:pt idx="6">
                        <c:v>5596.7653614826413</c:v>
                      </c:pt>
                      <c:pt idx="7">
                        <c:v>11200.618764440449</c:v>
                      </c:pt>
                      <c:pt idx="8">
                        <c:v>12646.767464971659</c:v>
                      </c:pt>
                      <c:pt idx="9">
                        <c:v>23988.480803216229</c:v>
                      </c:pt>
                      <c:pt idx="10">
                        <c:v>56027.682921549196</c:v>
                      </c:pt>
                      <c:pt idx="11">
                        <c:v>124221.42678498491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115-4C56-B8A9-2ACC81E6E1EA}"/>
                  </c:ext>
                </c:extLst>
              </c15:ser>
            </c15:filteredScatterSeries>
            <c15:filteredScatterSeries>
              <c15:ser>
                <c:idx val="3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uptk'!$G$1</c15:sqref>
                        </c15:formulaRef>
                      </c:ext>
                    </c:extLst>
                    <c:strCache>
                      <c:ptCount val="1"/>
                      <c:pt idx="0">
                        <c:v>GUA second corr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uptk'!$A$2:$A$13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uptk'!$G$2:$G$13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0</c:v>
                      </c:pt>
                      <c:pt idx="1">
                        <c:v>209.03110248878599</c:v>
                      </c:pt>
                      <c:pt idx="2">
                        <c:v>752.40722040041396</c:v>
                      </c:pt>
                      <c:pt idx="3">
                        <c:v>1312.705675017982</c:v>
                      </c:pt>
                      <c:pt idx="4">
                        <c:v>1473.8052772607921</c:v>
                      </c:pt>
                      <c:pt idx="5">
                        <c:v>2666.8549778959418</c:v>
                      </c:pt>
                      <c:pt idx="6">
                        <c:v>3674.6650334621322</c:v>
                      </c:pt>
                      <c:pt idx="7">
                        <c:v>4564.3454663684124</c:v>
                      </c:pt>
                      <c:pt idx="8">
                        <c:v>4940.4494235946422</c:v>
                      </c:pt>
                      <c:pt idx="9">
                        <c:v>5216.3827338111523</c:v>
                      </c:pt>
                      <c:pt idx="10">
                        <c:v>5565.0095271128121</c:v>
                      </c:pt>
                      <c:pt idx="11">
                        <c:v>4782.9518331509516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95E-4EF6-88AA-01DC0792ED20}"/>
                  </c:ext>
                </c:extLst>
              </c15:ser>
            </c15:filteredScatterSeries>
            <c15:filteredScatterSeries>
              <c15:ser>
                <c:idx val="4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uptk'!$H$1</c15:sqref>
                        </c15:formulaRef>
                      </c:ext>
                    </c:extLst>
                    <c:strCache>
                      <c:ptCount val="1"/>
                      <c:pt idx="0">
                        <c:v>GUA recom corr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uptk'!$A$2:$A$13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uptk'!$H$2:$H$13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0</c:v>
                      </c:pt>
                      <c:pt idx="1">
                        <c:v>122.090433262704</c:v>
                      </c:pt>
                      <c:pt idx="2">
                        <c:v>238.33380916618302</c:v>
                      </c:pt>
                      <c:pt idx="3">
                        <c:v>364.232361997488</c:v>
                      </c:pt>
                      <c:pt idx="4">
                        <c:v>293.85917548387204</c:v>
                      </c:pt>
                      <c:pt idx="5">
                        <c:v>545.60205098435301</c:v>
                      </c:pt>
                      <c:pt idx="6">
                        <c:v>670.46492434112997</c:v>
                      </c:pt>
                      <c:pt idx="7">
                        <c:v>671.41150871733191</c:v>
                      </c:pt>
                      <c:pt idx="8">
                        <c:v>836.89631799756091</c:v>
                      </c:pt>
                      <c:pt idx="9">
                        <c:v>650.43070740915994</c:v>
                      </c:pt>
                      <c:pt idx="10">
                        <c:v>602.59686992670095</c:v>
                      </c:pt>
                      <c:pt idx="11">
                        <c:v>940.88175836498101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B95E-4EF6-88AA-01DC0792ED20}"/>
                  </c:ext>
                </c:extLst>
              </c15:ser>
            </c15:filteredScatterSeries>
            <c15:filteredScatterSeries>
              <c15:ser>
                <c:idx val="5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uptk'!$I$1</c15:sqref>
                        </c15:formulaRef>
                      </c:ext>
                    </c:extLst>
                    <c:strCache>
                      <c:ptCount val="1"/>
                      <c:pt idx="0">
                        <c:v>GUA second + recom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uptk'!$A$2:$A$13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uptk'!$I$2:$I$13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-1.4210854715202004E-14</c:v>
                      </c:pt>
                      <c:pt idx="1">
                        <c:v>331.12153575149</c:v>
                      </c:pt>
                      <c:pt idx="2">
                        <c:v>990.74102956659692</c:v>
                      </c:pt>
                      <c:pt idx="3">
                        <c:v>1676.9380370154699</c:v>
                      </c:pt>
                      <c:pt idx="4">
                        <c:v>1767.6644527446642</c:v>
                      </c:pt>
                      <c:pt idx="5">
                        <c:v>3212.4570288802947</c:v>
                      </c:pt>
                      <c:pt idx="6">
                        <c:v>4345.1299578032622</c:v>
                      </c:pt>
                      <c:pt idx="7">
                        <c:v>5235.7569750857438</c:v>
                      </c:pt>
                      <c:pt idx="8">
                        <c:v>5777.345741592203</c:v>
                      </c:pt>
                      <c:pt idx="9">
                        <c:v>5866.8134412203117</c:v>
                      </c:pt>
                      <c:pt idx="10">
                        <c:v>6167.6063970395126</c:v>
                      </c:pt>
                      <c:pt idx="11">
                        <c:v>5723.8335915159323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B95E-4EF6-88AA-01DC0792ED20}"/>
                  </c:ext>
                </c:extLst>
              </c15:ser>
            </c15:filteredScatterSeries>
            <c15:filteredScatterSeries>
              <c15:ser>
                <c:idx val="6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uptk'!$J$1</c15:sqref>
                        </c15:formulaRef>
                      </c:ext>
                    </c:extLst>
                    <c:strCache>
                      <c:ptCount val="1"/>
                      <c:pt idx="0">
                        <c:v>GUA_total (m +s +r)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uptk'!$A$2:$A$13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uptk'!$J$2:$J$13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0</c:v>
                      </c:pt>
                      <c:pt idx="1">
                        <c:v>419.56509645361393</c:v>
                      </c:pt>
                      <c:pt idx="2">
                        <c:v>1090.0607117791824</c:v>
                      </c:pt>
                      <c:pt idx="3">
                        <c:v>2192.318979040363</c:v>
                      </c:pt>
                      <c:pt idx="4">
                        <c:v>2546.4125513931126</c:v>
                      </c:pt>
                      <c:pt idx="5">
                        <c:v>6825.3982403352602</c:v>
                      </c:pt>
                      <c:pt idx="6">
                        <c:v>9941.8953192859026</c:v>
                      </c:pt>
                      <c:pt idx="7">
                        <c:v>16436.375739526193</c:v>
                      </c:pt>
                      <c:pt idx="8">
                        <c:v>18424.113206563863</c:v>
                      </c:pt>
                      <c:pt idx="9">
                        <c:v>29855.29424443654</c:v>
                      </c:pt>
                      <c:pt idx="10">
                        <c:v>62195.289318588715</c:v>
                      </c:pt>
                      <c:pt idx="11">
                        <c:v>129945.26037650084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B95E-4EF6-88AA-01DC0792ED20}"/>
                  </c:ext>
                </c:extLst>
              </c15:ser>
            </c15:filteredScatterSeries>
            <c15:filteredScatterSeries>
              <c15:ser>
                <c:idx val="7"/>
                <c:order val="8"/>
                <c:tx>
                  <c:v>trend1</c:v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uptk'!$A$2:$A$4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uptk'!$C$2:$C$4</c15:sqref>
                        </c15:formulaRef>
                      </c:ext>
                    </c:extLst>
                    <c:numCache>
                      <c:formatCode>#,##0</c:formatCode>
                      <c:ptCount val="3"/>
                      <c:pt idx="0">
                        <c:v>0</c:v>
                      </c:pt>
                      <c:pt idx="1">
                        <c:v>369492.7050874859</c:v>
                      </c:pt>
                      <c:pt idx="2">
                        <c:v>422236.3561464579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B95E-4EF6-88AA-01DC0792ED20}"/>
                  </c:ext>
                </c:extLst>
              </c15:ser>
            </c15:filteredScatterSeries>
            <c15:filteredScatterSeries>
              <c15:ser>
                <c:idx val="8"/>
                <c:order val="9"/>
                <c:tx>
                  <c:v>trend2</c:v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3">
                          <a:lumMod val="60000"/>
                        </a:schemeClr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0.12824097940833584"/>
                        <c:y val="0.1310147996329259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uptk'!$A$3:$A$5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1.5E-3</c:v>
                      </c:pt>
                      <c:pt idx="1">
                        <c:v>2.5000000000000001E-3</c:v>
                      </c:pt>
                      <c:pt idx="2">
                        <c:v>5.0000000000000001E-3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uptk'!$C$3:$C$5</c15:sqref>
                        </c15:formulaRef>
                      </c:ext>
                    </c:extLst>
                    <c:numCache>
                      <c:formatCode>#,##0</c:formatCode>
                      <c:ptCount val="3"/>
                      <c:pt idx="0">
                        <c:v>369492.7050874859</c:v>
                      </c:pt>
                      <c:pt idx="1">
                        <c:v>422236.3561464579</c:v>
                      </c:pt>
                      <c:pt idx="2">
                        <c:v>521633.49715564487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B95E-4EF6-88AA-01DC0792ED20}"/>
                  </c:ext>
                </c:extLst>
              </c15:ser>
            </c15:filteredScatterSeries>
            <c15:filteredScatterSeries>
              <c15:ser>
                <c:idx val="9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uptk'!$K$1</c15:sqref>
                        </c15:formulaRef>
                      </c:ext>
                    </c:extLst>
                    <c:strCache>
                      <c:ptCount val="1"/>
                      <c:pt idx="0">
                        <c:v>CO + GUA total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uptk'!$A$2:$A$13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uptk'!$K$2:$K$13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0</c:v>
                      </c:pt>
                      <c:pt idx="1">
                        <c:v>369912.27018393949</c:v>
                      </c:pt>
                      <c:pt idx="2">
                        <c:v>423326.41685823706</c:v>
                      </c:pt>
                      <c:pt idx="3">
                        <c:v>523825.81613468524</c:v>
                      </c:pt>
                      <c:pt idx="4">
                        <c:v>540394.7682387901</c:v>
                      </c:pt>
                      <c:pt idx="5">
                        <c:v>589801.50926735823</c:v>
                      </c:pt>
                      <c:pt idx="6">
                        <c:v>630921.78129353188</c:v>
                      </c:pt>
                      <c:pt idx="7">
                        <c:v>636782.42995071318</c:v>
                      </c:pt>
                      <c:pt idx="8">
                        <c:v>637661.2923572578</c:v>
                      </c:pt>
                      <c:pt idx="9">
                        <c:v>645314.95140089153</c:v>
                      </c:pt>
                      <c:pt idx="10">
                        <c:v>680396.0799609106</c:v>
                      </c:pt>
                      <c:pt idx="11">
                        <c:v>752643.7848669868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B95E-4EF6-88AA-01DC0792ED20}"/>
                  </c:ext>
                </c:extLst>
              </c15:ser>
            </c15:filteredScatterSeries>
            <c15:filteredScatterSeries>
              <c15:ser>
                <c:idx val="11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uptk'!$C$18</c15:sqref>
                        </c15:formulaRef>
                      </c:ext>
                    </c:extLst>
                    <c:strCache>
                      <c:ptCount val="1"/>
                      <c:pt idx="0">
                        <c:v>trend123</c:v>
                      </c:pt>
                    </c:strCache>
                  </c:strRef>
                </c:tx>
                <c:spPr>
                  <a:ln w="190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uptk'!$A$19:$A$30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uptk'!$C$19:$C$30</c15:sqref>
                        </c15:formulaRef>
                      </c:ext>
                    </c:extLst>
                    <c:numCache>
                      <c:formatCode>0.00E+00</c:formatCode>
                      <c:ptCount val="12"/>
                      <c:pt idx="0">
                        <c:v>309521</c:v>
                      </c:pt>
                      <c:pt idx="1">
                        <c:v>369521</c:v>
                      </c:pt>
                      <c:pt idx="2">
                        <c:v>409521</c:v>
                      </c:pt>
                      <c:pt idx="3">
                        <c:v>509521</c:v>
                      </c:pt>
                      <c:pt idx="4">
                        <c:v>609521</c:v>
                      </c:pt>
                      <c:pt idx="5">
                        <c:v>709521</c:v>
                      </c:pt>
                      <c:pt idx="6">
                        <c:v>909521</c:v>
                      </c:pt>
                      <c:pt idx="7">
                        <c:v>1309521</c:v>
                      </c:pt>
                      <c:pt idx="8">
                        <c:v>1709521.0000000002</c:v>
                      </c:pt>
                      <c:pt idx="9">
                        <c:v>2309521</c:v>
                      </c:pt>
                      <c:pt idx="10">
                        <c:v>3909521</c:v>
                      </c:pt>
                      <c:pt idx="11">
                        <c:v>6309521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B95E-4EF6-88AA-01DC0792ED20}"/>
                  </c:ext>
                </c:extLst>
              </c15:ser>
            </c15:filteredScatterSeries>
            <c15:filteredScatterSeries>
              <c15:ser>
                <c:idx val="13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uptk'!$K$17</c15:sqref>
                        </c15:formulaRef>
                      </c:ext>
                    </c:extLst>
                    <c:strCache>
                      <c:ptCount val="1"/>
                      <c:pt idx="0">
                        <c:v>Case 1b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uptk'!$A$19:$A$30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uptk'!$K$19:$K$30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0</c:v>
                      </c:pt>
                      <c:pt idx="1">
                        <c:v>470674.61869295326</c:v>
                      </c:pt>
                      <c:pt idx="2">
                        <c:v>685114.3450359588</c:v>
                      </c:pt>
                      <c:pt idx="3">
                        <c:v>1050331.0256389577</c:v>
                      </c:pt>
                      <c:pt idx="4">
                        <c:v>1151938.7482313367</c:v>
                      </c:pt>
                      <c:pt idx="5">
                        <c:v>2228982.561310628</c:v>
                      </c:pt>
                      <c:pt idx="6">
                        <c:v>3018557.7630982576</c:v>
                      </c:pt>
                      <c:pt idx="7">
                        <c:v>4584126.5595983975</c:v>
                      </c:pt>
                      <c:pt idx="8">
                        <c:v>5062378.5330931218</c:v>
                      </c:pt>
                      <c:pt idx="9">
                        <c:v>7815333.5943354974</c:v>
                      </c:pt>
                      <c:pt idx="10">
                        <c:v>15617156.71832215</c:v>
                      </c:pt>
                      <c:pt idx="11">
                        <c:v>31960172.065521073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B95E-4EF6-88AA-01DC0792ED20}"/>
                  </c:ext>
                </c:extLst>
              </c15:ser>
            </c15:filteredScatterSeries>
            <c15:filteredScatterSeries>
              <c15:ser>
                <c:idx val="14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uptk'!$L$17</c15:sqref>
                        </c15:formulaRef>
                      </c:ext>
                    </c:extLst>
                    <c:strCache>
                      <c:ptCount val="1"/>
                      <c:pt idx="0">
                        <c:v>Case 2a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uptk'!$A$19:$A$30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uptk'!$L$19:$L$30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0</c:v>
                      </c:pt>
                      <c:pt idx="1">
                        <c:v>384386.88498789747</c:v>
                      </c:pt>
                      <c:pt idx="2">
                        <c:v>460932.52148728672</c:v>
                      </c:pt>
                      <c:pt idx="3">
                        <c:v>599458.82997982996</c:v>
                      </c:pt>
                      <c:pt idx="4">
                        <c:v>628243.68876369868</c:v>
                      </c:pt>
                      <c:pt idx="5">
                        <c:v>825271.55014428799</c:v>
                      </c:pt>
                      <c:pt idx="6">
                        <c:v>973908.14117975277</c:v>
                      </c:pt>
                      <c:pt idx="7">
                        <c:v>1203822.4664401743</c:v>
                      </c:pt>
                      <c:pt idx="8">
                        <c:v>1273276.4663163493</c:v>
                      </c:pt>
                      <c:pt idx="9">
                        <c:v>1675295.4900580654</c:v>
                      </c:pt>
                      <c:pt idx="10">
                        <c:v>2826077.0794451539</c:v>
                      </c:pt>
                      <c:pt idx="11">
                        <c:v>5235637.2594155082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B95E-4EF6-88AA-01DC0792ED20}"/>
                  </c:ext>
                </c:extLst>
              </c15:ser>
            </c15:filteredScatterSeries>
            <c15:filteredScatterSeries>
              <c15:ser>
                <c:idx val="15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uptk'!$M$17</c15:sqref>
                        </c15:formulaRef>
                      </c:ext>
                    </c:extLst>
                    <c:strCache>
                      <c:ptCount val="1"/>
                      <c:pt idx="0">
                        <c:v>Case 2b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uptk'!$A$19:$A$30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uptk'!$M$19:$M$30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0</c:v>
                      </c:pt>
                      <c:pt idx="1">
                        <c:v>388765.48601653636</c:v>
                      </c:pt>
                      <c:pt idx="2">
                        <c:v>472308.44621081254</c:v>
                      </c:pt>
                      <c:pt idx="3">
                        <c:v>622337.97368808626</c:v>
                      </c:pt>
                      <c:pt idx="4">
                        <c:v>654818.16960376897</c:v>
                      </c:pt>
                      <c:pt idx="5">
                        <c:v>896501.72636392992</c:v>
                      </c:pt>
                      <c:pt idx="6">
                        <c:v>1077662.2271120606</c:v>
                      </c:pt>
                      <c:pt idx="7">
                        <c:v>1375353.2546980605</c:v>
                      </c:pt>
                      <c:pt idx="8">
                        <c:v>1465551.3760261913</c:v>
                      </c:pt>
                      <c:pt idx="9">
                        <c:v>1986866.7413226683</c:v>
                      </c:pt>
                      <c:pt idx="10">
                        <c:v>3475150.0363920704</c:v>
                      </c:pt>
                      <c:pt idx="11">
                        <c:v>6591752.0925143538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B95E-4EF6-88AA-01DC0792ED20}"/>
                  </c:ext>
                </c:extLst>
              </c15:ser>
            </c15:filteredScatterSeries>
          </c:ext>
        </c:extLst>
      </c:scatterChart>
      <c:scatterChart>
        <c:scatterStyle val="lineMarker"/>
        <c:varyColors val="0"/>
        <c:ser>
          <c:idx val="16"/>
          <c:order val="17"/>
          <c:tx>
            <c:strRef>
              <c:f>'vert + sloped intg uptk'!$N$18</c:f>
              <c:strCache>
                <c:ptCount val="1"/>
                <c:pt idx="0">
                  <c:v>θGUA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'vert + sloped intg uptk'!$A$19:$A$30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'vert + sloped intg uptk'!$N$19:$N$30</c:f>
              <c:numCache>
                <c:formatCode>0.000</c:formatCode>
                <c:ptCount val="12"/>
                <c:pt idx="0">
                  <c:v>0</c:v>
                </c:pt>
                <c:pt idx="1">
                  <c:v>8.1350817406507167E-2</c:v>
                </c:pt>
                <c:pt idx="2">
                  <c:v>0.11948346216430872</c:v>
                </c:pt>
                <c:pt idx="3">
                  <c:v>0.18433945219879563</c:v>
                </c:pt>
                <c:pt idx="4">
                  <c:v>0.2024889721005341</c:v>
                </c:pt>
                <c:pt idx="5">
                  <c:v>0.396046528996712</c:v>
                </c:pt>
                <c:pt idx="6">
                  <c:v>0.53789705199809645</c:v>
                </c:pt>
                <c:pt idx="7">
                  <c:v>0.81986090628657138</c:v>
                </c:pt>
                <c:pt idx="8">
                  <c:v>0.90600405291606823</c:v>
                </c:pt>
                <c:pt idx="9">
                  <c:v>1.4018445299706668</c:v>
                </c:pt>
                <c:pt idx="10">
                  <c:v>2.806922796927573</c:v>
                </c:pt>
                <c:pt idx="11">
                  <c:v>5.7502483636427222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D9D-4427-94BE-F5EF2AA31305}"/>
            </c:ext>
          </c:extLst>
        </c:ser>
        <c:ser>
          <c:idx val="17"/>
          <c:order val="18"/>
          <c:tx>
            <c:strRef>
              <c:f>'vert + sloped intg uptk'!$S$18</c:f>
              <c:strCache>
                <c:ptCount val="1"/>
                <c:pt idx="0">
                  <c:v>θGUA_multi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'vert + sloped intg uptk'!$R$19:$R$30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'vert + sloped intg uptk'!$S$19:$S$30</c:f>
              <c:numCache>
                <c:formatCode>0.000</c:formatCode>
                <c:ptCount val="12"/>
                <c:pt idx="0" formatCode="General">
                  <c:v>0</c:v>
                </c:pt>
                <c:pt idx="1">
                  <c:v>3.8413334468291502E-3</c:v>
                </c:pt>
                <c:pt idx="2">
                  <c:v>4.3137116391841947E-3</c:v>
                </c:pt>
                <c:pt idx="3">
                  <c:v>2.2384332276334865E-2</c:v>
                </c:pt>
                <c:pt idx="4">
                  <c:v>3.3823051607657084E-2</c:v>
                </c:pt>
                <c:pt idx="5">
                  <c:v>0.15691941625611297</c:v>
                </c:pt>
                <c:pt idx="6">
                  <c:v>0.24308204923506438</c:v>
                </c:pt>
                <c:pt idx="7">
                  <c:v>0.4864719505124358</c:v>
                </c:pt>
                <c:pt idx="8">
                  <c:v>0.54928194287749499</c:v>
                </c:pt>
                <c:pt idx="9">
                  <c:v>1.0418819970214128</c:v>
                </c:pt>
                <c:pt idx="10">
                  <c:v>2.4334277209818023</c:v>
                </c:pt>
                <c:pt idx="11">
                  <c:v>5.395259052596483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115-4C56-B8A9-2ACC81E6E1EA}"/>
            </c:ext>
          </c:extLst>
        </c:ser>
        <c:ser>
          <c:idx val="19"/>
          <c:order val="19"/>
          <c:tx>
            <c:strRef>
              <c:f>'vert + sloped intg uptk'!$T$18</c:f>
              <c:strCache>
                <c:ptCount val="1"/>
                <c:pt idx="0">
                  <c:v>θGUA_phys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'vert + sloped intg uptk'!$R$19:$R$30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'vert + sloped intg uptk'!$T$19:$T$30</c:f>
              <c:numCache>
                <c:formatCode>0.000</c:formatCode>
                <c:ptCount val="12"/>
                <c:pt idx="0" formatCode="General">
                  <c:v>0</c:v>
                </c:pt>
                <c:pt idx="1">
                  <c:v>9.0787634401343405E-3</c:v>
                </c:pt>
                <c:pt idx="2">
                  <c:v>3.2678998882622462E-2</c:v>
                </c:pt>
                <c:pt idx="3">
                  <c:v>5.7014215339793679E-2</c:v>
                </c:pt>
                <c:pt idx="4">
                  <c:v>6.4011189290790624E-2</c:v>
                </c:pt>
                <c:pt idx="5">
                  <c:v>0.11582843502804017</c:v>
                </c:pt>
                <c:pt idx="6">
                  <c:v>0.15960024208514997</c:v>
                </c:pt>
                <c:pt idx="7">
                  <c:v>0.19824137295755564</c:v>
                </c:pt>
                <c:pt idx="8">
                  <c:v>0.2145765442115011</c:v>
                </c:pt>
                <c:pt idx="9">
                  <c:v>0.22656104421596004</c:v>
                </c:pt>
                <c:pt idx="10">
                  <c:v>0.24170281090806359</c:v>
                </c:pt>
                <c:pt idx="11">
                  <c:v>0.20773601498400909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115-4C56-B8A9-2ACC81E6E1EA}"/>
            </c:ext>
          </c:extLst>
        </c:ser>
        <c:ser>
          <c:idx val="20"/>
          <c:order val="20"/>
          <c:tx>
            <c:strRef>
              <c:f>'vert + sloped intg uptk'!$U$18</c:f>
              <c:strCache>
                <c:ptCount val="1"/>
                <c:pt idx="0">
                  <c:v>θGUA_recomb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'vert + sloped intg uptk'!$R$19:$R$30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'vert + sloped intg uptk'!$U$19:$U$30</c:f>
              <c:numCache>
                <c:formatCode>0.000</c:formatCode>
                <c:ptCount val="12"/>
                <c:pt idx="0" formatCode="General">
                  <c:v>0</c:v>
                </c:pt>
                <c:pt idx="1">
                  <c:v>5.3027044717188117E-3</c:v>
                </c:pt>
                <c:pt idx="2">
                  <c:v>1.0351456062965456E-2</c:v>
                </c:pt>
                <c:pt idx="3">
                  <c:v>1.5819557053687601E-2</c:v>
                </c:pt>
                <c:pt idx="4">
                  <c:v>1.2763066869793333E-2</c:v>
                </c:pt>
                <c:pt idx="5">
                  <c:v>2.3696913494511151E-2</c:v>
                </c:pt>
                <c:pt idx="6">
                  <c:v>2.9120032236959761E-2</c:v>
                </c:pt>
                <c:pt idx="7">
                  <c:v>2.9161144853816021E-2</c:v>
                </c:pt>
                <c:pt idx="8">
                  <c:v>3.634857973074563E-2</c:v>
                </c:pt>
                <c:pt idx="9">
                  <c:v>2.8249894185406181E-2</c:v>
                </c:pt>
                <c:pt idx="10">
                  <c:v>2.617234644362754E-2</c:v>
                </c:pt>
                <c:pt idx="11">
                  <c:v>4.086493735922176E-2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115-4C56-B8A9-2ACC81E6E1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6570175"/>
        <c:axId val="846571471"/>
      </c:scatterChart>
      <c:valAx>
        <c:axId val="881002656"/>
        <c:scaling>
          <c:orientation val="minMax"/>
          <c:max val="3.0000000000000006E-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Langmuir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8150512"/>
        <c:crosses val="autoZero"/>
        <c:crossBetween val="midCat"/>
      </c:valAx>
      <c:valAx>
        <c:axId val="868150512"/>
        <c:scaling>
          <c:orientation val="minMax"/>
          <c:max val="500000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002656"/>
        <c:crosses val="autoZero"/>
        <c:crossBetween val="midCat"/>
        <c:dispUnits>
          <c:builtInUnit val="hundred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846571471"/>
        <c:scaling>
          <c:orientation val="minMax"/>
          <c:max val="1.7085050700000002"/>
          <c:min val="0"/>
        </c:scaling>
        <c:delete val="0"/>
        <c:axPos val="r"/>
        <c:numFmt formatCode="0.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570175"/>
        <c:crosses val="max"/>
        <c:crossBetween val="midCat"/>
      </c:valAx>
      <c:valAx>
        <c:axId val="84657017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465714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Case 1b:</a:t>
            </a:r>
          </a:p>
          <a:p>
            <a:pPr>
              <a:defRPr/>
            </a:pPr>
            <a:r>
              <a:rPr lang="en-US"/>
              <a:t>0,1,2 whole 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'vert + sloped intg uptk'!$C$1</c:f>
              <c:strCache>
                <c:ptCount val="1"/>
                <c:pt idx="0">
                  <c:v>CO corr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'vert + sloped intg uptk'!$A$2:$A$13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'vert + sloped intg uptk'!$C$2:$C$13</c:f>
              <c:numCache>
                <c:formatCode>#,##0</c:formatCode>
                <c:ptCount val="12"/>
                <c:pt idx="0">
                  <c:v>0</c:v>
                </c:pt>
                <c:pt idx="1">
                  <c:v>369492.7050874859</c:v>
                </c:pt>
                <c:pt idx="2">
                  <c:v>422236.3561464579</c:v>
                </c:pt>
                <c:pt idx="3">
                  <c:v>521633.49715564487</c:v>
                </c:pt>
                <c:pt idx="4">
                  <c:v>537848.35568739695</c:v>
                </c:pt>
                <c:pt idx="5">
                  <c:v>582976.11102702294</c:v>
                </c:pt>
                <c:pt idx="6">
                  <c:v>620979.88597424596</c:v>
                </c:pt>
                <c:pt idx="7">
                  <c:v>620346.05421118694</c:v>
                </c:pt>
                <c:pt idx="8">
                  <c:v>619237.17915069393</c:v>
                </c:pt>
                <c:pt idx="9">
                  <c:v>615459.65715645498</c:v>
                </c:pt>
                <c:pt idx="10">
                  <c:v>618200.79064232192</c:v>
                </c:pt>
                <c:pt idx="11">
                  <c:v>622698.5244904859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3E-49B3-858A-C3E9FCC0F7E9}"/>
            </c:ext>
          </c:extLst>
        </c:ser>
        <c:ser>
          <c:idx val="6"/>
          <c:order val="6"/>
          <c:tx>
            <c:strRef>
              <c:f>'vert + sloped intg uptk'!$J$1</c:f>
              <c:strCache>
                <c:ptCount val="1"/>
                <c:pt idx="0">
                  <c:v>GUA_total (m +s +r)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'vert + sloped intg uptk'!$A$2:$A$13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'vert + sloped intg uptk'!$J$2:$J$13</c:f>
              <c:numCache>
                <c:formatCode>#,##0</c:formatCode>
                <c:ptCount val="12"/>
                <c:pt idx="0">
                  <c:v>0</c:v>
                </c:pt>
                <c:pt idx="1">
                  <c:v>419.56509645361393</c:v>
                </c:pt>
                <c:pt idx="2">
                  <c:v>1090.0607117791824</c:v>
                </c:pt>
                <c:pt idx="3">
                  <c:v>2192.318979040363</c:v>
                </c:pt>
                <c:pt idx="4">
                  <c:v>2546.4125513931126</c:v>
                </c:pt>
                <c:pt idx="5">
                  <c:v>6825.3982403352602</c:v>
                </c:pt>
                <c:pt idx="6">
                  <c:v>9941.8953192859026</c:v>
                </c:pt>
                <c:pt idx="7">
                  <c:v>16436.375739526193</c:v>
                </c:pt>
                <c:pt idx="8">
                  <c:v>18424.113206563863</c:v>
                </c:pt>
                <c:pt idx="9">
                  <c:v>29855.29424443654</c:v>
                </c:pt>
                <c:pt idx="10">
                  <c:v>62195.289318588715</c:v>
                </c:pt>
                <c:pt idx="11">
                  <c:v>129945.26037650084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73E-49B3-858A-C3E9FCC0F7E9}"/>
            </c:ext>
          </c:extLst>
        </c:ser>
        <c:ser>
          <c:idx val="9"/>
          <c:order val="9"/>
          <c:tx>
            <c:strRef>
              <c:f>'vert + sloped intg uptk'!$K$1</c:f>
              <c:strCache>
                <c:ptCount val="1"/>
                <c:pt idx="0">
                  <c:v>CO + GUA total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'vert + sloped intg uptk'!$A$2:$A$13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'vert + sloped intg uptk'!$K$2:$K$13</c:f>
              <c:numCache>
                <c:formatCode>#,##0</c:formatCode>
                <c:ptCount val="12"/>
                <c:pt idx="0">
                  <c:v>0</c:v>
                </c:pt>
                <c:pt idx="1">
                  <c:v>369912.27018393949</c:v>
                </c:pt>
                <c:pt idx="2">
                  <c:v>423326.41685823706</c:v>
                </c:pt>
                <c:pt idx="3">
                  <c:v>523825.81613468524</c:v>
                </c:pt>
                <c:pt idx="4">
                  <c:v>540394.7682387901</c:v>
                </c:pt>
                <c:pt idx="5">
                  <c:v>589801.50926735823</c:v>
                </c:pt>
                <c:pt idx="6">
                  <c:v>630921.78129353188</c:v>
                </c:pt>
                <c:pt idx="7">
                  <c:v>636782.42995071318</c:v>
                </c:pt>
                <c:pt idx="8">
                  <c:v>637661.2923572578</c:v>
                </c:pt>
                <c:pt idx="9">
                  <c:v>645314.95140089153</c:v>
                </c:pt>
                <c:pt idx="10">
                  <c:v>680396.0799609106</c:v>
                </c:pt>
                <c:pt idx="11">
                  <c:v>752643.7848669868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73E-49B3-858A-C3E9FCC0F7E9}"/>
            </c:ext>
          </c:extLst>
        </c:ser>
        <c:ser>
          <c:idx val="10"/>
          <c:order val="10"/>
          <c:tx>
            <c:strRef>
              <c:f>'vert + sloped intg uptk'!$B$18</c:f>
              <c:strCache>
                <c:ptCount val="1"/>
                <c:pt idx="0">
                  <c:v>trend012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'vert + sloped intg uptk'!$A$19:$A$30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'vert + sloped intg uptk'!$B$19:$B$30</c:f>
              <c:numCache>
                <c:formatCode>0.00E+00</c:formatCode>
                <c:ptCount val="12"/>
                <c:pt idx="0">
                  <c:v>0</c:v>
                </c:pt>
                <c:pt idx="1">
                  <c:v>300000</c:v>
                </c:pt>
                <c:pt idx="2">
                  <c:v>500000</c:v>
                </c:pt>
                <c:pt idx="3">
                  <c:v>1000000</c:v>
                </c:pt>
                <c:pt idx="4">
                  <c:v>1500000</c:v>
                </c:pt>
                <c:pt idx="5">
                  <c:v>2000000</c:v>
                </c:pt>
                <c:pt idx="6">
                  <c:v>3000000</c:v>
                </c:pt>
                <c:pt idx="7">
                  <c:v>5000000</c:v>
                </c:pt>
                <c:pt idx="8">
                  <c:v>7000000.0000000009</c:v>
                </c:pt>
                <c:pt idx="9">
                  <c:v>10000000</c:v>
                </c:pt>
                <c:pt idx="10">
                  <c:v>18000000</c:v>
                </c:pt>
                <c:pt idx="11">
                  <c:v>30000000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73E-49B3-858A-C3E9FCC0F7E9}"/>
            </c:ext>
          </c:extLst>
        </c:ser>
        <c:ser>
          <c:idx val="13"/>
          <c:order val="13"/>
          <c:tx>
            <c:strRef>
              <c:f>'vert + sloped intg uptk'!$K$17</c:f>
              <c:strCache>
                <c:ptCount val="1"/>
                <c:pt idx="0">
                  <c:v>Case 1b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'vert + sloped intg uptk'!$A$19:$A$30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'vert + sloped intg uptk'!$K$19:$K$30</c:f>
              <c:numCache>
                <c:formatCode>#,##0</c:formatCode>
                <c:ptCount val="12"/>
                <c:pt idx="0">
                  <c:v>0</c:v>
                </c:pt>
                <c:pt idx="1">
                  <c:v>470674.61869295326</c:v>
                </c:pt>
                <c:pt idx="2">
                  <c:v>685114.3450359588</c:v>
                </c:pt>
                <c:pt idx="3">
                  <c:v>1050331.0256389577</c:v>
                </c:pt>
                <c:pt idx="4">
                  <c:v>1151938.7482313367</c:v>
                </c:pt>
                <c:pt idx="5">
                  <c:v>2228982.561310628</c:v>
                </c:pt>
                <c:pt idx="6">
                  <c:v>3018557.7630982576</c:v>
                </c:pt>
                <c:pt idx="7">
                  <c:v>4584126.5595983975</c:v>
                </c:pt>
                <c:pt idx="8">
                  <c:v>5062378.5330931218</c:v>
                </c:pt>
                <c:pt idx="9">
                  <c:v>7815333.5943354974</c:v>
                </c:pt>
                <c:pt idx="10">
                  <c:v>15617156.71832215</c:v>
                </c:pt>
                <c:pt idx="11">
                  <c:v>31960172.065521073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73E-49B3-858A-C3E9FCC0F7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1002656"/>
        <c:axId val="86815051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'vert + sloped intg uptk'!$B$1</c15:sqref>
                        </c15:formulaRef>
                      </c:ext>
                    </c:extLst>
                    <c:strCache>
                      <c:ptCount val="1"/>
                      <c:pt idx="0">
                        <c:v>H2 corr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'vert + sloped intg uptk'!$A$2:$A$13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'vert + sloped intg uptk'!$B$2:$B$13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0</c:v>
                      </c:pt>
                      <c:pt idx="1">
                        <c:v>378316.59492356179</c:v>
                      </c:pt>
                      <c:pt idx="2">
                        <c:v>456564.08049371984</c:v>
                      </c:pt>
                      <c:pt idx="3">
                        <c:v>546424.75885362271</c:v>
                      </c:pt>
                      <c:pt idx="4">
                        <c:v>582993.19896917476</c:v>
                      </c:pt>
                      <c:pt idx="5">
                        <c:v>655850.01726366673</c:v>
                      </c:pt>
                      <c:pt idx="6">
                        <c:v>692757.66112320474</c:v>
                      </c:pt>
                      <c:pt idx="7">
                        <c:v>688569.2073738958</c:v>
                      </c:pt>
                      <c:pt idx="8">
                        <c:v>689095.27819479071</c:v>
                      </c:pt>
                      <c:pt idx="9">
                        <c:v>697897.10451467172</c:v>
                      </c:pt>
                      <c:pt idx="10">
                        <c:v>684252.72730500577</c:v>
                      </c:pt>
                      <c:pt idx="11">
                        <c:v>703130.31549126573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8-E73E-49B3-858A-C3E9FCC0F7E9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uptk'!$D$1</c15:sqref>
                        </c15:formulaRef>
                      </c:ext>
                    </c:extLst>
                    <c:strCache>
                      <c:ptCount val="1"/>
                      <c:pt idx="0">
                        <c:v>Benzene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uptk'!$A$2:$A$13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uptk'!$E$2:$E$13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0</c:v>
                      </c:pt>
                      <c:pt idx="1">
                        <c:v>88.443560702123989</c:v>
                      </c:pt>
                      <c:pt idx="2">
                        <c:v>99.319682212585292</c:v>
                      </c:pt>
                      <c:pt idx="3">
                        <c:v>515.38094202489287</c:v>
                      </c:pt>
                      <c:pt idx="4">
                        <c:v>778.7480986484486</c:v>
                      </c:pt>
                      <c:pt idx="5">
                        <c:v>3612.9412114549659</c:v>
                      </c:pt>
                      <c:pt idx="6">
                        <c:v>5596.7653614826413</c:v>
                      </c:pt>
                      <c:pt idx="7">
                        <c:v>11200.618764440449</c:v>
                      </c:pt>
                      <c:pt idx="8">
                        <c:v>12646.767464971659</c:v>
                      </c:pt>
                      <c:pt idx="9">
                        <c:v>23988.480803216229</c:v>
                      </c:pt>
                      <c:pt idx="10">
                        <c:v>56027.682921549196</c:v>
                      </c:pt>
                      <c:pt idx="11">
                        <c:v>124221.42678498491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E73E-49B3-858A-C3E9FCC0F7E9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uptk'!$G$1</c15:sqref>
                        </c15:formulaRef>
                      </c:ext>
                    </c:extLst>
                    <c:strCache>
                      <c:ptCount val="1"/>
                      <c:pt idx="0">
                        <c:v>GUA second corr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uptk'!$A$2:$A$13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uptk'!$G$2:$G$13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0</c:v>
                      </c:pt>
                      <c:pt idx="1">
                        <c:v>209.03110248878599</c:v>
                      </c:pt>
                      <c:pt idx="2">
                        <c:v>752.40722040041396</c:v>
                      </c:pt>
                      <c:pt idx="3">
                        <c:v>1312.705675017982</c:v>
                      </c:pt>
                      <c:pt idx="4">
                        <c:v>1473.8052772607921</c:v>
                      </c:pt>
                      <c:pt idx="5">
                        <c:v>2666.8549778959418</c:v>
                      </c:pt>
                      <c:pt idx="6">
                        <c:v>3674.6650334621322</c:v>
                      </c:pt>
                      <c:pt idx="7">
                        <c:v>4564.3454663684124</c:v>
                      </c:pt>
                      <c:pt idx="8">
                        <c:v>4940.4494235946422</c:v>
                      </c:pt>
                      <c:pt idx="9">
                        <c:v>5216.3827338111523</c:v>
                      </c:pt>
                      <c:pt idx="10">
                        <c:v>5565.0095271128121</c:v>
                      </c:pt>
                      <c:pt idx="11">
                        <c:v>4782.9518331509516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E73E-49B3-858A-C3E9FCC0F7E9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uptk'!$H$1</c15:sqref>
                        </c15:formulaRef>
                      </c:ext>
                    </c:extLst>
                    <c:strCache>
                      <c:ptCount val="1"/>
                      <c:pt idx="0">
                        <c:v>GUA recom corr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uptk'!$A$2:$A$13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uptk'!$H$2:$H$13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0</c:v>
                      </c:pt>
                      <c:pt idx="1">
                        <c:v>122.090433262704</c:v>
                      </c:pt>
                      <c:pt idx="2">
                        <c:v>238.33380916618302</c:v>
                      </c:pt>
                      <c:pt idx="3">
                        <c:v>364.232361997488</c:v>
                      </c:pt>
                      <c:pt idx="4">
                        <c:v>293.85917548387204</c:v>
                      </c:pt>
                      <c:pt idx="5">
                        <c:v>545.60205098435301</c:v>
                      </c:pt>
                      <c:pt idx="6">
                        <c:v>670.46492434112997</c:v>
                      </c:pt>
                      <c:pt idx="7">
                        <c:v>671.41150871733191</c:v>
                      </c:pt>
                      <c:pt idx="8">
                        <c:v>836.89631799756091</c:v>
                      </c:pt>
                      <c:pt idx="9">
                        <c:v>650.43070740915994</c:v>
                      </c:pt>
                      <c:pt idx="10">
                        <c:v>602.59686992670095</c:v>
                      </c:pt>
                      <c:pt idx="11">
                        <c:v>940.88175836498101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E73E-49B3-858A-C3E9FCC0F7E9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uptk'!$I$1</c15:sqref>
                        </c15:formulaRef>
                      </c:ext>
                    </c:extLst>
                    <c:strCache>
                      <c:ptCount val="1"/>
                      <c:pt idx="0">
                        <c:v>GUA second + recom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uptk'!$A$2:$A$13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uptk'!$I$2:$I$13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-1.4210854715202004E-14</c:v>
                      </c:pt>
                      <c:pt idx="1">
                        <c:v>331.12153575149</c:v>
                      </c:pt>
                      <c:pt idx="2">
                        <c:v>990.74102956659692</c:v>
                      </c:pt>
                      <c:pt idx="3">
                        <c:v>1676.9380370154699</c:v>
                      </c:pt>
                      <c:pt idx="4">
                        <c:v>1767.6644527446642</c:v>
                      </c:pt>
                      <c:pt idx="5">
                        <c:v>3212.4570288802947</c:v>
                      </c:pt>
                      <c:pt idx="6">
                        <c:v>4345.1299578032622</c:v>
                      </c:pt>
                      <c:pt idx="7">
                        <c:v>5235.7569750857438</c:v>
                      </c:pt>
                      <c:pt idx="8">
                        <c:v>5777.345741592203</c:v>
                      </c:pt>
                      <c:pt idx="9">
                        <c:v>5866.8134412203117</c:v>
                      </c:pt>
                      <c:pt idx="10">
                        <c:v>6167.6063970395126</c:v>
                      </c:pt>
                      <c:pt idx="11">
                        <c:v>5723.8335915159323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E73E-49B3-858A-C3E9FCC0F7E9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trend1</c:v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2">
                          <a:lumMod val="60000"/>
                        </a:schemeClr>
                      </a:solidFill>
                      <a:prstDash val="sysDot"/>
                    </a:ln>
                    <a:effectLst/>
                  </c:spPr>
                  <c:trendlineType val="linear"/>
                  <c:intercept val="0"/>
                  <c:dispRSqr val="0"/>
                  <c:dispEq val="1"/>
                  <c:trendlineLbl>
                    <c:layout>
                      <c:manualLayout>
                        <c:x val="0.13337061858466925"/>
                        <c:y val="0.16322491181573393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uptk'!$A$2:$A$4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uptk'!$C$2:$C$4</c15:sqref>
                        </c15:formulaRef>
                      </c:ext>
                    </c:extLst>
                    <c:numCache>
                      <c:formatCode>#,##0</c:formatCode>
                      <c:ptCount val="3"/>
                      <c:pt idx="0">
                        <c:v>0</c:v>
                      </c:pt>
                      <c:pt idx="1">
                        <c:v>369492.7050874859</c:v>
                      </c:pt>
                      <c:pt idx="2">
                        <c:v>422236.3561464579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E73E-49B3-858A-C3E9FCC0F7E9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v>trend2</c:v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3">
                          <a:lumMod val="60000"/>
                        </a:schemeClr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0.12824097940833584"/>
                        <c:y val="0.1310147996329259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uptk'!$A$3:$A$5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1.5E-3</c:v>
                      </c:pt>
                      <c:pt idx="1">
                        <c:v>2.5000000000000001E-3</c:v>
                      </c:pt>
                      <c:pt idx="2">
                        <c:v>5.0000000000000001E-3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uptk'!$C$3:$C$5</c15:sqref>
                        </c15:formulaRef>
                      </c:ext>
                    </c:extLst>
                    <c:numCache>
                      <c:formatCode>#,##0</c:formatCode>
                      <c:ptCount val="3"/>
                      <c:pt idx="0">
                        <c:v>369492.7050874859</c:v>
                      </c:pt>
                      <c:pt idx="1">
                        <c:v>422236.3561464579</c:v>
                      </c:pt>
                      <c:pt idx="2">
                        <c:v>521633.49715564487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E73E-49B3-858A-C3E9FCC0F7E9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uptk'!$C$18</c15:sqref>
                        </c15:formulaRef>
                      </c:ext>
                    </c:extLst>
                    <c:strCache>
                      <c:ptCount val="1"/>
                      <c:pt idx="0">
                        <c:v>trend123</c:v>
                      </c:pt>
                    </c:strCache>
                  </c:strRef>
                </c:tx>
                <c:spPr>
                  <a:ln w="190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uptk'!$A$19:$A$30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uptk'!$C$19:$C$30</c15:sqref>
                        </c15:formulaRef>
                      </c:ext>
                    </c:extLst>
                    <c:numCache>
                      <c:formatCode>0.00E+00</c:formatCode>
                      <c:ptCount val="12"/>
                      <c:pt idx="0">
                        <c:v>309521</c:v>
                      </c:pt>
                      <c:pt idx="1">
                        <c:v>369521</c:v>
                      </c:pt>
                      <c:pt idx="2">
                        <c:v>409521</c:v>
                      </c:pt>
                      <c:pt idx="3">
                        <c:v>509521</c:v>
                      </c:pt>
                      <c:pt idx="4">
                        <c:v>609521</c:v>
                      </c:pt>
                      <c:pt idx="5">
                        <c:v>709521</c:v>
                      </c:pt>
                      <c:pt idx="6">
                        <c:v>909521</c:v>
                      </c:pt>
                      <c:pt idx="7">
                        <c:v>1309521</c:v>
                      </c:pt>
                      <c:pt idx="8">
                        <c:v>1709521.0000000002</c:v>
                      </c:pt>
                      <c:pt idx="9">
                        <c:v>2309521</c:v>
                      </c:pt>
                      <c:pt idx="10">
                        <c:v>3909521</c:v>
                      </c:pt>
                      <c:pt idx="11">
                        <c:v>6309521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E73E-49B3-858A-C3E9FCC0F7E9}"/>
                  </c:ext>
                </c:extLst>
              </c15:ser>
            </c15:filteredScatterSeries>
            <c15:filteredScatte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uptk'!$J$17</c15:sqref>
                        </c15:formulaRef>
                      </c:ext>
                    </c:extLst>
                    <c:strCache>
                      <c:ptCount val="1"/>
                      <c:pt idx="0">
                        <c:v>Case 1a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uptk'!$A$19:$A$30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uptk'!$J$19:$J$30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0</c:v>
                      </c:pt>
                      <c:pt idx="1">
                        <c:v>476152.03940254607</c:v>
                      </c:pt>
                      <c:pt idx="2">
                        <c:v>699345.08340738318</c:v>
                      </c:pt>
                      <c:pt idx="3">
                        <c:v>1078951.7414213934</c:v>
                      </c:pt>
                      <c:pt idx="4">
                        <c:v>1185182.1542297422</c:v>
                      </c:pt>
                      <c:pt idx="5">
                        <c:v>2318088.1089093992</c:v>
                      </c:pt>
                      <c:pt idx="6">
                        <c:v>3148349.1679952587</c:v>
                      </c:pt>
                      <c:pt idx="7">
                        <c:v>4798703.3812341858</c:v>
                      </c:pt>
                      <c:pt idx="8">
                        <c:v>5302905.2596643157</c:v>
                      </c:pt>
                      <c:pt idx="9">
                        <c:v>8205094.3450931404</c:v>
                      </c:pt>
                      <c:pt idx="10">
                        <c:v>16429115.979548298</c:v>
                      </c:pt>
                      <c:pt idx="11">
                        <c:v>33656606.936571807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73E-49B3-858A-C3E9FCC0F7E9}"/>
                  </c:ext>
                </c:extLst>
              </c15:ser>
            </c15:filteredScatterSeries>
            <c15:filteredScatte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uptk'!$L$17</c15:sqref>
                        </c15:formulaRef>
                      </c:ext>
                    </c:extLst>
                    <c:strCache>
                      <c:ptCount val="1"/>
                      <c:pt idx="0">
                        <c:v>Case 2a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uptk'!$A$19:$A$30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uptk'!$L$19:$L$30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0</c:v>
                      </c:pt>
                      <c:pt idx="1">
                        <c:v>384386.88498789747</c:v>
                      </c:pt>
                      <c:pt idx="2">
                        <c:v>460932.52148728672</c:v>
                      </c:pt>
                      <c:pt idx="3">
                        <c:v>599458.82997982996</c:v>
                      </c:pt>
                      <c:pt idx="4">
                        <c:v>628243.68876369868</c:v>
                      </c:pt>
                      <c:pt idx="5">
                        <c:v>825271.55014428799</c:v>
                      </c:pt>
                      <c:pt idx="6">
                        <c:v>973908.14117975277</c:v>
                      </c:pt>
                      <c:pt idx="7">
                        <c:v>1203822.4664401743</c:v>
                      </c:pt>
                      <c:pt idx="8">
                        <c:v>1273276.4663163493</c:v>
                      </c:pt>
                      <c:pt idx="9">
                        <c:v>1675295.4900580654</c:v>
                      </c:pt>
                      <c:pt idx="10">
                        <c:v>2826077.0794451539</c:v>
                      </c:pt>
                      <c:pt idx="11">
                        <c:v>5235637.2594155082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E73E-49B3-858A-C3E9FCC0F7E9}"/>
                  </c:ext>
                </c:extLst>
              </c15:ser>
            </c15:filteredScatterSeries>
            <c15:filteredScatte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uptk'!$M$17</c15:sqref>
                        </c15:formulaRef>
                      </c:ext>
                    </c:extLst>
                    <c:strCache>
                      <c:ptCount val="1"/>
                      <c:pt idx="0">
                        <c:v>Case 2b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uptk'!$A$19:$A$30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uptk'!$M$19:$M$30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0</c:v>
                      </c:pt>
                      <c:pt idx="1">
                        <c:v>388765.48601653636</c:v>
                      </c:pt>
                      <c:pt idx="2">
                        <c:v>472308.44621081254</c:v>
                      </c:pt>
                      <c:pt idx="3">
                        <c:v>622337.97368808626</c:v>
                      </c:pt>
                      <c:pt idx="4">
                        <c:v>654818.16960376897</c:v>
                      </c:pt>
                      <c:pt idx="5">
                        <c:v>896501.72636392992</c:v>
                      </c:pt>
                      <c:pt idx="6">
                        <c:v>1077662.2271120606</c:v>
                      </c:pt>
                      <c:pt idx="7">
                        <c:v>1375353.2546980605</c:v>
                      </c:pt>
                      <c:pt idx="8">
                        <c:v>1465551.3760261913</c:v>
                      </c:pt>
                      <c:pt idx="9">
                        <c:v>1986866.7413226683</c:v>
                      </c:pt>
                      <c:pt idx="10">
                        <c:v>3475150.0363920704</c:v>
                      </c:pt>
                      <c:pt idx="11">
                        <c:v>6591752.0925143538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E73E-49B3-858A-C3E9FCC0F7E9}"/>
                  </c:ext>
                </c:extLst>
              </c15:ser>
            </c15:filteredScatterSeries>
          </c:ext>
        </c:extLst>
      </c:scatterChart>
      <c:valAx>
        <c:axId val="881002656"/>
        <c:scaling>
          <c:orientation val="minMax"/>
          <c:max val="3.0000000000000006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Langmuir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8150512"/>
        <c:crosses val="autoZero"/>
        <c:crossBetween val="midCat"/>
      </c:valAx>
      <c:valAx>
        <c:axId val="868150512"/>
        <c:scaling>
          <c:orientation val="minMax"/>
          <c:max val="6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002656"/>
        <c:crosses val="autoZero"/>
        <c:crossBetween val="midCat"/>
        <c:dispUnits>
          <c:builtInUnit val="hundred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Case 2a:</a:t>
            </a:r>
          </a:p>
          <a:p>
            <a:pPr>
              <a:defRPr/>
            </a:pPr>
            <a:r>
              <a:rPr lang="en-US"/>
              <a:t>1,2,3 up to 0.025</a:t>
            </a:r>
            <a:r>
              <a:rPr lang="en-US" baseline="0"/>
              <a:t> L</a:t>
            </a:r>
          </a:p>
          <a:p>
            <a:pPr>
              <a:defRPr/>
            </a:pPr>
            <a:r>
              <a:rPr lang="en-US" sz="1400" b="0" i="0" u="none" strike="noStrike" baseline="0">
                <a:effectLst/>
              </a:rPr>
              <a:t>Divide case 1a line by 2 to get GUA amt.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'vert + sloped intg uptk'!$C$1</c:f>
              <c:strCache>
                <c:ptCount val="1"/>
                <c:pt idx="0">
                  <c:v>CO corr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'vert + sloped intg uptk'!$A$2:$A$13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'vert + sloped intg uptk'!$C$2:$C$13</c:f>
              <c:numCache>
                <c:formatCode>#,##0</c:formatCode>
                <c:ptCount val="12"/>
                <c:pt idx="0">
                  <c:v>0</c:v>
                </c:pt>
                <c:pt idx="1">
                  <c:v>369492.7050874859</c:v>
                </c:pt>
                <c:pt idx="2">
                  <c:v>422236.3561464579</c:v>
                </c:pt>
                <c:pt idx="3">
                  <c:v>521633.49715564487</c:v>
                </c:pt>
                <c:pt idx="4">
                  <c:v>537848.35568739695</c:v>
                </c:pt>
                <c:pt idx="5">
                  <c:v>582976.11102702294</c:v>
                </c:pt>
                <c:pt idx="6">
                  <c:v>620979.88597424596</c:v>
                </c:pt>
                <c:pt idx="7">
                  <c:v>620346.05421118694</c:v>
                </c:pt>
                <c:pt idx="8">
                  <c:v>619237.17915069393</c:v>
                </c:pt>
                <c:pt idx="9">
                  <c:v>615459.65715645498</c:v>
                </c:pt>
                <c:pt idx="10">
                  <c:v>618200.79064232192</c:v>
                </c:pt>
                <c:pt idx="11">
                  <c:v>622698.5244904859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C6-4D6F-91A0-B3C2A37E302A}"/>
            </c:ext>
          </c:extLst>
        </c:ser>
        <c:ser>
          <c:idx val="11"/>
          <c:order val="11"/>
          <c:tx>
            <c:strRef>
              <c:f>'vert + sloped intg uptk'!$C$18</c:f>
              <c:strCache>
                <c:ptCount val="1"/>
                <c:pt idx="0">
                  <c:v>trend123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'vert + sloped intg uptk'!$A$19:$A$30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  <c:extLst xmlns:c15="http://schemas.microsoft.com/office/drawing/2012/chart"/>
            </c:numRef>
          </c:xVal>
          <c:yVal>
            <c:numRef>
              <c:f>'vert + sloped intg uptk'!$C$19:$C$30</c:f>
              <c:numCache>
                <c:formatCode>0.00E+00</c:formatCode>
                <c:ptCount val="12"/>
                <c:pt idx="0">
                  <c:v>309521</c:v>
                </c:pt>
                <c:pt idx="1">
                  <c:v>369521</c:v>
                </c:pt>
                <c:pt idx="2">
                  <c:v>409521</c:v>
                </c:pt>
                <c:pt idx="3">
                  <c:v>509521</c:v>
                </c:pt>
                <c:pt idx="4">
                  <c:v>609521</c:v>
                </c:pt>
                <c:pt idx="5">
                  <c:v>709521</c:v>
                </c:pt>
                <c:pt idx="6">
                  <c:v>909521</c:v>
                </c:pt>
                <c:pt idx="7">
                  <c:v>1309521</c:v>
                </c:pt>
                <c:pt idx="8">
                  <c:v>1709521.0000000002</c:v>
                </c:pt>
                <c:pt idx="9">
                  <c:v>2309521</c:v>
                </c:pt>
                <c:pt idx="10">
                  <c:v>3909521</c:v>
                </c:pt>
                <c:pt idx="11">
                  <c:v>6309521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11-54C6-4D6F-91A0-B3C2A37E302A}"/>
            </c:ext>
          </c:extLst>
        </c:ser>
        <c:ser>
          <c:idx val="14"/>
          <c:order val="14"/>
          <c:tx>
            <c:strRef>
              <c:f>'vert + sloped intg uptk'!$L$17</c:f>
              <c:strCache>
                <c:ptCount val="1"/>
                <c:pt idx="0">
                  <c:v>Case 2a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'vert + sloped intg uptk'!$A$19:$A$30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'vert + sloped intg uptk'!$L$19:$L$30</c:f>
              <c:numCache>
                <c:formatCode>#,##0</c:formatCode>
                <c:ptCount val="12"/>
                <c:pt idx="0">
                  <c:v>0</c:v>
                </c:pt>
                <c:pt idx="1">
                  <c:v>384386.88498789747</c:v>
                </c:pt>
                <c:pt idx="2">
                  <c:v>460932.52148728672</c:v>
                </c:pt>
                <c:pt idx="3">
                  <c:v>599458.82997982996</c:v>
                </c:pt>
                <c:pt idx="4">
                  <c:v>628243.68876369868</c:v>
                </c:pt>
                <c:pt idx="5">
                  <c:v>825271.55014428799</c:v>
                </c:pt>
                <c:pt idx="6">
                  <c:v>973908.14117975277</c:v>
                </c:pt>
                <c:pt idx="7">
                  <c:v>1203822.4664401743</c:v>
                </c:pt>
                <c:pt idx="8">
                  <c:v>1273276.4663163493</c:v>
                </c:pt>
                <c:pt idx="9">
                  <c:v>1675295.4900580654</c:v>
                </c:pt>
                <c:pt idx="10">
                  <c:v>2826077.0794451539</c:v>
                </c:pt>
                <c:pt idx="11">
                  <c:v>5235637.2594155082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4C6-4D6F-91A0-B3C2A37E30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1002656"/>
        <c:axId val="86815051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'vert + sloped intg uptk'!$B$1</c15:sqref>
                        </c15:formulaRef>
                      </c:ext>
                    </c:extLst>
                    <c:strCache>
                      <c:ptCount val="1"/>
                      <c:pt idx="0">
                        <c:v>H2 corr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'vert + sloped intg uptk'!$A$2:$A$13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'vert + sloped intg uptk'!$B$2:$B$13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0</c:v>
                      </c:pt>
                      <c:pt idx="1">
                        <c:v>378316.59492356179</c:v>
                      </c:pt>
                      <c:pt idx="2">
                        <c:v>456564.08049371984</c:v>
                      </c:pt>
                      <c:pt idx="3">
                        <c:v>546424.75885362271</c:v>
                      </c:pt>
                      <c:pt idx="4">
                        <c:v>582993.19896917476</c:v>
                      </c:pt>
                      <c:pt idx="5">
                        <c:v>655850.01726366673</c:v>
                      </c:pt>
                      <c:pt idx="6">
                        <c:v>692757.66112320474</c:v>
                      </c:pt>
                      <c:pt idx="7">
                        <c:v>688569.2073738958</c:v>
                      </c:pt>
                      <c:pt idx="8">
                        <c:v>689095.27819479071</c:v>
                      </c:pt>
                      <c:pt idx="9">
                        <c:v>697897.10451467172</c:v>
                      </c:pt>
                      <c:pt idx="10">
                        <c:v>684252.72730500577</c:v>
                      </c:pt>
                      <c:pt idx="11">
                        <c:v>703130.31549126573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8-54C6-4D6F-91A0-B3C2A37E302A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uptk'!$D$1</c15:sqref>
                        </c15:formulaRef>
                      </c:ext>
                    </c:extLst>
                    <c:strCache>
                      <c:ptCount val="1"/>
                      <c:pt idx="0">
                        <c:v>Benzene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uptk'!$A$2:$A$13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uptk'!$E$2:$E$13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0</c:v>
                      </c:pt>
                      <c:pt idx="1">
                        <c:v>88.443560702123989</c:v>
                      </c:pt>
                      <c:pt idx="2">
                        <c:v>99.319682212585292</c:v>
                      </c:pt>
                      <c:pt idx="3">
                        <c:v>515.38094202489287</c:v>
                      </c:pt>
                      <c:pt idx="4">
                        <c:v>778.7480986484486</c:v>
                      </c:pt>
                      <c:pt idx="5">
                        <c:v>3612.9412114549659</c:v>
                      </c:pt>
                      <c:pt idx="6">
                        <c:v>5596.7653614826413</c:v>
                      </c:pt>
                      <c:pt idx="7">
                        <c:v>11200.618764440449</c:v>
                      </c:pt>
                      <c:pt idx="8">
                        <c:v>12646.767464971659</c:v>
                      </c:pt>
                      <c:pt idx="9">
                        <c:v>23988.480803216229</c:v>
                      </c:pt>
                      <c:pt idx="10">
                        <c:v>56027.682921549196</c:v>
                      </c:pt>
                      <c:pt idx="11">
                        <c:v>124221.42678498491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54C6-4D6F-91A0-B3C2A37E302A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uptk'!$G$1</c15:sqref>
                        </c15:formulaRef>
                      </c:ext>
                    </c:extLst>
                    <c:strCache>
                      <c:ptCount val="1"/>
                      <c:pt idx="0">
                        <c:v>GUA second corr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uptk'!$A$2:$A$13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uptk'!$G$2:$G$13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0</c:v>
                      </c:pt>
                      <c:pt idx="1">
                        <c:v>209.03110248878599</c:v>
                      </c:pt>
                      <c:pt idx="2">
                        <c:v>752.40722040041396</c:v>
                      </c:pt>
                      <c:pt idx="3">
                        <c:v>1312.705675017982</c:v>
                      </c:pt>
                      <c:pt idx="4">
                        <c:v>1473.8052772607921</c:v>
                      </c:pt>
                      <c:pt idx="5">
                        <c:v>2666.8549778959418</c:v>
                      </c:pt>
                      <c:pt idx="6">
                        <c:v>3674.6650334621322</c:v>
                      </c:pt>
                      <c:pt idx="7">
                        <c:v>4564.3454663684124</c:v>
                      </c:pt>
                      <c:pt idx="8">
                        <c:v>4940.4494235946422</c:v>
                      </c:pt>
                      <c:pt idx="9">
                        <c:v>5216.3827338111523</c:v>
                      </c:pt>
                      <c:pt idx="10">
                        <c:v>5565.0095271128121</c:v>
                      </c:pt>
                      <c:pt idx="11">
                        <c:v>4782.9518331509516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54C6-4D6F-91A0-B3C2A37E302A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uptk'!$H$1</c15:sqref>
                        </c15:formulaRef>
                      </c:ext>
                    </c:extLst>
                    <c:strCache>
                      <c:ptCount val="1"/>
                      <c:pt idx="0">
                        <c:v>GUA recom corr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uptk'!$A$2:$A$13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uptk'!$H$2:$H$13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0</c:v>
                      </c:pt>
                      <c:pt idx="1">
                        <c:v>122.090433262704</c:v>
                      </c:pt>
                      <c:pt idx="2">
                        <c:v>238.33380916618302</c:v>
                      </c:pt>
                      <c:pt idx="3">
                        <c:v>364.232361997488</c:v>
                      </c:pt>
                      <c:pt idx="4">
                        <c:v>293.85917548387204</c:v>
                      </c:pt>
                      <c:pt idx="5">
                        <c:v>545.60205098435301</c:v>
                      </c:pt>
                      <c:pt idx="6">
                        <c:v>670.46492434112997</c:v>
                      </c:pt>
                      <c:pt idx="7">
                        <c:v>671.41150871733191</c:v>
                      </c:pt>
                      <c:pt idx="8">
                        <c:v>836.89631799756091</c:v>
                      </c:pt>
                      <c:pt idx="9">
                        <c:v>650.43070740915994</c:v>
                      </c:pt>
                      <c:pt idx="10">
                        <c:v>602.59686992670095</c:v>
                      </c:pt>
                      <c:pt idx="11">
                        <c:v>940.88175836498101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54C6-4D6F-91A0-B3C2A37E302A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uptk'!$I$1</c15:sqref>
                        </c15:formulaRef>
                      </c:ext>
                    </c:extLst>
                    <c:strCache>
                      <c:ptCount val="1"/>
                      <c:pt idx="0">
                        <c:v>GUA second + recom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uptk'!$A$2:$A$13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uptk'!$I$2:$I$13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-1.4210854715202004E-14</c:v>
                      </c:pt>
                      <c:pt idx="1">
                        <c:v>331.12153575149</c:v>
                      </c:pt>
                      <c:pt idx="2">
                        <c:v>990.74102956659692</c:v>
                      </c:pt>
                      <c:pt idx="3">
                        <c:v>1676.9380370154699</c:v>
                      </c:pt>
                      <c:pt idx="4">
                        <c:v>1767.6644527446642</c:v>
                      </c:pt>
                      <c:pt idx="5">
                        <c:v>3212.4570288802947</c:v>
                      </c:pt>
                      <c:pt idx="6">
                        <c:v>4345.1299578032622</c:v>
                      </c:pt>
                      <c:pt idx="7">
                        <c:v>5235.7569750857438</c:v>
                      </c:pt>
                      <c:pt idx="8">
                        <c:v>5777.345741592203</c:v>
                      </c:pt>
                      <c:pt idx="9">
                        <c:v>5866.8134412203117</c:v>
                      </c:pt>
                      <c:pt idx="10">
                        <c:v>6167.6063970395126</c:v>
                      </c:pt>
                      <c:pt idx="11">
                        <c:v>5723.8335915159323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54C6-4D6F-91A0-B3C2A37E302A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uptk'!$J$1</c15:sqref>
                        </c15:formulaRef>
                      </c:ext>
                    </c:extLst>
                    <c:strCache>
                      <c:ptCount val="1"/>
                      <c:pt idx="0">
                        <c:v>GUA_total (m +s +r)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uptk'!$A$2:$A$13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uptk'!$J$2:$J$13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0</c:v>
                      </c:pt>
                      <c:pt idx="1">
                        <c:v>419.56509645361393</c:v>
                      </c:pt>
                      <c:pt idx="2">
                        <c:v>1090.0607117791824</c:v>
                      </c:pt>
                      <c:pt idx="3">
                        <c:v>2192.318979040363</c:v>
                      </c:pt>
                      <c:pt idx="4">
                        <c:v>2546.4125513931126</c:v>
                      </c:pt>
                      <c:pt idx="5">
                        <c:v>6825.3982403352602</c:v>
                      </c:pt>
                      <c:pt idx="6">
                        <c:v>9941.8953192859026</c:v>
                      </c:pt>
                      <c:pt idx="7">
                        <c:v>16436.375739526193</c:v>
                      </c:pt>
                      <c:pt idx="8">
                        <c:v>18424.113206563863</c:v>
                      </c:pt>
                      <c:pt idx="9">
                        <c:v>29855.29424443654</c:v>
                      </c:pt>
                      <c:pt idx="10">
                        <c:v>62195.289318588715</c:v>
                      </c:pt>
                      <c:pt idx="11">
                        <c:v>129945.26037650084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54C6-4D6F-91A0-B3C2A37E302A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trend1</c:v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2">
                          <a:lumMod val="60000"/>
                        </a:schemeClr>
                      </a:solidFill>
                      <a:prstDash val="sysDot"/>
                    </a:ln>
                    <a:effectLst/>
                  </c:spPr>
                  <c:trendlineType val="linear"/>
                  <c:intercept val="0"/>
                  <c:dispRSqr val="0"/>
                  <c:dispEq val="1"/>
                  <c:trendlineLbl>
                    <c:layout>
                      <c:manualLayout>
                        <c:x val="0.13337061858466925"/>
                        <c:y val="0.16322491181573393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uptk'!$A$2:$A$4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uptk'!$C$2:$C$4</c15:sqref>
                        </c15:formulaRef>
                      </c:ext>
                    </c:extLst>
                    <c:numCache>
                      <c:formatCode>#,##0</c:formatCode>
                      <c:ptCount val="3"/>
                      <c:pt idx="0">
                        <c:v>0</c:v>
                      </c:pt>
                      <c:pt idx="1">
                        <c:v>369492.7050874859</c:v>
                      </c:pt>
                      <c:pt idx="2">
                        <c:v>422236.3561464579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54C6-4D6F-91A0-B3C2A37E302A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v>trend2</c:v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3">
                          <a:lumMod val="60000"/>
                        </a:schemeClr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0.12824097940833584"/>
                        <c:y val="0.1310147996329259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uptk'!$A$3:$A$5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1.5E-3</c:v>
                      </c:pt>
                      <c:pt idx="1">
                        <c:v>2.5000000000000001E-3</c:v>
                      </c:pt>
                      <c:pt idx="2">
                        <c:v>5.0000000000000001E-3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uptk'!$C$3:$C$5</c15:sqref>
                        </c15:formulaRef>
                      </c:ext>
                    </c:extLst>
                    <c:numCache>
                      <c:formatCode>#,##0</c:formatCode>
                      <c:ptCount val="3"/>
                      <c:pt idx="0">
                        <c:v>369492.7050874859</c:v>
                      </c:pt>
                      <c:pt idx="1">
                        <c:v>422236.3561464579</c:v>
                      </c:pt>
                      <c:pt idx="2">
                        <c:v>521633.49715564487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54C6-4D6F-91A0-B3C2A37E302A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uptk'!$K$1</c15:sqref>
                        </c15:formulaRef>
                      </c:ext>
                    </c:extLst>
                    <c:strCache>
                      <c:ptCount val="1"/>
                      <c:pt idx="0">
                        <c:v>CO + GUA total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uptk'!$A$2:$A$13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uptk'!$K$2:$K$13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0</c:v>
                      </c:pt>
                      <c:pt idx="1">
                        <c:v>369912.27018393949</c:v>
                      </c:pt>
                      <c:pt idx="2">
                        <c:v>423326.41685823706</c:v>
                      </c:pt>
                      <c:pt idx="3">
                        <c:v>523825.81613468524</c:v>
                      </c:pt>
                      <c:pt idx="4">
                        <c:v>540394.7682387901</c:v>
                      </c:pt>
                      <c:pt idx="5">
                        <c:v>589801.50926735823</c:v>
                      </c:pt>
                      <c:pt idx="6">
                        <c:v>630921.78129353188</c:v>
                      </c:pt>
                      <c:pt idx="7">
                        <c:v>636782.42995071318</c:v>
                      </c:pt>
                      <c:pt idx="8">
                        <c:v>637661.2923572578</c:v>
                      </c:pt>
                      <c:pt idx="9">
                        <c:v>645314.95140089153</c:v>
                      </c:pt>
                      <c:pt idx="10">
                        <c:v>680396.0799609106</c:v>
                      </c:pt>
                      <c:pt idx="11">
                        <c:v>752643.7848669868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4C6-4D6F-91A0-B3C2A37E302A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uptk'!$B$18</c15:sqref>
                        </c15:formulaRef>
                      </c:ext>
                    </c:extLst>
                    <c:strCache>
                      <c:ptCount val="1"/>
                      <c:pt idx="0">
                        <c:v>trend012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uptk'!$A$19:$A$30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uptk'!$B$19:$B$30</c15:sqref>
                        </c15:formulaRef>
                      </c:ext>
                    </c:extLst>
                    <c:numCache>
                      <c:formatCode>0.00E+00</c:formatCode>
                      <c:ptCount val="12"/>
                      <c:pt idx="0">
                        <c:v>0</c:v>
                      </c:pt>
                      <c:pt idx="1">
                        <c:v>300000</c:v>
                      </c:pt>
                      <c:pt idx="2">
                        <c:v>500000</c:v>
                      </c:pt>
                      <c:pt idx="3">
                        <c:v>1000000</c:v>
                      </c:pt>
                      <c:pt idx="4">
                        <c:v>1500000</c:v>
                      </c:pt>
                      <c:pt idx="5">
                        <c:v>2000000</c:v>
                      </c:pt>
                      <c:pt idx="6">
                        <c:v>3000000</c:v>
                      </c:pt>
                      <c:pt idx="7">
                        <c:v>5000000</c:v>
                      </c:pt>
                      <c:pt idx="8">
                        <c:v>7000000.0000000009</c:v>
                      </c:pt>
                      <c:pt idx="9">
                        <c:v>10000000</c:v>
                      </c:pt>
                      <c:pt idx="10">
                        <c:v>18000000</c:v>
                      </c:pt>
                      <c:pt idx="11">
                        <c:v>30000000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4C6-4D6F-91A0-B3C2A37E302A}"/>
                  </c:ext>
                </c:extLst>
              </c15:ser>
            </c15:filteredScatterSeries>
            <c15:filteredScatte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uptk'!$J$17</c15:sqref>
                        </c15:formulaRef>
                      </c:ext>
                    </c:extLst>
                    <c:strCache>
                      <c:ptCount val="1"/>
                      <c:pt idx="0">
                        <c:v>Case 1a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uptk'!$A$19:$A$30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uptk'!$J$19:$J$30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0</c:v>
                      </c:pt>
                      <c:pt idx="1">
                        <c:v>476152.03940254607</c:v>
                      </c:pt>
                      <c:pt idx="2">
                        <c:v>699345.08340738318</c:v>
                      </c:pt>
                      <c:pt idx="3">
                        <c:v>1078951.7414213934</c:v>
                      </c:pt>
                      <c:pt idx="4">
                        <c:v>1185182.1542297422</c:v>
                      </c:pt>
                      <c:pt idx="5">
                        <c:v>2318088.1089093992</c:v>
                      </c:pt>
                      <c:pt idx="6">
                        <c:v>3148349.1679952587</c:v>
                      </c:pt>
                      <c:pt idx="7">
                        <c:v>4798703.3812341858</c:v>
                      </c:pt>
                      <c:pt idx="8">
                        <c:v>5302905.2596643157</c:v>
                      </c:pt>
                      <c:pt idx="9">
                        <c:v>8205094.3450931404</c:v>
                      </c:pt>
                      <c:pt idx="10">
                        <c:v>16429115.979548298</c:v>
                      </c:pt>
                      <c:pt idx="11">
                        <c:v>33656606.936571807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54C6-4D6F-91A0-B3C2A37E302A}"/>
                  </c:ext>
                </c:extLst>
              </c15:ser>
            </c15:filteredScatterSeries>
            <c15:filteredScatte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uptk'!$K$17</c15:sqref>
                        </c15:formulaRef>
                      </c:ext>
                    </c:extLst>
                    <c:strCache>
                      <c:ptCount val="1"/>
                      <c:pt idx="0">
                        <c:v>Case 1b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uptk'!$A$19:$A$30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uptk'!$K$19:$K$30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0</c:v>
                      </c:pt>
                      <c:pt idx="1">
                        <c:v>470674.61869295326</c:v>
                      </c:pt>
                      <c:pt idx="2">
                        <c:v>685114.3450359588</c:v>
                      </c:pt>
                      <c:pt idx="3">
                        <c:v>1050331.0256389577</c:v>
                      </c:pt>
                      <c:pt idx="4">
                        <c:v>1151938.7482313367</c:v>
                      </c:pt>
                      <c:pt idx="5">
                        <c:v>2228982.561310628</c:v>
                      </c:pt>
                      <c:pt idx="6">
                        <c:v>3018557.7630982576</c:v>
                      </c:pt>
                      <c:pt idx="7">
                        <c:v>4584126.5595983975</c:v>
                      </c:pt>
                      <c:pt idx="8">
                        <c:v>5062378.5330931218</c:v>
                      </c:pt>
                      <c:pt idx="9">
                        <c:v>7815333.5943354974</c:v>
                      </c:pt>
                      <c:pt idx="10">
                        <c:v>15617156.71832215</c:v>
                      </c:pt>
                      <c:pt idx="11">
                        <c:v>31960172.065521073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54C6-4D6F-91A0-B3C2A37E302A}"/>
                  </c:ext>
                </c:extLst>
              </c15:ser>
            </c15:filteredScatterSeries>
            <c15:filteredScatte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uptk'!$M$17</c15:sqref>
                        </c15:formulaRef>
                      </c:ext>
                    </c:extLst>
                    <c:strCache>
                      <c:ptCount val="1"/>
                      <c:pt idx="0">
                        <c:v>Case 2b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uptk'!$A$19:$A$30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uptk'!$M$19:$M$30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0</c:v>
                      </c:pt>
                      <c:pt idx="1">
                        <c:v>388765.48601653636</c:v>
                      </c:pt>
                      <c:pt idx="2">
                        <c:v>472308.44621081254</c:v>
                      </c:pt>
                      <c:pt idx="3">
                        <c:v>622337.97368808626</c:v>
                      </c:pt>
                      <c:pt idx="4">
                        <c:v>654818.16960376897</c:v>
                      </c:pt>
                      <c:pt idx="5">
                        <c:v>896501.72636392992</c:v>
                      </c:pt>
                      <c:pt idx="6">
                        <c:v>1077662.2271120606</c:v>
                      </c:pt>
                      <c:pt idx="7">
                        <c:v>1375353.2546980605</c:v>
                      </c:pt>
                      <c:pt idx="8">
                        <c:v>1465551.3760261913</c:v>
                      </c:pt>
                      <c:pt idx="9">
                        <c:v>1986866.7413226683</c:v>
                      </c:pt>
                      <c:pt idx="10">
                        <c:v>3475150.0363920704</c:v>
                      </c:pt>
                      <c:pt idx="11">
                        <c:v>6591752.0925143538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54C6-4D6F-91A0-B3C2A37E302A}"/>
                  </c:ext>
                </c:extLst>
              </c15:ser>
            </c15:filteredScatterSeries>
          </c:ext>
        </c:extLst>
      </c:scatterChart>
      <c:scatterChart>
        <c:scatterStyle val="lineMarker"/>
        <c:varyColors val="0"/>
        <c:ser>
          <c:idx val="16"/>
          <c:order val="16"/>
          <c:tx>
            <c:strRef>
              <c:f>'vert + sloped intg uptk'!$O$18</c:f>
              <c:strCache>
                <c:ptCount val="1"/>
                <c:pt idx="0">
                  <c:v>θGUA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'vert + sloped intg uptk'!$R$19:$R$30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'vert + sloped intg uptk'!$O$19:$O$30</c:f>
              <c:numCache>
                <c:formatCode>0.000</c:formatCode>
                <c:ptCount val="12"/>
                <c:pt idx="0">
                  <c:v>0</c:v>
                </c:pt>
                <c:pt idx="1">
                  <c:v>6.5672694237208201E-2</c:v>
                </c:pt>
                <c:pt idx="2">
                  <c:v>7.8750555052295959E-2</c:v>
                </c:pt>
                <c:pt idx="3">
                  <c:v>0.10241784511014068</c:v>
                </c:pt>
                <c:pt idx="4">
                  <c:v>0.10733575283124762</c:v>
                </c:pt>
                <c:pt idx="5">
                  <c:v>0.14099806286834962</c:v>
                </c:pt>
                <c:pt idx="6">
                  <c:v>0.1663926998259565</c:v>
                </c:pt>
                <c:pt idx="7">
                  <c:v>0.20567367889488877</c:v>
                </c:pt>
                <c:pt idx="8">
                  <c:v>0.21753992999646515</c:v>
                </c:pt>
                <c:pt idx="9">
                  <c:v>0.28622508408168307</c:v>
                </c:pt>
                <c:pt idx="10">
                  <c:v>0.48283670223303132</c:v>
                </c:pt>
                <c:pt idx="11">
                  <c:v>0.89451128095943022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DCE-438B-B89C-FDB146A33719}"/>
            </c:ext>
          </c:extLst>
        </c:ser>
        <c:ser>
          <c:idx val="17"/>
          <c:order val="17"/>
          <c:tx>
            <c:strRef>
              <c:f>'vert + sloped intg uptk'!$V$18</c:f>
              <c:strCache>
                <c:ptCount val="1"/>
                <c:pt idx="0">
                  <c:v>θGUA_multi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'vert + sloped intg uptk'!$R$19:$R$30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'vert + sloped intg uptk'!$V$19:$V$30</c:f>
              <c:numCache>
                <c:formatCode>0.000</c:formatCode>
                <c:ptCount val="12"/>
                <c:pt idx="0" formatCode="General">
                  <c:v>0</c:v>
                </c:pt>
                <c:pt idx="1">
                  <c:v>5.3641354300542439E-4</c:v>
                </c:pt>
                <c:pt idx="2">
                  <c:v>6.0237763159784528E-4</c:v>
                </c:pt>
                <c:pt idx="3">
                  <c:v>3.1258049191410136E-3</c:v>
                </c:pt>
                <c:pt idx="4">
                  <c:v>4.7231366917899328E-3</c:v>
                </c:pt>
                <c:pt idx="5">
                  <c:v>2.1912625187424484E-2</c:v>
                </c:pt>
                <c:pt idx="6">
                  <c:v>3.3944593739664311E-2</c:v>
                </c:pt>
                <c:pt idx="7">
                  <c:v>6.7932176719138496E-2</c:v>
                </c:pt>
                <c:pt idx="8">
                  <c:v>7.6703123320636044E-2</c:v>
                </c:pt>
                <c:pt idx="9">
                  <c:v>0.14549104396994056</c:v>
                </c:pt>
                <c:pt idx="10">
                  <c:v>0.33981001741386202</c:v>
                </c:pt>
                <c:pt idx="11">
                  <c:v>0.75340765489242056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DCE-438B-B89C-FDB146A33719}"/>
            </c:ext>
          </c:extLst>
        </c:ser>
        <c:ser>
          <c:idx val="18"/>
          <c:order val="18"/>
          <c:tx>
            <c:strRef>
              <c:f>'vert + sloped intg uptk'!$W$18</c:f>
              <c:strCache>
                <c:ptCount val="1"/>
                <c:pt idx="0">
                  <c:v>θGUA_chemi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'vert + sloped intg uptk'!$R$19:$R$30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'vert + sloped intg uptk'!$W$19:$W$30</c:f>
              <c:numCache>
                <c:formatCode>0.000</c:formatCode>
                <c:ptCount val="12"/>
                <c:pt idx="0" formatCode="General">
                  <c:v>0</c:v>
                </c:pt>
                <c:pt idx="1">
                  <c:v>1.2677815478504013E-3</c:v>
                </c:pt>
                <c:pt idx="2">
                  <c:v>4.5633782682853556E-3</c:v>
                </c:pt>
                <c:pt idx="3">
                  <c:v>7.961609601306029E-3</c:v>
                </c:pt>
                <c:pt idx="4">
                  <c:v>8.9386847860883061E-3</c:v>
                </c:pt>
                <c:pt idx="5">
                  <c:v>1.6174576374110867E-2</c:v>
                </c:pt>
                <c:pt idx="6">
                  <c:v>2.2286982503975906E-2</c:v>
                </c:pt>
                <c:pt idx="7">
                  <c:v>2.7682928001525241E-2</c:v>
                </c:pt>
                <c:pt idx="8">
                  <c:v>2.9964012736609161E-2</c:v>
                </c:pt>
                <c:pt idx="9">
                  <c:v>3.1637558706393919E-2</c:v>
                </c:pt>
                <c:pt idx="10">
                  <c:v>3.3751993402339753E-2</c:v>
                </c:pt>
                <c:pt idx="11">
                  <c:v>2.900878388971485E-2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DCE-438B-B89C-FDB146A33719}"/>
            </c:ext>
          </c:extLst>
        </c:ser>
        <c:ser>
          <c:idx val="19"/>
          <c:order val="19"/>
          <c:tx>
            <c:strRef>
              <c:f>'vert + sloped intg uptk'!$X$18</c:f>
              <c:strCache>
                <c:ptCount val="1"/>
                <c:pt idx="0">
                  <c:v>θGUA_recomb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'vert + sloped intg uptk'!$R$19:$R$30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'vert + sloped intg uptk'!$X$19:$X$30</c:f>
              <c:numCache>
                <c:formatCode>0.000</c:formatCode>
                <c:ptCount val="12"/>
                <c:pt idx="0" formatCode="General">
                  <c:v>0</c:v>
                </c:pt>
                <c:pt idx="1">
                  <c:v>7.4048309852750636E-4</c:v>
                </c:pt>
                <c:pt idx="2">
                  <c:v>1.445503572876173E-3</c:v>
                </c:pt>
                <c:pt idx="3">
                  <c:v>2.2090830607141617E-3</c:v>
                </c:pt>
                <c:pt idx="4">
                  <c:v>1.7822670210763127E-3</c:v>
                </c:pt>
                <c:pt idx="5">
                  <c:v>3.3090970887665145E-3</c:v>
                </c:pt>
                <c:pt idx="6">
                  <c:v>4.0663951413938528E-3</c:v>
                </c:pt>
                <c:pt idx="7">
                  <c:v>4.0721362114611494E-3</c:v>
                </c:pt>
                <c:pt idx="8">
                  <c:v>5.0758078428934728E-3</c:v>
                </c:pt>
                <c:pt idx="9">
                  <c:v>3.9448868574611011E-3</c:v>
                </c:pt>
                <c:pt idx="10">
                  <c:v>3.6547728227499764E-3</c:v>
                </c:pt>
                <c:pt idx="11">
                  <c:v>5.7064834742865866E-3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DCE-438B-B89C-FDB146A337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6271359"/>
        <c:axId val="706257967"/>
      </c:scatterChart>
      <c:valAx>
        <c:axId val="881002656"/>
        <c:scaling>
          <c:orientation val="minMax"/>
          <c:max val="3.0000000000000006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Langmuir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8150512"/>
        <c:crosses val="autoZero"/>
        <c:crossBetween val="midCat"/>
      </c:valAx>
      <c:valAx>
        <c:axId val="868150512"/>
        <c:scaling>
          <c:orientation val="minMax"/>
          <c:max val="15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002656"/>
        <c:crosses val="autoZero"/>
        <c:crossBetween val="midCat"/>
        <c:dispUnits>
          <c:builtInUnit val="hundred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706257967"/>
        <c:scaling>
          <c:orientation val="minMax"/>
          <c:max val="0.51255151999999993"/>
          <c:min val="0"/>
        </c:scaling>
        <c:delete val="0"/>
        <c:axPos val="r"/>
        <c:numFmt formatCode="0.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271359"/>
        <c:crosses val="max"/>
        <c:crossBetween val="midCat"/>
      </c:valAx>
      <c:valAx>
        <c:axId val="70627135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062579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Case 2b:</a:t>
            </a:r>
          </a:p>
          <a:p>
            <a:pPr>
              <a:defRPr/>
            </a:pPr>
            <a:r>
              <a:rPr lang="en-US"/>
              <a:t>1,2,3</a:t>
            </a:r>
            <a:r>
              <a:rPr lang="en-US" baseline="0"/>
              <a:t> whole range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'vert + sloped intg uptk'!$C$1</c:f>
              <c:strCache>
                <c:ptCount val="1"/>
                <c:pt idx="0">
                  <c:v>CO corr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'vert + sloped intg uptk'!$A$2:$A$13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'vert + sloped intg uptk'!$C$2:$C$13</c:f>
              <c:numCache>
                <c:formatCode>#,##0</c:formatCode>
                <c:ptCount val="12"/>
                <c:pt idx="0">
                  <c:v>0</c:v>
                </c:pt>
                <c:pt idx="1">
                  <c:v>369492.7050874859</c:v>
                </c:pt>
                <c:pt idx="2">
                  <c:v>422236.3561464579</c:v>
                </c:pt>
                <c:pt idx="3">
                  <c:v>521633.49715564487</c:v>
                </c:pt>
                <c:pt idx="4">
                  <c:v>537848.35568739695</c:v>
                </c:pt>
                <c:pt idx="5">
                  <c:v>582976.11102702294</c:v>
                </c:pt>
                <c:pt idx="6">
                  <c:v>620979.88597424596</c:v>
                </c:pt>
                <c:pt idx="7">
                  <c:v>620346.05421118694</c:v>
                </c:pt>
                <c:pt idx="8">
                  <c:v>619237.17915069393</c:v>
                </c:pt>
                <c:pt idx="9">
                  <c:v>615459.65715645498</c:v>
                </c:pt>
                <c:pt idx="10">
                  <c:v>618200.79064232192</c:v>
                </c:pt>
                <c:pt idx="11">
                  <c:v>622698.5244904859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D9-43B6-AE65-3133EA9121F5}"/>
            </c:ext>
          </c:extLst>
        </c:ser>
        <c:ser>
          <c:idx val="6"/>
          <c:order val="6"/>
          <c:tx>
            <c:strRef>
              <c:f>'vert + sloped intg uptk'!$J$1</c:f>
              <c:strCache>
                <c:ptCount val="1"/>
                <c:pt idx="0">
                  <c:v>GUA_total (m +s +r)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'vert + sloped intg uptk'!$A$2:$A$13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'vert + sloped intg uptk'!$J$2:$J$13</c:f>
              <c:numCache>
                <c:formatCode>#,##0</c:formatCode>
                <c:ptCount val="12"/>
                <c:pt idx="0">
                  <c:v>0</c:v>
                </c:pt>
                <c:pt idx="1">
                  <c:v>419.56509645361393</c:v>
                </c:pt>
                <c:pt idx="2">
                  <c:v>1090.0607117791824</c:v>
                </c:pt>
                <c:pt idx="3">
                  <c:v>2192.318979040363</c:v>
                </c:pt>
                <c:pt idx="4">
                  <c:v>2546.4125513931126</c:v>
                </c:pt>
                <c:pt idx="5">
                  <c:v>6825.3982403352602</c:v>
                </c:pt>
                <c:pt idx="6">
                  <c:v>9941.8953192859026</c:v>
                </c:pt>
                <c:pt idx="7">
                  <c:v>16436.375739526193</c:v>
                </c:pt>
                <c:pt idx="8">
                  <c:v>18424.113206563863</c:v>
                </c:pt>
                <c:pt idx="9">
                  <c:v>29855.29424443654</c:v>
                </c:pt>
                <c:pt idx="10">
                  <c:v>62195.289318588715</c:v>
                </c:pt>
                <c:pt idx="11">
                  <c:v>129945.26037650084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D9-43B6-AE65-3133EA9121F5}"/>
            </c:ext>
          </c:extLst>
        </c:ser>
        <c:ser>
          <c:idx val="9"/>
          <c:order val="9"/>
          <c:tx>
            <c:strRef>
              <c:f>'vert + sloped intg uptk'!$K$1</c:f>
              <c:strCache>
                <c:ptCount val="1"/>
                <c:pt idx="0">
                  <c:v>CO + GUA total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'vert + sloped intg uptk'!$A$2:$A$13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'vert + sloped intg uptk'!$K$2:$K$13</c:f>
              <c:numCache>
                <c:formatCode>#,##0</c:formatCode>
                <c:ptCount val="12"/>
                <c:pt idx="0">
                  <c:v>0</c:v>
                </c:pt>
                <c:pt idx="1">
                  <c:v>369912.27018393949</c:v>
                </c:pt>
                <c:pt idx="2">
                  <c:v>423326.41685823706</c:v>
                </c:pt>
                <c:pt idx="3">
                  <c:v>523825.81613468524</c:v>
                </c:pt>
                <c:pt idx="4">
                  <c:v>540394.7682387901</c:v>
                </c:pt>
                <c:pt idx="5">
                  <c:v>589801.50926735823</c:v>
                </c:pt>
                <c:pt idx="6">
                  <c:v>630921.78129353188</c:v>
                </c:pt>
                <c:pt idx="7">
                  <c:v>636782.42995071318</c:v>
                </c:pt>
                <c:pt idx="8">
                  <c:v>637661.2923572578</c:v>
                </c:pt>
                <c:pt idx="9">
                  <c:v>645314.95140089153</c:v>
                </c:pt>
                <c:pt idx="10">
                  <c:v>680396.0799609106</c:v>
                </c:pt>
                <c:pt idx="11">
                  <c:v>752643.7848669868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1D9-43B6-AE65-3133EA9121F5}"/>
            </c:ext>
          </c:extLst>
        </c:ser>
        <c:ser>
          <c:idx val="11"/>
          <c:order val="11"/>
          <c:tx>
            <c:strRef>
              <c:f>'vert + sloped intg uptk'!$C$18</c:f>
              <c:strCache>
                <c:ptCount val="1"/>
                <c:pt idx="0">
                  <c:v>trend123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'vert + sloped intg uptk'!$A$19:$A$30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  <c:extLst xmlns:c15="http://schemas.microsoft.com/office/drawing/2012/chart"/>
            </c:numRef>
          </c:xVal>
          <c:yVal>
            <c:numRef>
              <c:f>'vert + sloped intg uptk'!$C$19:$C$30</c:f>
              <c:numCache>
                <c:formatCode>0.00E+00</c:formatCode>
                <c:ptCount val="12"/>
                <c:pt idx="0">
                  <c:v>309521</c:v>
                </c:pt>
                <c:pt idx="1">
                  <c:v>369521</c:v>
                </c:pt>
                <c:pt idx="2">
                  <c:v>409521</c:v>
                </c:pt>
                <c:pt idx="3">
                  <c:v>509521</c:v>
                </c:pt>
                <c:pt idx="4">
                  <c:v>609521</c:v>
                </c:pt>
                <c:pt idx="5">
                  <c:v>709521</c:v>
                </c:pt>
                <c:pt idx="6">
                  <c:v>909521</c:v>
                </c:pt>
                <c:pt idx="7">
                  <c:v>1309521</c:v>
                </c:pt>
                <c:pt idx="8">
                  <c:v>1709521.0000000002</c:v>
                </c:pt>
                <c:pt idx="9">
                  <c:v>2309521</c:v>
                </c:pt>
                <c:pt idx="10">
                  <c:v>3909521</c:v>
                </c:pt>
                <c:pt idx="11">
                  <c:v>6309521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11-B1D9-43B6-AE65-3133EA9121F5}"/>
            </c:ext>
          </c:extLst>
        </c:ser>
        <c:ser>
          <c:idx val="15"/>
          <c:order val="15"/>
          <c:tx>
            <c:strRef>
              <c:f>'vert + sloped intg uptk'!$M$17</c:f>
              <c:strCache>
                <c:ptCount val="1"/>
                <c:pt idx="0">
                  <c:v>Case 2b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'vert + sloped intg uptk'!$A$19:$A$30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'vert + sloped intg uptk'!$M$19:$M$30</c:f>
              <c:numCache>
                <c:formatCode>#,##0</c:formatCode>
                <c:ptCount val="12"/>
                <c:pt idx="0">
                  <c:v>0</c:v>
                </c:pt>
                <c:pt idx="1">
                  <c:v>388765.48601653636</c:v>
                </c:pt>
                <c:pt idx="2">
                  <c:v>472308.44621081254</c:v>
                </c:pt>
                <c:pt idx="3">
                  <c:v>622337.97368808626</c:v>
                </c:pt>
                <c:pt idx="4">
                  <c:v>654818.16960376897</c:v>
                </c:pt>
                <c:pt idx="5">
                  <c:v>896501.72636392992</c:v>
                </c:pt>
                <c:pt idx="6">
                  <c:v>1077662.2271120606</c:v>
                </c:pt>
                <c:pt idx="7">
                  <c:v>1375353.2546980605</c:v>
                </c:pt>
                <c:pt idx="8">
                  <c:v>1465551.3760261913</c:v>
                </c:pt>
                <c:pt idx="9">
                  <c:v>1986866.7413226683</c:v>
                </c:pt>
                <c:pt idx="10">
                  <c:v>3475150.0363920704</c:v>
                </c:pt>
                <c:pt idx="11">
                  <c:v>6591752.0925143538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1D9-43B6-AE65-3133EA9121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1002656"/>
        <c:axId val="86815051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'vert + sloped intg uptk'!$B$1</c15:sqref>
                        </c15:formulaRef>
                      </c:ext>
                    </c:extLst>
                    <c:strCache>
                      <c:ptCount val="1"/>
                      <c:pt idx="0">
                        <c:v>H2 corr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'vert + sloped intg uptk'!$A$2:$A$13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'vert + sloped intg uptk'!$B$2:$B$13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0</c:v>
                      </c:pt>
                      <c:pt idx="1">
                        <c:v>378316.59492356179</c:v>
                      </c:pt>
                      <c:pt idx="2">
                        <c:v>456564.08049371984</c:v>
                      </c:pt>
                      <c:pt idx="3">
                        <c:v>546424.75885362271</c:v>
                      </c:pt>
                      <c:pt idx="4">
                        <c:v>582993.19896917476</c:v>
                      </c:pt>
                      <c:pt idx="5">
                        <c:v>655850.01726366673</c:v>
                      </c:pt>
                      <c:pt idx="6">
                        <c:v>692757.66112320474</c:v>
                      </c:pt>
                      <c:pt idx="7">
                        <c:v>688569.2073738958</c:v>
                      </c:pt>
                      <c:pt idx="8">
                        <c:v>689095.27819479071</c:v>
                      </c:pt>
                      <c:pt idx="9">
                        <c:v>697897.10451467172</c:v>
                      </c:pt>
                      <c:pt idx="10">
                        <c:v>684252.72730500577</c:v>
                      </c:pt>
                      <c:pt idx="11">
                        <c:v>703130.31549126573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8-B1D9-43B6-AE65-3133EA9121F5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uptk'!$D$1</c15:sqref>
                        </c15:formulaRef>
                      </c:ext>
                    </c:extLst>
                    <c:strCache>
                      <c:ptCount val="1"/>
                      <c:pt idx="0">
                        <c:v>Benzene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uptk'!$A$2:$A$13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uptk'!$E$2:$E$13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0</c:v>
                      </c:pt>
                      <c:pt idx="1">
                        <c:v>88.443560702123989</c:v>
                      </c:pt>
                      <c:pt idx="2">
                        <c:v>99.319682212585292</c:v>
                      </c:pt>
                      <c:pt idx="3">
                        <c:v>515.38094202489287</c:v>
                      </c:pt>
                      <c:pt idx="4">
                        <c:v>778.7480986484486</c:v>
                      </c:pt>
                      <c:pt idx="5">
                        <c:v>3612.9412114549659</c:v>
                      </c:pt>
                      <c:pt idx="6">
                        <c:v>5596.7653614826413</c:v>
                      </c:pt>
                      <c:pt idx="7">
                        <c:v>11200.618764440449</c:v>
                      </c:pt>
                      <c:pt idx="8">
                        <c:v>12646.767464971659</c:v>
                      </c:pt>
                      <c:pt idx="9">
                        <c:v>23988.480803216229</c:v>
                      </c:pt>
                      <c:pt idx="10">
                        <c:v>56027.682921549196</c:v>
                      </c:pt>
                      <c:pt idx="11">
                        <c:v>124221.42678498491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B1D9-43B6-AE65-3133EA9121F5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uptk'!$G$1</c15:sqref>
                        </c15:formulaRef>
                      </c:ext>
                    </c:extLst>
                    <c:strCache>
                      <c:ptCount val="1"/>
                      <c:pt idx="0">
                        <c:v>GUA second corr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uptk'!$A$2:$A$13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uptk'!$G$2:$G$13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0</c:v>
                      </c:pt>
                      <c:pt idx="1">
                        <c:v>209.03110248878599</c:v>
                      </c:pt>
                      <c:pt idx="2">
                        <c:v>752.40722040041396</c:v>
                      </c:pt>
                      <c:pt idx="3">
                        <c:v>1312.705675017982</c:v>
                      </c:pt>
                      <c:pt idx="4">
                        <c:v>1473.8052772607921</c:v>
                      </c:pt>
                      <c:pt idx="5">
                        <c:v>2666.8549778959418</c:v>
                      </c:pt>
                      <c:pt idx="6">
                        <c:v>3674.6650334621322</c:v>
                      </c:pt>
                      <c:pt idx="7">
                        <c:v>4564.3454663684124</c:v>
                      </c:pt>
                      <c:pt idx="8">
                        <c:v>4940.4494235946422</c:v>
                      </c:pt>
                      <c:pt idx="9">
                        <c:v>5216.3827338111523</c:v>
                      </c:pt>
                      <c:pt idx="10">
                        <c:v>5565.0095271128121</c:v>
                      </c:pt>
                      <c:pt idx="11">
                        <c:v>4782.9518331509516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B1D9-43B6-AE65-3133EA9121F5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uptk'!$H$1</c15:sqref>
                        </c15:formulaRef>
                      </c:ext>
                    </c:extLst>
                    <c:strCache>
                      <c:ptCount val="1"/>
                      <c:pt idx="0">
                        <c:v>GUA recom corr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uptk'!$A$2:$A$13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uptk'!$H$2:$H$13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0</c:v>
                      </c:pt>
                      <c:pt idx="1">
                        <c:v>122.090433262704</c:v>
                      </c:pt>
                      <c:pt idx="2">
                        <c:v>238.33380916618302</c:v>
                      </c:pt>
                      <c:pt idx="3">
                        <c:v>364.232361997488</c:v>
                      </c:pt>
                      <c:pt idx="4">
                        <c:v>293.85917548387204</c:v>
                      </c:pt>
                      <c:pt idx="5">
                        <c:v>545.60205098435301</c:v>
                      </c:pt>
                      <c:pt idx="6">
                        <c:v>670.46492434112997</c:v>
                      </c:pt>
                      <c:pt idx="7">
                        <c:v>671.41150871733191</c:v>
                      </c:pt>
                      <c:pt idx="8">
                        <c:v>836.89631799756091</c:v>
                      </c:pt>
                      <c:pt idx="9">
                        <c:v>650.43070740915994</c:v>
                      </c:pt>
                      <c:pt idx="10">
                        <c:v>602.59686992670095</c:v>
                      </c:pt>
                      <c:pt idx="11">
                        <c:v>940.88175836498101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B1D9-43B6-AE65-3133EA9121F5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uptk'!$I$1</c15:sqref>
                        </c15:formulaRef>
                      </c:ext>
                    </c:extLst>
                    <c:strCache>
                      <c:ptCount val="1"/>
                      <c:pt idx="0">
                        <c:v>GUA second + recom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uptk'!$A$2:$A$13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uptk'!$I$2:$I$13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-1.4210854715202004E-14</c:v>
                      </c:pt>
                      <c:pt idx="1">
                        <c:v>331.12153575149</c:v>
                      </c:pt>
                      <c:pt idx="2">
                        <c:v>990.74102956659692</c:v>
                      </c:pt>
                      <c:pt idx="3">
                        <c:v>1676.9380370154699</c:v>
                      </c:pt>
                      <c:pt idx="4">
                        <c:v>1767.6644527446642</c:v>
                      </c:pt>
                      <c:pt idx="5">
                        <c:v>3212.4570288802947</c:v>
                      </c:pt>
                      <c:pt idx="6">
                        <c:v>4345.1299578032622</c:v>
                      </c:pt>
                      <c:pt idx="7">
                        <c:v>5235.7569750857438</c:v>
                      </c:pt>
                      <c:pt idx="8">
                        <c:v>5777.345741592203</c:v>
                      </c:pt>
                      <c:pt idx="9">
                        <c:v>5866.8134412203117</c:v>
                      </c:pt>
                      <c:pt idx="10">
                        <c:v>6167.6063970395126</c:v>
                      </c:pt>
                      <c:pt idx="11">
                        <c:v>5723.8335915159323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B1D9-43B6-AE65-3133EA9121F5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trend1</c:v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2">
                          <a:lumMod val="60000"/>
                        </a:schemeClr>
                      </a:solidFill>
                      <a:prstDash val="sysDot"/>
                    </a:ln>
                    <a:effectLst/>
                  </c:spPr>
                  <c:trendlineType val="linear"/>
                  <c:intercept val="0"/>
                  <c:dispRSqr val="0"/>
                  <c:dispEq val="1"/>
                  <c:trendlineLbl>
                    <c:layout>
                      <c:manualLayout>
                        <c:x val="0.13337061858466925"/>
                        <c:y val="0.16322491181573393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uptk'!$A$2:$A$4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uptk'!$C$2:$C$4</c15:sqref>
                        </c15:formulaRef>
                      </c:ext>
                    </c:extLst>
                    <c:numCache>
                      <c:formatCode>#,##0</c:formatCode>
                      <c:ptCount val="3"/>
                      <c:pt idx="0">
                        <c:v>0</c:v>
                      </c:pt>
                      <c:pt idx="1">
                        <c:v>369492.7050874859</c:v>
                      </c:pt>
                      <c:pt idx="2">
                        <c:v>422236.3561464579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B1D9-43B6-AE65-3133EA9121F5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v>trend2</c:v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3">
                          <a:lumMod val="60000"/>
                        </a:schemeClr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0.12824097940833584"/>
                        <c:y val="0.1310147996329259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uptk'!$A$3:$A$5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1.5E-3</c:v>
                      </c:pt>
                      <c:pt idx="1">
                        <c:v>2.5000000000000001E-3</c:v>
                      </c:pt>
                      <c:pt idx="2">
                        <c:v>5.0000000000000001E-3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uptk'!$C$3:$C$5</c15:sqref>
                        </c15:formulaRef>
                      </c:ext>
                    </c:extLst>
                    <c:numCache>
                      <c:formatCode>#,##0</c:formatCode>
                      <c:ptCount val="3"/>
                      <c:pt idx="0">
                        <c:v>369492.7050874859</c:v>
                      </c:pt>
                      <c:pt idx="1">
                        <c:v>422236.3561464579</c:v>
                      </c:pt>
                      <c:pt idx="2">
                        <c:v>521633.49715564487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B1D9-43B6-AE65-3133EA9121F5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uptk'!$B$18</c15:sqref>
                        </c15:formulaRef>
                      </c:ext>
                    </c:extLst>
                    <c:strCache>
                      <c:ptCount val="1"/>
                      <c:pt idx="0">
                        <c:v>trend012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uptk'!$A$19:$A$30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uptk'!$B$19:$B$30</c15:sqref>
                        </c15:formulaRef>
                      </c:ext>
                    </c:extLst>
                    <c:numCache>
                      <c:formatCode>0.00E+00</c:formatCode>
                      <c:ptCount val="12"/>
                      <c:pt idx="0">
                        <c:v>0</c:v>
                      </c:pt>
                      <c:pt idx="1">
                        <c:v>300000</c:v>
                      </c:pt>
                      <c:pt idx="2">
                        <c:v>500000</c:v>
                      </c:pt>
                      <c:pt idx="3">
                        <c:v>1000000</c:v>
                      </c:pt>
                      <c:pt idx="4">
                        <c:v>1500000</c:v>
                      </c:pt>
                      <c:pt idx="5">
                        <c:v>2000000</c:v>
                      </c:pt>
                      <c:pt idx="6">
                        <c:v>3000000</c:v>
                      </c:pt>
                      <c:pt idx="7">
                        <c:v>5000000</c:v>
                      </c:pt>
                      <c:pt idx="8">
                        <c:v>7000000.0000000009</c:v>
                      </c:pt>
                      <c:pt idx="9">
                        <c:v>10000000</c:v>
                      </c:pt>
                      <c:pt idx="10">
                        <c:v>18000000</c:v>
                      </c:pt>
                      <c:pt idx="11">
                        <c:v>30000000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1D9-43B6-AE65-3133EA9121F5}"/>
                  </c:ext>
                </c:extLst>
              </c15:ser>
            </c15:filteredScatterSeries>
            <c15:filteredScatte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uptk'!$J$17</c15:sqref>
                        </c15:formulaRef>
                      </c:ext>
                    </c:extLst>
                    <c:strCache>
                      <c:ptCount val="1"/>
                      <c:pt idx="0">
                        <c:v>Case 1a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uptk'!$A$19:$A$30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uptk'!$J$19:$J$30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0</c:v>
                      </c:pt>
                      <c:pt idx="1">
                        <c:v>476152.03940254607</c:v>
                      </c:pt>
                      <c:pt idx="2">
                        <c:v>699345.08340738318</c:v>
                      </c:pt>
                      <c:pt idx="3">
                        <c:v>1078951.7414213934</c:v>
                      </c:pt>
                      <c:pt idx="4">
                        <c:v>1185182.1542297422</c:v>
                      </c:pt>
                      <c:pt idx="5">
                        <c:v>2318088.1089093992</c:v>
                      </c:pt>
                      <c:pt idx="6">
                        <c:v>3148349.1679952587</c:v>
                      </c:pt>
                      <c:pt idx="7">
                        <c:v>4798703.3812341858</c:v>
                      </c:pt>
                      <c:pt idx="8">
                        <c:v>5302905.2596643157</c:v>
                      </c:pt>
                      <c:pt idx="9">
                        <c:v>8205094.3450931404</c:v>
                      </c:pt>
                      <c:pt idx="10">
                        <c:v>16429115.979548298</c:v>
                      </c:pt>
                      <c:pt idx="11">
                        <c:v>33656606.936571807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B1D9-43B6-AE65-3133EA9121F5}"/>
                  </c:ext>
                </c:extLst>
              </c15:ser>
            </c15:filteredScatterSeries>
            <c15:filteredScatte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uptk'!$K$17</c15:sqref>
                        </c15:formulaRef>
                      </c:ext>
                    </c:extLst>
                    <c:strCache>
                      <c:ptCount val="1"/>
                      <c:pt idx="0">
                        <c:v>Case 1b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uptk'!$A$19:$A$30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uptk'!$K$19:$K$30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0</c:v>
                      </c:pt>
                      <c:pt idx="1">
                        <c:v>470674.61869295326</c:v>
                      </c:pt>
                      <c:pt idx="2">
                        <c:v>685114.3450359588</c:v>
                      </c:pt>
                      <c:pt idx="3">
                        <c:v>1050331.0256389577</c:v>
                      </c:pt>
                      <c:pt idx="4">
                        <c:v>1151938.7482313367</c:v>
                      </c:pt>
                      <c:pt idx="5">
                        <c:v>2228982.561310628</c:v>
                      </c:pt>
                      <c:pt idx="6">
                        <c:v>3018557.7630982576</c:v>
                      </c:pt>
                      <c:pt idx="7">
                        <c:v>4584126.5595983975</c:v>
                      </c:pt>
                      <c:pt idx="8">
                        <c:v>5062378.5330931218</c:v>
                      </c:pt>
                      <c:pt idx="9">
                        <c:v>7815333.5943354974</c:v>
                      </c:pt>
                      <c:pt idx="10">
                        <c:v>15617156.71832215</c:v>
                      </c:pt>
                      <c:pt idx="11">
                        <c:v>31960172.065521073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B1D9-43B6-AE65-3133EA9121F5}"/>
                  </c:ext>
                </c:extLst>
              </c15:ser>
            </c15:filteredScatterSeries>
            <c15:filteredScatte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uptk'!$L$17</c15:sqref>
                        </c15:formulaRef>
                      </c:ext>
                    </c:extLst>
                    <c:strCache>
                      <c:ptCount val="1"/>
                      <c:pt idx="0">
                        <c:v>Case 2a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uptk'!$A$19:$A$30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uptk'!$L$19:$L$30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0</c:v>
                      </c:pt>
                      <c:pt idx="1">
                        <c:v>384386.88498789747</c:v>
                      </c:pt>
                      <c:pt idx="2">
                        <c:v>460932.52148728672</c:v>
                      </c:pt>
                      <c:pt idx="3">
                        <c:v>599458.82997982996</c:v>
                      </c:pt>
                      <c:pt idx="4">
                        <c:v>628243.68876369868</c:v>
                      </c:pt>
                      <c:pt idx="5">
                        <c:v>825271.55014428799</c:v>
                      </c:pt>
                      <c:pt idx="6">
                        <c:v>973908.14117975277</c:v>
                      </c:pt>
                      <c:pt idx="7">
                        <c:v>1203822.4664401743</c:v>
                      </c:pt>
                      <c:pt idx="8">
                        <c:v>1273276.4663163493</c:v>
                      </c:pt>
                      <c:pt idx="9">
                        <c:v>1675295.4900580654</c:v>
                      </c:pt>
                      <c:pt idx="10">
                        <c:v>2826077.0794451539</c:v>
                      </c:pt>
                      <c:pt idx="11">
                        <c:v>5235637.2594155082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B1D9-43B6-AE65-3133EA9121F5}"/>
                  </c:ext>
                </c:extLst>
              </c15:ser>
            </c15:filteredScatterSeries>
          </c:ext>
        </c:extLst>
      </c:scatterChart>
      <c:valAx>
        <c:axId val="881002656"/>
        <c:scaling>
          <c:orientation val="minMax"/>
          <c:max val="3.0000000000000006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Langmuir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8150512"/>
        <c:crosses val="autoZero"/>
        <c:crossBetween val="midCat"/>
      </c:valAx>
      <c:valAx>
        <c:axId val="868150512"/>
        <c:scaling>
          <c:orientation val="minMax"/>
          <c:max val="15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002656"/>
        <c:crosses val="autoZero"/>
        <c:crossBetween val="midCat"/>
        <c:dispUnits>
          <c:builtInUnit val="hundred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[1]Sheet1!$B$3</c:f>
              <c:strCache>
                <c:ptCount val="1"/>
                <c:pt idx="0">
                  <c:v>748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[1]Sheet1!$C$2:$F$2</c:f>
              <c:strCache>
                <c:ptCount val="4"/>
                <c:pt idx="0">
                  <c:v>big dose</c:v>
                </c:pt>
                <c:pt idx="1">
                  <c:v>100 K</c:v>
                </c:pt>
                <c:pt idx="2">
                  <c:v>191</c:v>
                </c:pt>
                <c:pt idx="3">
                  <c:v>249</c:v>
                </c:pt>
              </c:strCache>
            </c:strRef>
          </c:xVal>
          <c:yVal>
            <c:numRef>
              <c:f>[1]Sheet1!$C$3:$F$3</c:f>
              <c:numCache>
                <c:formatCode>General</c:formatCode>
                <c:ptCount val="4"/>
                <c:pt idx="0">
                  <c:v>0.32591093117408909</c:v>
                </c:pt>
                <c:pt idx="1">
                  <c:v>0.32603950103950102</c:v>
                </c:pt>
                <c:pt idx="2">
                  <c:v>0.24724108658743638</c:v>
                </c:pt>
                <c:pt idx="3">
                  <c:v>1.1324125506680678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F4-4F5D-A850-4A3CD1872F3C}"/>
            </c:ext>
          </c:extLst>
        </c:ser>
        <c:ser>
          <c:idx val="1"/>
          <c:order val="1"/>
          <c:tx>
            <c:strRef>
              <c:f>[1]Sheet1!$B$4</c:f>
              <c:strCache>
                <c:ptCount val="1"/>
                <c:pt idx="0">
                  <c:v>760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[1]Sheet1!$C$2:$F$2</c:f>
              <c:strCache>
                <c:ptCount val="4"/>
                <c:pt idx="0">
                  <c:v>big dose</c:v>
                </c:pt>
                <c:pt idx="1">
                  <c:v>100 K</c:v>
                </c:pt>
                <c:pt idx="2">
                  <c:v>191</c:v>
                </c:pt>
                <c:pt idx="3">
                  <c:v>249</c:v>
                </c:pt>
              </c:strCache>
            </c:strRef>
          </c:xVal>
          <c:yVal>
            <c:numRef>
              <c:f>[1]Sheet1!$C$4:$F$4</c:f>
              <c:numCache>
                <c:formatCode>General</c:formatCode>
                <c:ptCount val="4"/>
                <c:pt idx="0">
                  <c:v>0.46052631578947373</c:v>
                </c:pt>
                <c:pt idx="1">
                  <c:v>0.41767151767151772</c:v>
                </c:pt>
                <c:pt idx="2">
                  <c:v>0.40110356536502545</c:v>
                </c:pt>
                <c:pt idx="3">
                  <c:v>0.20267227143071612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F4-4F5D-A850-4A3CD1872F3C}"/>
            </c:ext>
          </c:extLst>
        </c:ser>
        <c:ser>
          <c:idx val="2"/>
          <c:order val="2"/>
          <c:tx>
            <c:strRef>
              <c:f>[1]Sheet1!$B$5</c:f>
              <c:strCache>
                <c:ptCount val="1"/>
                <c:pt idx="0">
                  <c:v>837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[1]Sheet1!$C$2:$F$2</c:f>
              <c:strCache>
                <c:ptCount val="4"/>
                <c:pt idx="0">
                  <c:v>big dose</c:v>
                </c:pt>
                <c:pt idx="1">
                  <c:v>100 K</c:v>
                </c:pt>
                <c:pt idx="2">
                  <c:v>191</c:v>
                </c:pt>
                <c:pt idx="3">
                  <c:v>249</c:v>
                </c:pt>
              </c:strCache>
            </c:strRef>
          </c:xVal>
          <c:yVal>
            <c:numRef>
              <c:f>[1]Sheet1!$C$5:$F$5</c:f>
              <c:numCache>
                <c:formatCode>General</c:formatCode>
                <c:ptCount val="4"/>
                <c:pt idx="0">
                  <c:v>6.1133603238866407E-2</c:v>
                </c:pt>
                <c:pt idx="1">
                  <c:v>5.9251559251559248E-2</c:v>
                </c:pt>
                <c:pt idx="2">
                  <c:v>6.6956706281833603E-2</c:v>
                </c:pt>
                <c:pt idx="3">
                  <c:v>0.24771055397087521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6F4-4F5D-A850-4A3CD1872F3C}"/>
            </c:ext>
          </c:extLst>
        </c:ser>
        <c:ser>
          <c:idx val="3"/>
          <c:order val="3"/>
          <c:tx>
            <c:strRef>
              <c:f>[1]Sheet1!$B$6</c:f>
              <c:strCache>
                <c:ptCount val="1"/>
                <c:pt idx="0">
                  <c:v>1027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[1]Sheet1!$C$2:$F$2</c:f>
              <c:strCache>
                <c:ptCount val="4"/>
                <c:pt idx="0">
                  <c:v>big dose</c:v>
                </c:pt>
                <c:pt idx="1">
                  <c:v>100 K</c:v>
                </c:pt>
                <c:pt idx="2">
                  <c:v>191</c:v>
                </c:pt>
                <c:pt idx="3">
                  <c:v>249</c:v>
                </c:pt>
              </c:strCache>
            </c:strRef>
          </c:xVal>
          <c:yVal>
            <c:numRef>
              <c:f>[1]Sheet1!$C$6:$F$6</c:f>
              <c:numCache>
                <c:formatCode>General</c:formatCode>
                <c:ptCount val="4"/>
                <c:pt idx="0">
                  <c:v>0.26113360323886642</c:v>
                </c:pt>
                <c:pt idx="1">
                  <c:v>0.2354469854469855</c:v>
                </c:pt>
                <c:pt idx="2">
                  <c:v>0.21010186757215621</c:v>
                </c:pt>
                <c:pt idx="3">
                  <c:v>0.19876895361056901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6F4-4F5D-A850-4A3CD1872F3C}"/>
            </c:ext>
          </c:extLst>
        </c:ser>
        <c:ser>
          <c:idx val="4"/>
          <c:order val="4"/>
          <c:tx>
            <c:strRef>
              <c:f>[1]Sheet1!$B$7</c:f>
              <c:strCache>
                <c:ptCount val="1"/>
                <c:pt idx="0">
                  <c:v>1043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[1]Sheet1!$C$2:$F$2</c:f>
              <c:strCache>
                <c:ptCount val="4"/>
                <c:pt idx="0">
                  <c:v>big dose</c:v>
                </c:pt>
                <c:pt idx="1">
                  <c:v>100 K</c:v>
                </c:pt>
                <c:pt idx="2">
                  <c:v>191</c:v>
                </c:pt>
                <c:pt idx="3">
                  <c:v>249</c:v>
                </c:pt>
              </c:strCache>
            </c:strRef>
          </c:xVal>
          <c:yVal>
            <c:numRef>
              <c:f>[1]Sheet1!$C$7:$F$7</c:f>
              <c:numCache>
                <c:formatCode>General</c:formatCode>
                <c:ptCount val="4"/>
                <c:pt idx="0">
                  <c:v>0.22064777327935223</c:v>
                </c:pt>
                <c:pt idx="1">
                  <c:v>0.20270270270270271</c:v>
                </c:pt>
                <c:pt idx="2">
                  <c:v>0.21010186757215621</c:v>
                </c:pt>
                <c:pt idx="3">
                  <c:v>0.15298003302807384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6F4-4F5D-A850-4A3CD1872F3C}"/>
            </c:ext>
          </c:extLst>
        </c:ser>
        <c:ser>
          <c:idx val="5"/>
          <c:order val="5"/>
          <c:tx>
            <c:strRef>
              <c:f>[1]Sheet1!$B$8</c:f>
              <c:strCache>
                <c:ptCount val="1"/>
                <c:pt idx="0">
                  <c:v>1112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[1]Sheet1!$C$2:$F$2</c:f>
              <c:strCache>
                <c:ptCount val="4"/>
                <c:pt idx="0">
                  <c:v>big dose</c:v>
                </c:pt>
                <c:pt idx="1">
                  <c:v>100 K</c:v>
                </c:pt>
                <c:pt idx="2">
                  <c:v>191</c:v>
                </c:pt>
                <c:pt idx="3">
                  <c:v>249</c:v>
                </c:pt>
              </c:strCache>
            </c:strRef>
          </c:xVal>
          <c:yVal>
            <c:numRef>
              <c:f>[1]Sheet1!$C$8:$F$8</c:f>
              <c:numCache>
                <c:formatCode>General</c:formatCode>
                <c:ptCount val="4"/>
                <c:pt idx="0">
                  <c:v>0.25607287449392713</c:v>
                </c:pt>
                <c:pt idx="1">
                  <c:v>0.24532224532224531</c:v>
                </c:pt>
                <c:pt idx="2">
                  <c:v>0.23662988115449918</c:v>
                </c:pt>
                <c:pt idx="3">
                  <c:v>0.23244257618976133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6F4-4F5D-A850-4A3CD1872F3C}"/>
            </c:ext>
          </c:extLst>
        </c:ser>
        <c:ser>
          <c:idx val="7"/>
          <c:order val="6"/>
          <c:tx>
            <c:strRef>
              <c:f>[1]Sheet1!$B$9</c:f>
              <c:strCache>
                <c:ptCount val="1"/>
                <c:pt idx="0">
                  <c:v>1232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strRef>
              <c:f>[1]Sheet1!$C$2:$F$2</c:f>
              <c:strCache>
                <c:ptCount val="4"/>
                <c:pt idx="0">
                  <c:v>big dose</c:v>
                </c:pt>
                <c:pt idx="1">
                  <c:v>100 K</c:v>
                </c:pt>
                <c:pt idx="2">
                  <c:v>191</c:v>
                </c:pt>
                <c:pt idx="3">
                  <c:v>249</c:v>
                </c:pt>
              </c:strCache>
            </c:strRef>
          </c:xVal>
          <c:yVal>
            <c:numRef>
              <c:f>[1]Sheet1!$C$9:$F$9</c:f>
              <c:numCache>
                <c:formatCode>General</c:formatCode>
                <c:ptCount val="4"/>
                <c:pt idx="0">
                  <c:v>0.28390688259109309</c:v>
                </c:pt>
                <c:pt idx="1">
                  <c:v>0.27546777546777551</c:v>
                </c:pt>
                <c:pt idx="2">
                  <c:v>0.24034380305602721</c:v>
                </c:pt>
                <c:pt idx="3">
                  <c:v>0.2867437321723465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6F4-4F5D-A850-4A3CD1872F3C}"/>
            </c:ext>
          </c:extLst>
        </c:ser>
        <c:ser>
          <c:idx val="6"/>
          <c:order val="7"/>
          <c:tx>
            <c:strRef>
              <c:f>[1]Sheet1!$B$10</c:f>
              <c:strCache>
                <c:ptCount val="1"/>
                <c:pt idx="0">
                  <c:v>1268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strRef>
              <c:f>[1]Sheet1!$C$2:$F$2</c:f>
              <c:strCache>
                <c:ptCount val="4"/>
                <c:pt idx="0">
                  <c:v>big dose</c:v>
                </c:pt>
                <c:pt idx="1">
                  <c:v>100 K</c:v>
                </c:pt>
                <c:pt idx="2">
                  <c:v>191</c:v>
                </c:pt>
                <c:pt idx="3">
                  <c:v>249</c:v>
                </c:pt>
              </c:strCache>
            </c:strRef>
          </c:xVal>
          <c:yVal>
            <c:numRef>
              <c:f>[1]Sheet1!$C$10:$F$10</c:f>
              <c:numCache>
                <c:formatCode>General</c:formatCode>
                <c:ptCount val="4"/>
                <c:pt idx="0">
                  <c:v>0.88765182186234814</c:v>
                </c:pt>
                <c:pt idx="1">
                  <c:v>0.87650727650727644</c:v>
                </c:pt>
                <c:pt idx="2">
                  <c:v>0.9433361629881154</c:v>
                </c:pt>
                <c:pt idx="3">
                  <c:v>0.66784266626632627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6F4-4F5D-A850-4A3CD1872F3C}"/>
            </c:ext>
          </c:extLst>
        </c:ser>
        <c:ser>
          <c:idx val="8"/>
          <c:order val="8"/>
          <c:tx>
            <c:strRef>
              <c:f>[1]Sheet1!$B$11</c:f>
              <c:strCache>
                <c:ptCount val="1"/>
                <c:pt idx="0">
                  <c:v>1458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strRef>
              <c:f>[1]Sheet1!$C$2:$F$2</c:f>
              <c:strCache>
                <c:ptCount val="4"/>
                <c:pt idx="0">
                  <c:v>big dose</c:v>
                </c:pt>
                <c:pt idx="1">
                  <c:v>100 K</c:v>
                </c:pt>
                <c:pt idx="2">
                  <c:v>191</c:v>
                </c:pt>
                <c:pt idx="3">
                  <c:v>249</c:v>
                </c:pt>
              </c:strCache>
            </c:strRef>
          </c:xVal>
          <c:yVal>
            <c:numRef>
              <c:f>[1]Sheet1!$C$11:$F$11</c:f>
              <c:numCache>
                <c:formatCode>General</c:formatCode>
                <c:ptCount val="4"/>
                <c:pt idx="0">
                  <c:v>0.16093117408906882</c:v>
                </c:pt>
                <c:pt idx="1">
                  <c:v>0.18607068607068608</c:v>
                </c:pt>
                <c:pt idx="2">
                  <c:v>0.1467529711375212</c:v>
                </c:pt>
                <c:pt idx="3">
                  <c:v>0.43431917129560127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6F4-4F5D-A850-4A3CD1872F3C}"/>
            </c:ext>
          </c:extLst>
        </c:ser>
        <c:ser>
          <c:idx val="9"/>
          <c:order val="9"/>
          <c:tx>
            <c:strRef>
              <c:f>[1]Sheet1!$B$13</c:f>
              <c:strCache>
                <c:ptCount val="1"/>
                <c:pt idx="0">
                  <c:v>raw 1508/ raw 1508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strRef>
              <c:f>[1]Sheet1!$C$2:$F$2</c:f>
              <c:strCache>
                <c:ptCount val="4"/>
                <c:pt idx="0">
                  <c:v>big dose</c:v>
                </c:pt>
                <c:pt idx="1">
                  <c:v>100 K</c:v>
                </c:pt>
                <c:pt idx="2">
                  <c:v>191</c:v>
                </c:pt>
                <c:pt idx="3">
                  <c:v>249</c:v>
                </c:pt>
              </c:strCache>
            </c:strRef>
          </c:xVal>
          <c:yVal>
            <c:numRef>
              <c:f>[1]Sheet1!$C$13:$F$13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6F4-4F5D-A850-4A3CD1872F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2411392"/>
        <c:axId val="1891146816"/>
      </c:scatterChart>
      <c:valAx>
        <c:axId val="1882411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1146816"/>
        <c:crosses val="autoZero"/>
        <c:crossBetween val="midCat"/>
      </c:valAx>
      <c:valAx>
        <c:axId val="189114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2411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Case 1a:</a:t>
            </a:r>
          </a:p>
          <a:p>
            <a:pPr>
              <a:defRPr/>
            </a:pPr>
            <a:r>
              <a:rPr lang="en-US"/>
              <a:t>0,1,2 up to 0.025</a:t>
            </a:r>
            <a:r>
              <a:rPr lang="en-US" baseline="0"/>
              <a:t> L</a:t>
            </a:r>
          </a:p>
          <a:p>
            <a:pPr>
              <a:defRPr/>
            </a:pPr>
            <a:r>
              <a:rPr lang="en-US" baseline="0"/>
              <a:t>Divide case 1a line by 2 to get GUA amt.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'vert + sloped intg uptk'!$C$1</c:f>
              <c:strCache>
                <c:ptCount val="1"/>
                <c:pt idx="0">
                  <c:v>CO corr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'vert + sloped intg uptk'!$A$2:$A$13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'vert + sloped intg uptk'!$C$2:$C$13</c:f>
              <c:numCache>
                <c:formatCode>#,##0</c:formatCode>
                <c:ptCount val="12"/>
                <c:pt idx="0">
                  <c:v>0</c:v>
                </c:pt>
                <c:pt idx="1">
                  <c:v>369492.7050874859</c:v>
                </c:pt>
                <c:pt idx="2">
                  <c:v>422236.3561464579</c:v>
                </c:pt>
                <c:pt idx="3">
                  <c:v>521633.49715564487</c:v>
                </c:pt>
                <c:pt idx="4">
                  <c:v>537848.35568739695</c:v>
                </c:pt>
                <c:pt idx="5">
                  <c:v>582976.11102702294</c:v>
                </c:pt>
                <c:pt idx="6">
                  <c:v>620979.88597424596</c:v>
                </c:pt>
                <c:pt idx="7">
                  <c:v>620346.05421118694</c:v>
                </c:pt>
                <c:pt idx="8">
                  <c:v>619237.17915069393</c:v>
                </c:pt>
                <c:pt idx="9">
                  <c:v>615459.65715645498</c:v>
                </c:pt>
                <c:pt idx="10">
                  <c:v>618200.79064232192</c:v>
                </c:pt>
                <c:pt idx="11">
                  <c:v>622698.5244904859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29-456B-A675-7E4D6F35EDD2}"/>
            </c:ext>
          </c:extLst>
        </c:ser>
        <c:ser>
          <c:idx val="10"/>
          <c:order val="11"/>
          <c:tx>
            <c:strRef>
              <c:f>'vert + sloped intg uptk'!$B$18</c:f>
              <c:strCache>
                <c:ptCount val="1"/>
                <c:pt idx="0">
                  <c:v>trend012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'vert + sloped intg uptk'!$A$19:$A$30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'vert + sloped intg uptk'!$B$19:$B$30</c:f>
              <c:numCache>
                <c:formatCode>0.00E+00</c:formatCode>
                <c:ptCount val="12"/>
                <c:pt idx="0">
                  <c:v>0</c:v>
                </c:pt>
                <c:pt idx="1">
                  <c:v>300000</c:v>
                </c:pt>
                <c:pt idx="2">
                  <c:v>500000</c:v>
                </c:pt>
                <c:pt idx="3">
                  <c:v>1000000</c:v>
                </c:pt>
                <c:pt idx="4">
                  <c:v>1500000</c:v>
                </c:pt>
                <c:pt idx="5">
                  <c:v>2000000</c:v>
                </c:pt>
                <c:pt idx="6">
                  <c:v>3000000</c:v>
                </c:pt>
                <c:pt idx="7">
                  <c:v>5000000</c:v>
                </c:pt>
                <c:pt idx="8">
                  <c:v>7000000.0000000009</c:v>
                </c:pt>
                <c:pt idx="9">
                  <c:v>10000000</c:v>
                </c:pt>
                <c:pt idx="10">
                  <c:v>18000000</c:v>
                </c:pt>
                <c:pt idx="11">
                  <c:v>30000000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29-456B-A675-7E4D6F35EDD2}"/>
            </c:ext>
          </c:extLst>
        </c:ser>
        <c:ser>
          <c:idx val="12"/>
          <c:order val="13"/>
          <c:tx>
            <c:strRef>
              <c:f>'vert + sloped intg uptk'!$J$17</c:f>
              <c:strCache>
                <c:ptCount val="1"/>
                <c:pt idx="0">
                  <c:v>Case 1a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'vert + sloped intg uptk'!$A$19:$A$30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'vert + sloped intg uptk'!$J$19:$J$30</c:f>
              <c:numCache>
                <c:formatCode>#,##0</c:formatCode>
                <c:ptCount val="12"/>
                <c:pt idx="0">
                  <c:v>0</c:v>
                </c:pt>
                <c:pt idx="1">
                  <c:v>476152.03940254607</c:v>
                </c:pt>
                <c:pt idx="2">
                  <c:v>699345.08340738318</c:v>
                </c:pt>
                <c:pt idx="3">
                  <c:v>1078951.7414213934</c:v>
                </c:pt>
                <c:pt idx="4">
                  <c:v>1185182.1542297422</c:v>
                </c:pt>
                <c:pt idx="5">
                  <c:v>2318088.1089093992</c:v>
                </c:pt>
                <c:pt idx="6">
                  <c:v>3148349.1679952587</c:v>
                </c:pt>
                <c:pt idx="7">
                  <c:v>4798703.3812341858</c:v>
                </c:pt>
                <c:pt idx="8">
                  <c:v>5302905.2596643157</c:v>
                </c:pt>
                <c:pt idx="9">
                  <c:v>8205094.3450931404</c:v>
                </c:pt>
                <c:pt idx="10">
                  <c:v>16429115.979548298</c:v>
                </c:pt>
                <c:pt idx="11">
                  <c:v>33656606.936571807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829-456B-A675-7E4D6F35ED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1002656"/>
        <c:axId val="86815051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'vert + sloped intg uptk'!$B$1</c15:sqref>
                        </c15:formulaRef>
                      </c:ext>
                    </c:extLst>
                    <c:strCache>
                      <c:ptCount val="1"/>
                      <c:pt idx="0">
                        <c:v>H2 corr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'vert + sloped intg uptk'!$A$2:$A$13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'vert + sloped intg uptk'!$B$2:$B$13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0</c:v>
                      </c:pt>
                      <c:pt idx="1">
                        <c:v>378316.59492356179</c:v>
                      </c:pt>
                      <c:pt idx="2">
                        <c:v>456564.08049371984</c:v>
                      </c:pt>
                      <c:pt idx="3">
                        <c:v>546424.75885362271</c:v>
                      </c:pt>
                      <c:pt idx="4">
                        <c:v>582993.19896917476</c:v>
                      </c:pt>
                      <c:pt idx="5">
                        <c:v>655850.01726366673</c:v>
                      </c:pt>
                      <c:pt idx="6">
                        <c:v>692757.66112320474</c:v>
                      </c:pt>
                      <c:pt idx="7">
                        <c:v>688569.2073738958</c:v>
                      </c:pt>
                      <c:pt idx="8">
                        <c:v>689095.27819479071</c:v>
                      </c:pt>
                      <c:pt idx="9">
                        <c:v>697897.10451467172</c:v>
                      </c:pt>
                      <c:pt idx="10">
                        <c:v>684252.72730500577</c:v>
                      </c:pt>
                      <c:pt idx="11">
                        <c:v>703130.31549126573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7-A829-456B-A675-7E4D6F35EDD2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uptk'!$D$1</c15:sqref>
                        </c15:formulaRef>
                      </c:ext>
                    </c:extLst>
                    <c:strCache>
                      <c:ptCount val="1"/>
                      <c:pt idx="0">
                        <c:v>Benzene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uptk'!$A$2:$A$13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uptk'!$E$2:$E$13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0</c:v>
                      </c:pt>
                      <c:pt idx="1">
                        <c:v>88.443560702123989</c:v>
                      </c:pt>
                      <c:pt idx="2">
                        <c:v>99.319682212585292</c:v>
                      </c:pt>
                      <c:pt idx="3">
                        <c:v>515.38094202489287</c:v>
                      </c:pt>
                      <c:pt idx="4">
                        <c:v>778.7480986484486</c:v>
                      </c:pt>
                      <c:pt idx="5">
                        <c:v>3612.9412114549659</c:v>
                      </c:pt>
                      <c:pt idx="6">
                        <c:v>5596.7653614826413</c:v>
                      </c:pt>
                      <c:pt idx="7">
                        <c:v>11200.618764440449</c:v>
                      </c:pt>
                      <c:pt idx="8">
                        <c:v>12646.767464971659</c:v>
                      </c:pt>
                      <c:pt idx="9">
                        <c:v>23988.480803216229</c:v>
                      </c:pt>
                      <c:pt idx="10">
                        <c:v>56027.682921549196</c:v>
                      </c:pt>
                      <c:pt idx="11">
                        <c:v>124221.42678498491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A829-456B-A675-7E4D6F35EDD2}"/>
                  </c:ext>
                </c:extLst>
              </c15:ser>
            </c15:filteredScatterSeries>
            <c15:filteredScatterSeries>
              <c15:ser>
                <c:idx val="18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uptk'!$E$1</c15:sqref>
                        </c15:formulaRef>
                      </c:ext>
                    </c:extLst>
                    <c:strCache>
                      <c:ptCount val="1"/>
                      <c:pt idx="0">
                        <c:v>multilayer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uptk'!$A$2:$A$13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uptk'!$E$2:$E$13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0</c:v>
                      </c:pt>
                      <c:pt idx="1">
                        <c:v>88.443560702123989</c:v>
                      </c:pt>
                      <c:pt idx="2">
                        <c:v>99.319682212585292</c:v>
                      </c:pt>
                      <c:pt idx="3">
                        <c:v>515.38094202489287</c:v>
                      </c:pt>
                      <c:pt idx="4">
                        <c:v>778.7480986484486</c:v>
                      </c:pt>
                      <c:pt idx="5">
                        <c:v>3612.9412114549659</c:v>
                      </c:pt>
                      <c:pt idx="6">
                        <c:v>5596.7653614826413</c:v>
                      </c:pt>
                      <c:pt idx="7">
                        <c:v>11200.618764440449</c:v>
                      </c:pt>
                      <c:pt idx="8">
                        <c:v>12646.767464971659</c:v>
                      </c:pt>
                      <c:pt idx="9">
                        <c:v>23988.480803216229</c:v>
                      </c:pt>
                      <c:pt idx="10">
                        <c:v>56027.682921549196</c:v>
                      </c:pt>
                      <c:pt idx="11">
                        <c:v>124221.42678498491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A829-456B-A675-7E4D6F35EDD2}"/>
                  </c:ext>
                </c:extLst>
              </c15:ser>
            </c15:filteredScatterSeries>
            <c15:filteredScatterSeries>
              <c15:ser>
                <c:idx val="3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uptk'!$G$1</c15:sqref>
                        </c15:formulaRef>
                      </c:ext>
                    </c:extLst>
                    <c:strCache>
                      <c:ptCount val="1"/>
                      <c:pt idx="0">
                        <c:v>GUA second corr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uptk'!$A$2:$A$13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uptk'!$G$2:$G$13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0</c:v>
                      </c:pt>
                      <c:pt idx="1">
                        <c:v>209.03110248878599</c:v>
                      </c:pt>
                      <c:pt idx="2">
                        <c:v>752.40722040041396</c:v>
                      </c:pt>
                      <c:pt idx="3">
                        <c:v>1312.705675017982</c:v>
                      </c:pt>
                      <c:pt idx="4">
                        <c:v>1473.8052772607921</c:v>
                      </c:pt>
                      <c:pt idx="5">
                        <c:v>2666.8549778959418</c:v>
                      </c:pt>
                      <c:pt idx="6">
                        <c:v>3674.6650334621322</c:v>
                      </c:pt>
                      <c:pt idx="7">
                        <c:v>4564.3454663684124</c:v>
                      </c:pt>
                      <c:pt idx="8">
                        <c:v>4940.4494235946422</c:v>
                      </c:pt>
                      <c:pt idx="9">
                        <c:v>5216.3827338111523</c:v>
                      </c:pt>
                      <c:pt idx="10">
                        <c:v>5565.0095271128121</c:v>
                      </c:pt>
                      <c:pt idx="11">
                        <c:v>4782.9518331509516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A829-456B-A675-7E4D6F35EDD2}"/>
                  </c:ext>
                </c:extLst>
              </c15:ser>
            </c15:filteredScatterSeries>
            <c15:filteredScatterSeries>
              <c15:ser>
                <c:idx val="4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uptk'!$H$1</c15:sqref>
                        </c15:formulaRef>
                      </c:ext>
                    </c:extLst>
                    <c:strCache>
                      <c:ptCount val="1"/>
                      <c:pt idx="0">
                        <c:v>GUA recom corr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uptk'!$A$2:$A$13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uptk'!$H$2:$H$13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0</c:v>
                      </c:pt>
                      <c:pt idx="1">
                        <c:v>122.090433262704</c:v>
                      </c:pt>
                      <c:pt idx="2">
                        <c:v>238.33380916618302</c:v>
                      </c:pt>
                      <c:pt idx="3">
                        <c:v>364.232361997488</c:v>
                      </c:pt>
                      <c:pt idx="4">
                        <c:v>293.85917548387204</c:v>
                      </c:pt>
                      <c:pt idx="5">
                        <c:v>545.60205098435301</c:v>
                      </c:pt>
                      <c:pt idx="6">
                        <c:v>670.46492434112997</c:v>
                      </c:pt>
                      <c:pt idx="7">
                        <c:v>671.41150871733191</c:v>
                      </c:pt>
                      <c:pt idx="8">
                        <c:v>836.89631799756091</c:v>
                      </c:pt>
                      <c:pt idx="9">
                        <c:v>650.43070740915994</c:v>
                      </c:pt>
                      <c:pt idx="10">
                        <c:v>602.59686992670095</c:v>
                      </c:pt>
                      <c:pt idx="11">
                        <c:v>940.88175836498101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A829-456B-A675-7E4D6F35EDD2}"/>
                  </c:ext>
                </c:extLst>
              </c15:ser>
            </c15:filteredScatterSeries>
            <c15:filteredScatterSeries>
              <c15:ser>
                <c:idx val="5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uptk'!$I$1</c15:sqref>
                        </c15:formulaRef>
                      </c:ext>
                    </c:extLst>
                    <c:strCache>
                      <c:ptCount val="1"/>
                      <c:pt idx="0">
                        <c:v>GUA second + recom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uptk'!$A$2:$A$13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uptk'!$I$2:$I$13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-1.4210854715202004E-14</c:v>
                      </c:pt>
                      <c:pt idx="1">
                        <c:v>331.12153575149</c:v>
                      </c:pt>
                      <c:pt idx="2">
                        <c:v>990.74102956659692</c:v>
                      </c:pt>
                      <c:pt idx="3">
                        <c:v>1676.9380370154699</c:v>
                      </c:pt>
                      <c:pt idx="4">
                        <c:v>1767.6644527446642</c:v>
                      </c:pt>
                      <c:pt idx="5">
                        <c:v>3212.4570288802947</c:v>
                      </c:pt>
                      <c:pt idx="6">
                        <c:v>4345.1299578032622</c:v>
                      </c:pt>
                      <c:pt idx="7">
                        <c:v>5235.7569750857438</c:v>
                      </c:pt>
                      <c:pt idx="8">
                        <c:v>5777.345741592203</c:v>
                      </c:pt>
                      <c:pt idx="9">
                        <c:v>5866.8134412203117</c:v>
                      </c:pt>
                      <c:pt idx="10">
                        <c:v>6167.6063970395126</c:v>
                      </c:pt>
                      <c:pt idx="11">
                        <c:v>5723.8335915159323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A829-456B-A675-7E4D6F35EDD2}"/>
                  </c:ext>
                </c:extLst>
              </c15:ser>
            </c15:filteredScatterSeries>
            <c15:filteredScatterSeries>
              <c15:ser>
                <c:idx val="6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uptk'!$J$1</c15:sqref>
                        </c15:formulaRef>
                      </c:ext>
                    </c:extLst>
                    <c:strCache>
                      <c:ptCount val="1"/>
                      <c:pt idx="0">
                        <c:v>GUA_total (m +s +r)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uptk'!$A$2:$A$13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uptk'!$J$2:$J$13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0</c:v>
                      </c:pt>
                      <c:pt idx="1">
                        <c:v>419.56509645361393</c:v>
                      </c:pt>
                      <c:pt idx="2">
                        <c:v>1090.0607117791824</c:v>
                      </c:pt>
                      <c:pt idx="3">
                        <c:v>2192.318979040363</c:v>
                      </c:pt>
                      <c:pt idx="4">
                        <c:v>2546.4125513931126</c:v>
                      </c:pt>
                      <c:pt idx="5">
                        <c:v>6825.3982403352602</c:v>
                      </c:pt>
                      <c:pt idx="6">
                        <c:v>9941.8953192859026</c:v>
                      </c:pt>
                      <c:pt idx="7">
                        <c:v>16436.375739526193</c:v>
                      </c:pt>
                      <c:pt idx="8">
                        <c:v>18424.113206563863</c:v>
                      </c:pt>
                      <c:pt idx="9">
                        <c:v>29855.29424443654</c:v>
                      </c:pt>
                      <c:pt idx="10">
                        <c:v>62195.289318588715</c:v>
                      </c:pt>
                      <c:pt idx="11">
                        <c:v>129945.26037650084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A829-456B-A675-7E4D6F35EDD2}"/>
                  </c:ext>
                </c:extLst>
              </c15:ser>
            </c15:filteredScatterSeries>
            <c15:filteredScatterSeries>
              <c15:ser>
                <c:idx val="7"/>
                <c:order val="8"/>
                <c:tx>
                  <c:v>trend1</c:v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uptk'!$A$2:$A$4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uptk'!$C$2:$C$4</c15:sqref>
                        </c15:formulaRef>
                      </c:ext>
                    </c:extLst>
                    <c:numCache>
                      <c:formatCode>#,##0</c:formatCode>
                      <c:ptCount val="3"/>
                      <c:pt idx="0">
                        <c:v>0</c:v>
                      </c:pt>
                      <c:pt idx="1">
                        <c:v>369492.7050874859</c:v>
                      </c:pt>
                      <c:pt idx="2">
                        <c:v>422236.3561464579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A829-456B-A675-7E4D6F35EDD2}"/>
                  </c:ext>
                </c:extLst>
              </c15:ser>
            </c15:filteredScatterSeries>
            <c15:filteredScatterSeries>
              <c15:ser>
                <c:idx val="8"/>
                <c:order val="9"/>
                <c:tx>
                  <c:v>trend2</c:v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3">
                          <a:lumMod val="60000"/>
                        </a:schemeClr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0.12824097940833584"/>
                        <c:y val="0.1310147996329259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uptk'!$A$3:$A$5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1.5E-3</c:v>
                      </c:pt>
                      <c:pt idx="1">
                        <c:v>2.5000000000000001E-3</c:v>
                      </c:pt>
                      <c:pt idx="2">
                        <c:v>5.0000000000000001E-3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uptk'!$C$3:$C$5</c15:sqref>
                        </c15:formulaRef>
                      </c:ext>
                    </c:extLst>
                    <c:numCache>
                      <c:formatCode>#,##0</c:formatCode>
                      <c:ptCount val="3"/>
                      <c:pt idx="0">
                        <c:v>369492.7050874859</c:v>
                      </c:pt>
                      <c:pt idx="1">
                        <c:v>422236.3561464579</c:v>
                      </c:pt>
                      <c:pt idx="2">
                        <c:v>521633.49715564487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A829-456B-A675-7E4D6F35EDD2}"/>
                  </c:ext>
                </c:extLst>
              </c15:ser>
            </c15:filteredScatterSeries>
            <c15:filteredScatterSeries>
              <c15:ser>
                <c:idx val="9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uptk'!$K$1</c15:sqref>
                        </c15:formulaRef>
                      </c:ext>
                    </c:extLst>
                    <c:strCache>
                      <c:ptCount val="1"/>
                      <c:pt idx="0">
                        <c:v>CO + GUA total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uptk'!$A$2:$A$13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uptk'!$K$2:$K$13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0</c:v>
                      </c:pt>
                      <c:pt idx="1">
                        <c:v>369912.27018393949</c:v>
                      </c:pt>
                      <c:pt idx="2">
                        <c:v>423326.41685823706</c:v>
                      </c:pt>
                      <c:pt idx="3">
                        <c:v>523825.81613468524</c:v>
                      </c:pt>
                      <c:pt idx="4">
                        <c:v>540394.7682387901</c:v>
                      </c:pt>
                      <c:pt idx="5">
                        <c:v>589801.50926735823</c:v>
                      </c:pt>
                      <c:pt idx="6">
                        <c:v>630921.78129353188</c:v>
                      </c:pt>
                      <c:pt idx="7">
                        <c:v>636782.42995071318</c:v>
                      </c:pt>
                      <c:pt idx="8">
                        <c:v>637661.2923572578</c:v>
                      </c:pt>
                      <c:pt idx="9">
                        <c:v>645314.95140089153</c:v>
                      </c:pt>
                      <c:pt idx="10">
                        <c:v>680396.0799609106</c:v>
                      </c:pt>
                      <c:pt idx="11">
                        <c:v>752643.7848669868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A829-456B-A675-7E4D6F35EDD2}"/>
                  </c:ext>
                </c:extLst>
              </c15:ser>
            </c15:filteredScatterSeries>
            <c15:filteredScatterSeries>
              <c15:ser>
                <c:idx val="11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uptk'!$C$18</c15:sqref>
                        </c15:formulaRef>
                      </c:ext>
                    </c:extLst>
                    <c:strCache>
                      <c:ptCount val="1"/>
                      <c:pt idx="0">
                        <c:v>trend123</c:v>
                      </c:pt>
                    </c:strCache>
                  </c:strRef>
                </c:tx>
                <c:spPr>
                  <a:ln w="190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uptk'!$A$19:$A$30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uptk'!$C$19:$C$30</c15:sqref>
                        </c15:formulaRef>
                      </c:ext>
                    </c:extLst>
                    <c:numCache>
                      <c:formatCode>0.00E+00</c:formatCode>
                      <c:ptCount val="12"/>
                      <c:pt idx="0">
                        <c:v>309521</c:v>
                      </c:pt>
                      <c:pt idx="1">
                        <c:v>369521</c:v>
                      </c:pt>
                      <c:pt idx="2">
                        <c:v>409521</c:v>
                      </c:pt>
                      <c:pt idx="3">
                        <c:v>509521</c:v>
                      </c:pt>
                      <c:pt idx="4">
                        <c:v>609521</c:v>
                      </c:pt>
                      <c:pt idx="5">
                        <c:v>709521</c:v>
                      </c:pt>
                      <c:pt idx="6">
                        <c:v>909521</c:v>
                      </c:pt>
                      <c:pt idx="7">
                        <c:v>1309521</c:v>
                      </c:pt>
                      <c:pt idx="8">
                        <c:v>1709521.0000000002</c:v>
                      </c:pt>
                      <c:pt idx="9">
                        <c:v>2309521</c:v>
                      </c:pt>
                      <c:pt idx="10">
                        <c:v>3909521</c:v>
                      </c:pt>
                      <c:pt idx="11">
                        <c:v>6309521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A829-456B-A675-7E4D6F35EDD2}"/>
                  </c:ext>
                </c:extLst>
              </c15:ser>
            </c15:filteredScatterSeries>
            <c15:filteredScatterSeries>
              <c15:ser>
                <c:idx val="13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uptk'!$K$17</c15:sqref>
                        </c15:formulaRef>
                      </c:ext>
                    </c:extLst>
                    <c:strCache>
                      <c:ptCount val="1"/>
                      <c:pt idx="0">
                        <c:v>Case 1b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uptk'!$A$19:$A$30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uptk'!$K$19:$K$30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0</c:v>
                      </c:pt>
                      <c:pt idx="1">
                        <c:v>470674.61869295326</c:v>
                      </c:pt>
                      <c:pt idx="2">
                        <c:v>685114.3450359588</c:v>
                      </c:pt>
                      <c:pt idx="3">
                        <c:v>1050331.0256389577</c:v>
                      </c:pt>
                      <c:pt idx="4">
                        <c:v>1151938.7482313367</c:v>
                      </c:pt>
                      <c:pt idx="5">
                        <c:v>2228982.561310628</c:v>
                      </c:pt>
                      <c:pt idx="6">
                        <c:v>3018557.7630982576</c:v>
                      </c:pt>
                      <c:pt idx="7">
                        <c:v>4584126.5595983975</c:v>
                      </c:pt>
                      <c:pt idx="8">
                        <c:v>5062378.5330931218</c:v>
                      </c:pt>
                      <c:pt idx="9">
                        <c:v>7815333.5943354974</c:v>
                      </c:pt>
                      <c:pt idx="10">
                        <c:v>15617156.71832215</c:v>
                      </c:pt>
                      <c:pt idx="11">
                        <c:v>31960172.065521073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A829-456B-A675-7E4D6F35EDD2}"/>
                  </c:ext>
                </c:extLst>
              </c15:ser>
            </c15:filteredScatterSeries>
            <c15:filteredScatterSeries>
              <c15:ser>
                <c:idx val="14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uptk'!$L$17</c15:sqref>
                        </c15:formulaRef>
                      </c:ext>
                    </c:extLst>
                    <c:strCache>
                      <c:ptCount val="1"/>
                      <c:pt idx="0">
                        <c:v>Case 2a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uptk'!$A$19:$A$30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uptk'!$L$19:$L$30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0</c:v>
                      </c:pt>
                      <c:pt idx="1">
                        <c:v>384386.88498789747</c:v>
                      </c:pt>
                      <c:pt idx="2">
                        <c:v>460932.52148728672</c:v>
                      </c:pt>
                      <c:pt idx="3">
                        <c:v>599458.82997982996</c:v>
                      </c:pt>
                      <c:pt idx="4">
                        <c:v>628243.68876369868</c:v>
                      </c:pt>
                      <c:pt idx="5">
                        <c:v>825271.55014428799</c:v>
                      </c:pt>
                      <c:pt idx="6">
                        <c:v>973908.14117975277</c:v>
                      </c:pt>
                      <c:pt idx="7">
                        <c:v>1203822.4664401743</c:v>
                      </c:pt>
                      <c:pt idx="8">
                        <c:v>1273276.4663163493</c:v>
                      </c:pt>
                      <c:pt idx="9">
                        <c:v>1675295.4900580654</c:v>
                      </c:pt>
                      <c:pt idx="10">
                        <c:v>2826077.0794451539</c:v>
                      </c:pt>
                      <c:pt idx="11">
                        <c:v>5235637.2594155082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A829-456B-A675-7E4D6F35EDD2}"/>
                  </c:ext>
                </c:extLst>
              </c15:ser>
            </c15:filteredScatterSeries>
            <c15:filteredScatterSeries>
              <c15:ser>
                <c:idx val="15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uptk'!$M$17</c15:sqref>
                        </c15:formulaRef>
                      </c:ext>
                    </c:extLst>
                    <c:strCache>
                      <c:ptCount val="1"/>
                      <c:pt idx="0">
                        <c:v>Case 2b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uptk'!$A$19:$A$30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uptk'!$M$19:$M$30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0</c:v>
                      </c:pt>
                      <c:pt idx="1">
                        <c:v>388765.48601653636</c:v>
                      </c:pt>
                      <c:pt idx="2">
                        <c:v>472308.44621081254</c:v>
                      </c:pt>
                      <c:pt idx="3">
                        <c:v>622337.97368808626</c:v>
                      </c:pt>
                      <c:pt idx="4">
                        <c:v>654818.16960376897</c:v>
                      </c:pt>
                      <c:pt idx="5">
                        <c:v>896501.72636392992</c:v>
                      </c:pt>
                      <c:pt idx="6">
                        <c:v>1077662.2271120606</c:v>
                      </c:pt>
                      <c:pt idx="7">
                        <c:v>1375353.2546980605</c:v>
                      </c:pt>
                      <c:pt idx="8">
                        <c:v>1465551.3760261913</c:v>
                      </c:pt>
                      <c:pt idx="9">
                        <c:v>1986866.7413226683</c:v>
                      </c:pt>
                      <c:pt idx="10">
                        <c:v>3475150.0363920704</c:v>
                      </c:pt>
                      <c:pt idx="11">
                        <c:v>6591752.0925143538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A829-456B-A675-7E4D6F35EDD2}"/>
                  </c:ext>
                </c:extLst>
              </c15:ser>
            </c15:filteredScatterSeries>
          </c:ext>
        </c:extLst>
      </c:scatterChart>
      <c:scatterChart>
        <c:scatterStyle val="lineMarker"/>
        <c:varyColors val="0"/>
        <c:ser>
          <c:idx val="16"/>
          <c:order val="17"/>
          <c:tx>
            <c:strRef>
              <c:f>'vert + sloped intg uptk'!$N$18</c:f>
              <c:strCache>
                <c:ptCount val="1"/>
                <c:pt idx="0">
                  <c:v>θGUA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'vert + sloped intg uptk'!$A$19:$A$30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'vert + sloped intg uptk'!$N$19:$N$30</c:f>
              <c:numCache>
                <c:formatCode>0.000</c:formatCode>
                <c:ptCount val="12"/>
                <c:pt idx="0">
                  <c:v>0</c:v>
                </c:pt>
                <c:pt idx="1">
                  <c:v>8.1350817406507167E-2</c:v>
                </c:pt>
                <c:pt idx="2">
                  <c:v>0.11948346216430872</c:v>
                </c:pt>
                <c:pt idx="3">
                  <c:v>0.18433945219879563</c:v>
                </c:pt>
                <c:pt idx="4">
                  <c:v>0.2024889721005341</c:v>
                </c:pt>
                <c:pt idx="5">
                  <c:v>0.396046528996712</c:v>
                </c:pt>
                <c:pt idx="6">
                  <c:v>0.53789705199809645</c:v>
                </c:pt>
                <c:pt idx="7">
                  <c:v>0.81986090628657138</c:v>
                </c:pt>
                <c:pt idx="8">
                  <c:v>0.90600405291606823</c:v>
                </c:pt>
                <c:pt idx="9">
                  <c:v>1.4018445299706668</c:v>
                </c:pt>
                <c:pt idx="10">
                  <c:v>2.806922796927573</c:v>
                </c:pt>
                <c:pt idx="11">
                  <c:v>5.7502483636427222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829-456B-A675-7E4D6F35EDD2}"/>
            </c:ext>
          </c:extLst>
        </c:ser>
        <c:ser>
          <c:idx val="17"/>
          <c:order val="18"/>
          <c:tx>
            <c:strRef>
              <c:f>'vert + sloped intg uptk'!$S$18</c:f>
              <c:strCache>
                <c:ptCount val="1"/>
                <c:pt idx="0">
                  <c:v>θGUA_multi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'vert + sloped intg uptk'!$R$19:$R$30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'vert + sloped intg uptk'!$S$19:$S$30</c:f>
              <c:numCache>
                <c:formatCode>0.000</c:formatCode>
                <c:ptCount val="12"/>
                <c:pt idx="0" formatCode="General">
                  <c:v>0</c:v>
                </c:pt>
                <c:pt idx="1">
                  <c:v>3.8413334468291502E-3</c:v>
                </c:pt>
                <c:pt idx="2">
                  <c:v>4.3137116391841947E-3</c:v>
                </c:pt>
                <c:pt idx="3">
                  <c:v>2.2384332276334865E-2</c:v>
                </c:pt>
                <c:pt idx="4">
                  <c:v>3.3823051607657084E-2</c:v>
                </c:pt>
                <c:pt idx="5">
                  <c:v>0.15691941625611297</c:v>
                </c:pt>
                <c:pt idx="6">
                  <c:v>0.24308204923506438</c:v>
                </c:pt>
                <c:pt idx="7">
                  <c:v>0.4864719505124358</c:v>
                </c:pt>
                <c:pt idx="8">
                  <c:v>0.54928194287749499</c:v>
                </c:pt>
                <c:pt idx="9">
                  <c:v>1.0418819970214128</c:v>
                </c:pt>
                <c:pt idx="10">
                  <c:v>2.4334277209818023</c:v>
                </c:pt>
                <c:pt idx="11">
                  <c:v>5.395259052596483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829-456B-A675-7E4D6F35EDD2}"/>
            </c:ext>
          </c:extLst>
        </c:ser>
        <c:ser>
          <c:idx val="19"/>
          <c:order val="19"/>
          <c:tx>
            <c:strRef>
              <c:f>'vert + sloped intg uptk'!$T$18</c:f>
              <c:strCache>
                <c:ptCount val="1"/>
                <c:pt idx="0">
                  <c:v>θGUA_phys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'vert + sloped intg uptk'!$R$19:$R$30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'vert + sloped intg uptk'!$T$19:$T$30</c:f>
              <c:numCache>
                <c:formatCode>0.000</c:formatCode>
                <c:ptCount val="12"/>
                <c:pt idx="0" formatCode="General">
                  <c:v>0</c:v>
                </c:pt>
                <c:pt idx="1">
                  <c:v>9.0787634401343405E-3</c:v>
                </c:pt>
                <c:pt idx="2">
                  <c:v>3.2678998882622462E-2</c:v>
                </c:pt>
                <c:pt idx="3">
                  <c:v>5.7014215339793679E-2</c:v>
                </c:pt>
                <c:pt idx="4">
                  <c:v>6.4011189290790624E-2</c:v>
                </c:pt>
                <c:pt idx="5">
                  <c:v>0.11582843502804017</c:v>
                </c:pt>
                <c:pt idx="6">
                  <c:v>0.15960024208514997</c:v>
                </c:pt>
                <c:pt idx="7">
                  <c:v>0.19824137295755564</c:v>
                </c:pt>
                <c:pt idx="8">
                  <c:v>0.2145765442115011</c:v>
                </c:pt>
                <c:pt idx="9">
                  <c:v>0.22656104421596004</c:v>
                </c:pt>
                <c:pt idx="10">
                  <c:v>0.24170281090806359</c:v>
                </c:pt>
                <c:pt idx="11">
                  <c:v>0.20773601498400909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829-456B-A675-7E4D6F35EDD2}"/>
            </c:ext>
          </c:extLst>
        </c:ser>
        <c:ser>
          <c:idx val="20"/>
          <c:order val="20"/>
          <c:tx>
            <c:strRef>
              <c:f>'vert + sloped intg uptk'!$U$18</c:f>
              <c:strCache>
                <c:ptCount val="1"/>
                <c:pt idx="0">
                  <c:v>θGUA_recomb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'vert + sloped intg uptk'!$R$19:$R$30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'vert + sloped intg uptk'!$U$19:$U$30</c:f>
              <c:numCache>
                <c:formatCode>0.000</c:formatCode>
                <c:ptCount val="12"/>
                <c:pt idx="0" formatCode="General">
                  <c:v>0</c:v>
                </c:pt>
                <c:pt idx="1">
                  <c:v>5.3027044717188117E-3</c:v>
                </c:pt>
                <c:pt idx="2">
                  <c:v>1.0351456062965456E-2</c:v>
                </c:pt>
                <c:pt idx="3">
                  <c:v>1.5819557053687601E-2</c:v>
                </c:pt>
                <c:pt idx="4">
                  <c:v>1.2763066869793333E-2</c:v>
                </c:pt>
                <c:pt idx="5">
                  <c:v>2.3696913494511151E-2</c:v>
                </c:pt>
                <c:pt idx="6">
                  <c:v>2.9120032236959761E-2</c:v>
                </c:pt>
                <c:pt idx="7">
                  <c:v>2.9161144853816021E-2</c:v>
                </c:pt>
                <c:pt idx="8">
                  <c:v>3.634857973074563E-2</c:v>
                </c:pt>
                <c:pt idx="9">
                  <c:v>2.8249894185406181E-2</c:v>
                </c:pt>
                <c:pt idx="10">
                  <c:v>2.617234644362754E-2</c:v>
                </c:pt>
                <c:pt idx="11">
                  <c:v>4.086493735922176E-2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829-456B-A675-7E4D6F35EDD2}"/>
            </c:ext>
          </c:extLst>
        </c:ser>
        <c:ser>
          <c:idx val="21"/>
          <c:order val="21"/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'vert + sloped intg uptk'!$A$2:$A$13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'vert + sloped intg uptk'!$S$5</c:f>
              <c:numCache>
                <c:formatCode>0.00000000</c:formatCode>
                <c:ptCount val="1"/>
                <c:pt idx="0">
                  <c:v>2.3919070999258021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A829-456B-A675-7E4D6F35ED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6570175"/>
        <c:axId val="846571471"/>
      </c:scatterChart>
      <c:valAx>
        <c:axId val="881002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Langmuir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8150512"/>
        <c:crosses val="autoZero"/>
        <c:crossBetween val="midCat"/>
      </c:valAx>
      <c:valAx>
        <c:axId val="868150512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002656"/>
        <c:crosses val="autoZero"/>
        <c:crossBetween val="midCat"/>
        <c:dispUnits>
          <c:builtInUnit val="hundred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846571471"/>
        <c:scaling>
          <c:orientation val="minMax"/>
          <c:max val="13.66804057"/>
          <c:min val="0"/>
        </c:scaling>
        <c:delete val="0"/>
        <c:axPos val="r"/>
        <c:numFmt formatCode="0.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570175"/>
        <c:crosses val="max"/>
        <c:crossBetween val="midCat"/>
      </c:valAx>
      <c:valAx>
        <c:axId val="84657017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465714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Case 2a:</a:t>
            </a:r>
          </a:p>
          <a:p>
            <a:pPr>
              <a:defRPr/>
            </a:pPr>
            <a:r>
              <a:rPr lang="en-US"/>
              <a:t>1,2,3 up to 0.025</a:t>
            </a:r>
            <a:r>
              <a:rPr lang="en-US" baseline="0"/>
              <a:t> L</a:t>
            </a:r>
          </a:p>
          <a:p>
            <a:pPr>
              <a:defRPr/>
            </a:pPr>
            <a:r>
              <a:rPr lang="en-US" sz="1400" b="0" i="0" u="none" strike="noStrike" baseline="0">
                <a:effectLst/>
              </a:rPr>
              <a:t>Divide case 1a line by 2 to get GUA amt.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'vert + sloped intg uptk'!$C$1</c:f>
              <c:strCache>
                <c:ptCount val="1"/>
                <c:pt idx="0">
                  <c:v>CO corr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'vert + sloped intg uptk'!$A$2:$A$13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'vert + sloped intg uptk'!$C$2:$C$13</c:f>
              <c:numCache>
                <c:formatCode>#,##0</c:formatCode>
                <c:ptCount val="12"/>
                <c:pt idx="0">
                  <c:v>0</c:v>
                </c:pt>
                <c:pt idx="1">
                  <c:v>369492.7050874859</c:v>
                </c:pt>
                <c:pt idx="2">
                  <c:v>422236.3561464579</c:v>
                </c:pt>
                <c:pt idx="3">
                  <c:v>521633.49715564487</c:v>
                </c:pt>
                <c:pt idx="4">
                  <c:v>537848.35568739695</c:v>
                </c:pt>
                <c:pt idx="5">
                  <c:v>582976.11102702294</c:v>
                </c:pt>
                <c:pt idx="6">
                  <c:v>620979.88597424596</c:v>
                </c:pt>
                <c:pt idx="7">
                  <c:v>620346.05421118694</c:v>
                </c:pt>
                <c:pt idx="8">
                  <c:v>619237.17915069393</c:v>
                </c:pt>
                <c:pt idx="9">
                  <c:v>615459.65715645498</c:v>
                </c:pt>
                <c:pt idx="10">
                  <c:v>618200.79064232192</c:v>
                </c:pt>
                <c:pt idx="11">
                  <c:v>622698.5244904859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BB-478B-A0E8-F3EC3D863E14}"/>
            </c:ext>
          </c:extLst>
        </c:ser>
        <c:ser>
          <c:idx val="11"/>
          <c:order val="11"/>
          <c:tx>
            <c:strRef>
              <c:f>'vert + sloped intg uptk'!$C$18</c:f>
              <c:strCache>
                <c:ptCount val="1"/>
                <c:pt idx="0">
                  <c:v>trend123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'vert + sloped intg uptk'!$A$19:$A$30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  <c:extLst xmlns:c15="http://schemas.microsoft.com/office/drawing/2012/chart"/>
            </c:numRef>
          </c:xVal>
          <c:yVal>
            <c:numRef>
              <c:f>'vert + sloped intg uptk'!$C$19:$C$30</c:f>
              <c:numCache>
                <c:formatCode>0.00E+00</c:formatCode>
                <c:ptCount val="12"/>
                <c:pt idx="0">
                  <c:v>309521</c:v>
                </c:pt>
                <c:pt idx="1">
                  <c:v>369521</c:v>
                </c:pt>
                <c:pt idx="2">
                  <c:v>409521</c:v>
                </c:pt>
                <c:pt idx="3">
                  <c:v>509521</c:v>
                </c:pt>
                <c:pt idx="4">
                  <c:v>609521</c:v>
                </c:pt>
                <c:pt idx="5">
                  <c:v>709521</c:v>
                </c:pt>
                <c:pt idx="6">
                  <c:v>909521</c:v>
                </c:pt>
                <c:pt idx="7">
                  <c:v>1309521</c:v>
                </c:pt>
                <c:pt idx="8">
                  <c:v>1709521.0000000002</c:v>
                </c:pt>
                <c:pt idx="9">
                  <c:v>2309521</c:v>
                </c:pt>
                <c:pt idx="10">
                  <c:v>3909521</c:v>
                </c:pt>
                <c:pt idx="11">
                  <c:v>6309521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1-9EBB-478B-A0E8-F3EC3D863E14}"/>
            </c:ext>
          </c:extLst>
        </c:ser>
        <c:ser>
          <c:idx val="14"/>
          <c:order val="14"/>
          <c:tx>
            <c:strRef>
              <c:f>'vert + sloped intg uptk'!$L$17</c:f>
              <c:strCache>
                <c:ptCount val="1"/>
                <c:pt idx="0">
                  <c:v>Case 2a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'vert + sloped intg uptk'!$A$19:$A$30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'vert + sloped intg uptk'!$L$19:$L$30</c:f>
              <c:numCache>
                <c:formatCode>#,##0</c:formatCode>
                <c:ptCount val="12"/>
                <c:pt idx="0">
                  <c:v>0</c:v>
                </c:pt>
                <c:pt idx="1">
                  <c:v>384386.88498789747</c:v>
                </c:pt>
                <c:pt idx="2">
                  <c:v>460932.52148728672</c:v>
                </c:pt>
                <c:pt idx="3">
                  <c:v>599458.82997982996</c:v>
                </c:pt>
                <c:pt idx="4">
                  <c:v>628243.68876369868</c:v>
                </c:pt>
                <c:pt idx="5">
                  <c:v>825271.55014428799</c:v>
                </c:pt>
                <c:pt idx="6">
                  <c:v>973908.14117975277</c:v>
                </c:pt>
                <c:pt idx="7">
                  <c:v>1203822.4664401743</c:v>
                </c:pt>
                <c:pt idx="8">
                  <c:v>1273276.4663163493</c:v>
                </c:pt>
                <c:pt idx="9">
                  <c:v>1675295.4900580654</c:v>
                </c:pt>
                <c:pt idx="10">
                  <c:v>2826077.0794451539</c:v>
                </c:pt>
                <c:pt idx="11">
                  <c:v>5235637.2594155082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EBB-478B-A0E8-F3EC3D863E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1002656"/>
        <c:axId val="86815051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'vert + sloped intg uptk'!$B$1</c15:sqref>
                        </c15:formulaRef>
                      </c:ext>
                    </c:extLst>
                    <c:strCache>
                      <c:ptCount val="1"/>
                      <c:pt idx="0">
                        <c:v>H2 corr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'vert + sloped intg uptk'!$A$2:$A$13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'vert + sloped intg uptk'!$B$2:$B$13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0</c:v>
                      </c:pt>
                      <c:pt idx="1">
                        <c:v>378316.59492356179</c:v>
                      </c:pt>
                      <c:pt idx="2">
                        <c:v>456564.08049371984</c:v>
                      </c:pt>
                      <c:pt idx="3">
                        <c:v>546424.75885362271</c:v>
                      </c:pt>
                      <c:pt idx="4">
                        <c:v>582993.19896917476</c:v>
                      </c:pt>
                      <c:pt idx="5">
                        <c:v>655850.01726366673</c:v>
                      </c:pt>
                      <c:pt idx="6">
                        <c:v>692757.66112320474</c:v>
                      </c:pt>
                      <c:pt idx="7">
                        <c:v>688569.2073738958</c:v>
                      </c:pt>
                      <c:pt idx="8">
                        <c:v>689095.27819479071</c:v>
                      </c:pt>
                      <c:pt idx="9">
                        <c:v>697897.10451467172</c:v>
                      </c:pt>
                      <c:pt idx="10">
                        <c:v>684252.72730500577</c:v>
                      </c:pt>
                      <c:pt idx="11">
                        <c:v>703130.31549126573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7-9EBB-478B-A0E8-F3EC3D863E14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uptk'!$D$1</c15:sqref>
                        </c15:formulaRef>
                      </c:ext>
                    </c:extLst>
                    <c:strCache>
                      <c:ptCount val="1"/>
                      <c:pt idx="0">
                        <c:v>Benzene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uptk'!$A$2:$A$13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uptk'!$E$2:$E$13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0</c:v>
                      </c:pt>
                      <c:pt idx="1">
                        <c:v>88.443560702123989</c:v>
                      </c:pt>
                      <c:pt idx="2">
                        <c:v>99.319682212585292</c:v>
                      </c:pt>
                      <c:pt idx="3">
                        <c:v>515.38094202489287</c:v>
                      </c:pt>
                      <c:pt idx="4">
                        <c:v>778.7480986484486</c:v>
                      </c:pt>
                      <c:pt idx="5">
                        <c:v>3612.9412114549659</c:v>
                      </c:pt>
                      <c:pt idx="6">
                        <c:v>5596.7653614826413</c:v>
                      </c:pt>
                      <c:pt idx="7">
                        <c:v>11200.618764440449</c:v>
                      </c:pt>
                      <c:pt idx="8">
                        <c:v>12646.767464971659</c:v>
                      </c:pt>
                      <c:pt idx="9">
                        <c:v>23988.480803216229</c:v>
                      </c:pt>
                      <c:pt idx="10">
                        <c:v>56027.682921549196</c:v>
                      </c:pt>
                      <c:pt idx="11">
                        <c:v>124221.42678498491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9EBB-478B-A0E8-F3EC3D863E14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uptk'!$G$1</c15:sqref>
                        </c15:formulaRef>
                      </c:ext>
                    </c:extLst>
                    <c:strCache>
                      <c:ptCount val="1"/>
                      <c:pt idx="0">
                        <c:v>GUA second corr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uptk'!$A$2:$A$13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uptk'!$G$2:$G$13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0</c:v>
                      </c:pt>
                      <c:pt idx="1">
                        <c:v>209.03110248878599</c:v>
                      </c:pt>
                      <c:pt idx="2">
                        <c:v>752.40722040041396</c:v>
                      </c:pt>
                      <c:pt idx="3">
                        <c:v>1312.705675017982</c:v>
                      </c:pt>
                      <c:pt idx="4">
                        <c:v>1473.8052772607921</c:v>
                      </c:pt>
                      <c:pt idx="5">
                        <c:v>2666.8549778959418</c:v>
                      </c:pt>
                      <c:pt idx="6">
                        <c:v>3674.6650334621322</c:v>
                      </c:pt>
                      <c:pt idx="7">
                        <c:v>4564.3454663684124</c:v>
                      </c:pt>
                      <c:pt idx="8">
                        <c:v>4940.4494235946422</c:v>
                      </c:pt>
                      <c:pt idx="9">
                        <c:v>5216.3827338111523</c:v>
                      </c:pt>
                      <c:pt idx="10">
                        <c:v>5565.0095271128121</c:v>
                      </c:pt>
                      <c:pt idx="11">
                        <c:v>4782.9518331509516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9EBB-478B-A0E8-F3EC3D863E14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uptk'!$H$1</c15:sqref>
                        </c15:formulaRef>
                      </c:ext>
                    </c:extLst>
                    <c:strCache>
                      <c:ptCount val="1"/>
                      <c:pt idx="0">
                        <c:v>GUA recom corr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uptk'!$A$2:$A$13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uptk'!$H$2:$H$13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0</c:v>
                      </c:pt>
                      <c:pt idx="1">
                        <c:v>122.090433262704</c:v>
                      </c:pt>
                      <c:pt idx="2">
                        <c:v>238.33380916618302</c:v>
                      </c:pt>
                      <c:pt idx="3">
                        <c:v>364.232361997488</c:v>
                      </c:pt>
                      <c:pt idx="4">
                        <c:v>293.85917548387204</c:v>
                      </c:pt>
                      <c:pt idx="5">
                        <c:v>545.60205098435301</c:v>
                      </c:pt>
                      <c:pt idx="6">
                        <c:v>670.46492434112997</c:v>
                      </c:pt>
                      <c:pt idx="7">
                        <c:v>671.41150871733191</c:v>
                      </c:pt>
                      <c:pt idx="8">
                        <c:v>836.89631799756091</c:v>
                      </c:pt>
                      <c:pt idx="9">
                        <c:v>650.43070740915994</c:v>
                      </c:pt>
                      <c:pt idx="10">
                        <c:v>602.59686992670095</c:v>
                      </c:pt>
                      <c:pt idx="11">
                        <c:v>940.88175836498101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9EBB-478B-A0E8-F3EC3D863E14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uptk'!$I$1</c15:sqref>
                        </c15:formulaRef>
                      </c:ext>
                    </c:extLst>
                    <c:strCache>
                      <c:ptCount val="1"/>
                      <c:pt idx="0">
                        <c:v>GUA second + recom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uptk'!$A$2:$A$13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uptk'!$I$2:$I$13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-1.4210854715202004E-14</c:v>
                      </c:pt>
                      <c:pt idx="1">
                        <c:v>331.12153575149</c:v>
                      </c:pt>
                      <c:pt idx="2">
                        <c:v>990.74102956659692</c:v>
                      </c:pt>
                      <c:pt idx="3">
                        <c:v>1676.9380370154699</c:v>
                      </c:pt>
                      <c:pt idx="4">
                        <c:v>1767.6644527446642</c:v>
                      </c:pt>
                      <c:pt idx="5">
                        <c:v>3212.4570288802947</c:v>
                      </c:pt>
                      <c:pt idx="6">
                        <c:v>4345.1299578032622</c:v>
                      </c:pt>
                      <c:pt idx="7">
                        <c:v>5235.7569750857438</c:v>
                      </c:pt>
                      <c:pt idx="8">
                        <c:v>5777.345741592203</c:v>
                      </c:pt>
                      <c:pt idx="9">
                        <c:v>5866.8134412203117</c:v>
                      </c:pt>
                      <c:pt idx="10">
                        <c:v>6167.6063970395126</c:v>
                      </c:pt>
                      <c:pt idx="11">
                        <c:v>5723.8335915159323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9EBB-478B-A0E8-F3EC3D863E14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uptk'!$J$1</c15:sqref>
                        </c15:formulaRef>
                      </c:ext>
                    </c:extLst>
                    <c:strCache>
                      <c:ptCount val="1"/>
                      <c:pt idx="0">
                        <c:v>GUA_total (m +s +r)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uptk'!$A$2:$A$13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uptk'!$J$2:$J$13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0</c:v>
                      </c:pt>
                      <c:pt idx="1">
                        <c:v>419.56509645361393</c:v>
                      </c:pt>
                      <c:pt idx="2">
                        <c:v>1090.0607117791824</c:v>
                      </c:pt>
                      <c:pt idx="3">
                        <c:v>2192.318979040363</c:v>
                      </c:pt>
                      <c:pt idx="4">
                        <c:v>2546.4125513931126</c:v>
                      </c:pt>
                      <c:pt idx="5">
                        <c:v>6825.3982403352602</c:v>
                      </c:pt>
                      <c:pt idx="6">
                        <c:v>9941.8953192859026</c:v>
                      </c:pt>
                      <c:pt idx="7">
                        <c:v>16436.375739526193</c:v>
                      </c:pt>
                      <c:pt idx="8">
                        <c:v>18424.113206563863</c:v>
                      </c:pt>
                      <c:pt idx="9">
                        <c:v>29855.29424443654</c:v>
                      </c:pt>
                      <c:pt idx="10">
                        <c:v>62195.289318588715</c:v>
                      </c:pt>
                      <c:pt idx="11">
                        <c:v>129945.26037650084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9EBB-478B-A0E8-F3EC3D863E14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trend1</c:v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2">
                          <a:lumMod val="60000"/>
                        </a:schemeClr>
                      </a:solidFill>
                      <a:prstDash val="sysDot"/>
                    </a:ln>
                    <a:effectLst/>
                  </c:spPr>
                  <c:trendlineType val="linear"/>
                  <c:intercept val="0"/>
                  <c:dispRSqr val="0"/>
                  <c:dispEq val="1"/>
                  <c:trendlineLbl>
                    <c:layout>
                      <c:manualLayout>
                        <c:x val="0.13337061858466925"/>
                        <c:y val="0.16322491181573393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uptk'!$A$2:$A$4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uptk'!$C$2:$C$4</c15:sqref>
                        </c15:formulaRef>
                      </c:ext>
                    </c:extLst>
                    <c:numCache>
                      <c:formatCode>#,##0</c:formatCode>
                      <c:ptCount val="3"/>
                      <c:pt idx="0">
                        <c:v>0</c:v>
                      </c:pt>
                      <c:pt idx="1">
                        <c:v>369492.7050874859</c:v>
                      </c:pt>
                      <c:pt idx="2">
                        <c:v>422236.3561464579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9EBB-478B-A0E8-F3EC3D863E14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v>trend2</c:v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3">
                          <a:lumMod val="60000"/>
                        </a:schemeClr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1"/>
                  <c:trendlineLbl>
                    <c:layout>
                      <c:manualLayout>
                        <c:x val="0.12824097940833584"/>
                        <c:y val="0.13101479963292592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uptk'!$A$3:$A$5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1.5E-3</c:v>
                      </c:pt>
                      <c:pt idx="1">
                        <c:v>2.5000000000000001E-3</c:v>
                      </c:pt>
                      <c:pt idx="2">
                        <c:v>5.0000000000000001E-3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uptk'!$C$3:$C$5</c15:sqref>
                        </c15:formulaRef>
                      </c:ext>
                    </c:extLst>
                    <c:numCache>
                      <c:formatCode>#,##0</c:formatCode>
                      <c:ptCount val="3"/>
                      <c:pt idx="0">
                        <c:v>369492.7050874859</c:v>
                      </c:pt>
                      <c:pt idx="1">
                        <c:v>422236.3561464579</c:v>
                      </c:pt>
                      <c:pt idx="2">
                        <c:v>521633.49715564487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9EBB-478B-A0E8-F3EC3D863E14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uptk'!$K$1</c15:sqref>
                        </c15:formulaRef>
                      </c:ext>
                    </c:extLst>
                    <c:strCache>
                      <c:ptCount val="1"/>
                      <c:pt idx="0">
                        <c:v>CO + GUA total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uptk'!$A$2:$A$13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uptk'!$K$2:$K$13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0</c:v>
                      </c:pt>
                      <c:pt idx="1">
                        <c:v>369912.27018393949</c:v>
                      </c:pt>
                      <c:pt idx="2">
                        <c:v>423326.41685823706</c:v>
                      </c:pt>
                      <c:pt idx="3">
                        <c:v>523825.81613468524</c:v>
                      </c:pt>
                      <c:pt idx="4">
                        <c:v>540394.7682387901</c:v>
                      </c:pt>
                      <c:pt idx="5">
                        <c:v>589801.50926735823</c:v>
                      </c:pt>
                      <c:pt idx="6">
                        <c:v>630921.78129353188</c:v>
                      </c:pt>
                      <c:pt idx="7">
                        <c:v>636782.42995071318</c:v>
                      </c:pt>
                      <c:pt idx="8">
                        <c:v>637661.2923572578</c:v>
                      </c:pt>
                      <c:pt idx="9">
                        <c:v>645314.95140089153</c:v>
                      </c:pt>
                      <c:pt idx="10">
                        <c:v>680396.0799609106</c:v>
                      </c:pt>
                      <c:pt idx="11">
                        <c:v>752643.7848669868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9EBB-478B-A0E8-F3EC3D863E14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uptk'!$B$18</c15:sqref>
                        </c15:formulaRef>
                      </c:ext>
                    </c:extLst>
                    <c:strCache>
                      <c:ptCount val="1"/>
                      <c:pt idx="0">
                        <c:v>trend012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uptk'!$A$19:$A$30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uptk'!$B$19:$B$30</c15:sqref>
                        </c15:formulaRef>
                      </c:ext>
                    </c:extLst>
                    <c:numCache>
                      <c:formatCode>0.00E+00</c:formatCode>
                      <c:ptCount val="12"/>
                      <c:pt idx="0">
                        <c:v>0</c:v>
                      </c:pt>
                      <c:pt idx="1">
                        <c:v>300000</c:v>
                      </c:pt>
                      <c:pt idx="2">
                        <c:v>500000</c:v>
                      </c:pt>
                      <c:pt idx="3">
                        <c:v>1000000</c:v>
                      </c:pt>
                      <c:pt idx="4">
                        <c:v>1500000</c:v>
                      </c:pt>
                      <c:pt idx="5">
                        <c:v>2000000</c:v>
                      </c:pt>
                      <c:pt idx="6">
                        <c:v>3000000</c:v>
                      </c:pt>
                      <c:pt idx="7">
                        <c:v>5000000</c:v>
                      </c:pt>
                      <c:pt idx="8">
                        <c:v>7000000.0000000009</c:v>
                      </c:pt>
                      <c:pt idx="9">
                        <c:v>10000000</c:v>
                      </c:pt>
                      <c:pt idx="10">
                        <c:v>18000000</c:v>
                      </c:pt>
                      <c:pt idx="11">
                        <c:v>30000000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9EBB-478B-A0E8-F3EC3D863E14}"/>
                  </c:ext>
                </c:extLst>
              </c15:ser>
            </c15:filteredScatterSeries>
            <c15:filteredScatte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uptk'!$J$17</c15:sqref>
                        </c15:formulaRef>
                      </c:ext>
                    </c:extLst>
                    <c:strCache>
                      <c:ptCount val="1"/>
                      <c:pt idx="0">
                        <c:v>Case 1a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uptk'!$A$19:$A$30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uptk'!$J$19:$J$30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0</c:v>
                      </c:pt>
                      <c:pt idx="1">
                        <c:v>476152.03940254607</c:v>
                      </c:pt>
                      <c:pt idx="2">
                        <c:v>699345.08340738318</c:v>
                      </c:pt>
                      <c:pt idx="3">
                        <c:v>1078951.7414213934</c:v>
                      </c:pt>
                      <c:pt idx="4">
                        <c:v>1185182.1542297422</c:v>
                      </c:pt>
                      <c:pt idx="5">
                        <c:v>2318088.1089093992</c:v>
                      </c:pt>
                      <c:pt idx="6">
                        <c:v>3148349.1679952587</c:v>
                      </c:pt>
                      <c:pt idx="7">
                        <c:v>4798703.3812341858</c:v>
                      </c:pt>
                      <c:pt idx="8">
                        <c:v>5302905.2596643157</c:v>
                      </c:pt>
                      <c:pt idx="9">
                        <c:v>8205094.3450931404</c:v>
                      </c:pt>
                      <c:pt idx="10">
                        <c:v>16429115.979548298</c:v>
                      </c:pt>
                      <c:pt idx="11">
                        <c:v>33656606.936571807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9EBB-478B-A0E8-F3EC3D863E14}"/>
                  </c:ext>
                </c:extLst>
              </c15:ser>
            </c15:filteredScatterSeries>
            <c15:filteredScatte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uptk'!$K$17</c15:sqref>
                        </c15:formulaRef>
                      </c:ext>
                    </c:extLst>
                    <c:strCache>
                      <c:ptCount val="1"/>
                      <c:pt idx="0">
                        <c:v>Case 1b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uptk'!$A$19:$A$30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uptk'!$K$19:$K$30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0</c:v>
                      </c:pt>
                      <c:pt idx="1">
                        <c:v>470674.61869295326</c:v>
                      </c:pt>
                      <c:pt idx="2">
                        <c:v>685114.3450359588</c:v>
                      </c:pt>
                      <c:pt idx="3">
                        <c:v>1050331.0256389577</c:v>
                      </c:pt>
                      <c:pt idx="4">
                        <c:v>1151938.7482313367</c:v>
                      </c:pt>
                      <c:pt idx="5">
                        <c:v>2228982.561310628</c:v>
                      </c:pt>
                      <c:pt idx="6">
                        <c:v>3018557.7630982576</c:v>
                      </c:pt>
                      <c:pt idx="7">
                        <c:v>4584126.5595983975</c:v>
                      </c:pt>
                      <c:pt idx="8">
                        <c:v>5062378.5330931218</c:v>
                      </c:pt>
                      <c:pt idx="9">
                        <c:v>7815333.5943354974</c:v>
                      </c:pt>
                      <c:pt idx="10">
                        <c:v>15617156.71832215</c:v>
                      </c:pt>
                      <c:pt idx="11">
                        <c:v>31960172.065521073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9EBB-478B-A0E8-F3EC3D863E14}"/>
                  </c:ext>
                </c:extLst>
              </c15:ser>
            </c15:filteredScatterSeries>
            <c15:filteredScatte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uptk'!$M$17</c15:sqref>
                        </c15:formulaRef>
                      </c:ext>
                    </c:extLst>
                    <c:strCache>
                      <c:ptCount val="1"/>
                      <c:pt idx="0">
                        <c:v>Case 2b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uptk'!$A$19:$A$30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'vert + sloped intg uptk'!$M$19:$M$30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0</c:v>
                      </c:pt>
                      <c:pt idx="1">
                        <c:v>388765.48601653636</c:v>
                      </c:pt>
                      <c:pt idx="2">
                        <c:v>472308.44621081254</c:v>
                      </c:pt>
                      <c:pt idx="3">
                        <c:v>622337.97368808626</c:v>
                      </c:pt>
                      <c:pt idx="4">
                        <c:v>654818.16960376897</c:v>
                      </c:pt>
                      <c:pt idx="5">
                        <c:v>896501.72636392992</c:v>
                      </c:pt>
                      <c:pt idx="6">
                        <c:v>1077662.2271120606</c:v>
                      </c:pt>
                      <c:pt idx="7">
                        <c:v>1375353.2546980605</c:v>
                      </c:pt>
                      <c:pt idx="8">
                        <c:v>1465551.3760261913</c:v>
                      </c:pt>
                      <c:pt idx="9">
                        <c:v>1986866.7413226683</c:v>
                      </c:pt>
                      <c:pt idx="10">
                        <c:v>3475150.0363920704</c:v>
                      </c:pt>
                      <c:pt idx="11">
                        <c:v>6591752.0925143538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9EBB-478B-A0E8-F3EC3D863E14}"/>
                  </c:ext>
                </c:extLst>
              </c15:ser>
            </c15:filteredScatterSeries>
          </c:ext>
        </c:extLst>
      </c:scatterChart>
      <c:scatterChart>
        <c:scatterStyle val="lineMarker"/>
        <c:varyColors val="0"/>
        <c:ser>
          <c:idx val="16"/>
          <c:order val="16"/>
          <c:tx>
            <c:strRef>
              <c:f>'vert + sloped intg uptk'!$O$18</c:f>
              <c:strCache>
                <c:ptCount val="1"/>
                <c:pt idx="0">
                  <c:v>θGUA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'vert + sloped intg uptk'!$R$19:$R$30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'vert + sloped intg uptk'!$O$19:$O$30</c:f>
              <c:numCache>
                <c:formatCode>0.000</c:formatCode>
                <c:ptCount val="12"/>
                <c:pt idx="0">
                  <c:v>0</c:v>
                </c:pt>
                <c:pt idx="1">
                  <c:v>6.5672694237208201E-2</c:v>
                </c:pt>
                <c:pt idx="2">
                  <c:v>7.8750555052295959E-2</c:v>
                </c:pt>
                <c:pt idx="3">
                  <c:v>0.10241784511014068</c:v>
                </c:pt>
                <c:pt idx="4">
                  <c:v>0.10733575283124762</c:v>
                </c:pt>
                <c:pt idx="5">
                  <c:v>0.14099806286834962</c:v>
                </c:pt>
                <c:pt idx="6">
                  <c:v>0.1663926998259565</c:v>
                </c:pt>
                <c:pt idx="7">
                  <c:v>0.20567367889488877</c:v>
                </c:pt>
                <c:pt idx="8">
                  <c:v>0.21753992999646515</c:v>
                </c:pt>
                <c:pt idx="9">
                  <c:v>0.28622508408168307</c:v>
                </c:pt>
                <c:pt idx="10">
                  <c:v>0.48283670223303132</c:v>
                </c:pt>
                <c:pt idx="11">
                  <c:v>0.89451128095943022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EBB-478B-A0E8-F3EC3D863E14}"/>
            </c:ext>
          </c:extLst>
        </c:ser>
        <c:ser>
          <c:idx val="17"/>
          <c:order val="17"/>
          <c:tx>
            <c:strRef>
              <c:f>'vert + sloped intg uptk'!$V$18</c:f>
              <c:strCache>
                <c:ptCount val="1"/>
                <c:pt idx="0">
                  <c:v>θGUA_multi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'vert + sloped intg uptk'!$R$19:$R$30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'vert + sloped intg uptk'!$V$19:$V$30</c:f>
              <c:numCache>
                <c:formatCode>0.000</c:formatCode>
                <c:ptCount val="12"/>
                <c:pt idx="0" formatCode="General">
                  <c:v>0</c:v>
                </c:pt>
                <c:pt idx="1">
                  <c:v>5.3641354300542439E-4</c:v>
                </c:pt>
                <c:pt idx="2">
                  <c:v>6.0237763159784528E-4</c:v>
                </c:pt>
                <c:pt idx="3">
                  <c:v>3.1258049191410136E-3</c:v>
                </c:pt>
                <c:pt idx="4">
                  <c:v>4.7231366917899328E-3</c:v>
                </c:pt>
                <c:pt idx="5">
                  <c:v>2.1912625187424484E-2</c:v>
                </c:pt>
                <c:pt idx="6">
                  <c:v>3.3944593739664311E-2</c:v>
                </c:pt>
                <c:pt idx="7">
                  <c:v>6.7932176719138496E-2</c:v>
                </c:pt>
                <c:pt idx="8">
                  <c:v>7.6703123320636044E-2</c:v>
                </c:pt>
                <c:pt idx="9">
                  <c:v>0.14549104396994056</c:v>
                </c:pt>
                <c:pt idx="10">
                  <c:v>0.33981001741386202</c:v>
                </c:pt>
                <c:pt idx="11">
                  <c:v>0.75340765489242056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EBB-478B-A0E8-F3EC3D863E14}"/>
            </c:ext>
          </c:extLst>
        </c:ser>
        <c:ser>
          <c:idx val="18"/>
          <c:order val="18"/>
          <c:tx>
            <c:strRef>
              <c:f>'vert + sloped intg uptk'!$W$18</c:f>
              <c:strCache>
                <c:ptCount val="1"/>
                <c:pt idx="0">
                  <c:v>θGUA_chemi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'vert + sloped intg uptk'!$R$19:$R$30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'vert + sloped intg uptk'!$W$19:$W$30</c:f>
              <c:numCache>
                <c:formatCode>0.000</c:formatCode>
                <c:ptCount val="12"/>
                <c:pt idx="0" formatCode="General">
                  <c:v>0</c:v>
                </c:pt>
                <c:pt idx="1">
                  <c:v>1.2677815478504013E-3</c:v>
                </c:pt>
                <c:pt idx="2">
                  <c:v>4.5633782682853556E-3</c:v>
                </c:pt>
                <c:pt idx="3">
                  <c:v>7.961609601306029E-3</c:v>
                </c:pt>
                <c:pt idx="4">
                  <c:v>8.9386847860883061E-3</c:v>
                </c:pt>
                <c:pt idx="5">
                  <c:v>1.6174576374110867E-2</c:v>
                </c:pt>
                <c:pt idx="6">
                  <c:v>2.2286982503975906E-2</c:v>
                </c:pt>
                <c:pt idx="7">
                  <c:v>2.7682928001525241E-2</c:v>
                </c:pt>
                <c:pt idx="8">
                  <c:v>2.9964012736609161E-2</c:v>
                </c:pt>
                <c:pt idx="9">
                  <c:v>3.1637558706393919E-2</c:v>
                </c:pt>
                <c:pt idx="10">
                  <c:v>3.3751993402339753E-2</c:v>
                </c:pt>
                <c:pt idx="11">
                  <c:v>2.900878388971485E-2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EBB-478B-A0E8-F3EC3D863E14}"/>
            </c:ext>
          </c:extLst>
        </c:ser>
        <c:ser>
          <c:idx val="19"/>
          <c:order val="19"/>
          <c:tx>
            <c:strRef>
              <c:f>'vert + sloped intg uptk'!$X$18</c:f>
              <c:strCache>
                <c:ptCount val="1"/>
                <c:pt idx="0">
                  <c:v>θGUA_recomb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'vert + sloped intg uptk'!$R$19:$R$30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'vert + sloped intg uptk'!$X$19:$X$30</c:f>
              <c:numCache>
                <c:formatCode>0.000</c:formatCode>
                <c:ptCount val="12"/>
                <c:pt idx="0" formatCode="General">
                  <c:v>0</c:v>
                </c:pt>
                <c:pt idx="1">
                  <c:v>7.4048309852750636E-4</c:v>
                </c:pt>
                <c:pt idx="2">
                  <c:v>1.445503572876173E-3</c:v>
                </c:pt>
                <c:pt idx="3">
                  <c:v>2.2090830607141617E-3</c:v>
                </c:pt>
                <c:pt idx="4">
                  <c:v>1.7822670210763127E-3</c:v>
                </c:pt>
                <c:pt idx="5">
                  <c:v>3.3090970887665145E-3</c:v>
                </c:pt>
                <c:pt idx="6">
                  <c:v>4.0663951413938528E-3</c:v>
                </c:pt>
                <c:pt idx="7">
                  <c:v>4.0721362114611494E-3</c:v>
                </c:pt>
                <c:pt idx="8">
                  <c:v>5.0758078428934728E-3</c:v>
                </c:pt>
                <c:pt idx="9">
                  <c:v>3.9448868574611011E-3</c:v>
                </c:pt>
                <c:pt idx="10">
                  <c:v>3.6547728227499764E-3</c:v>
                </c:pt>
                <c:pt idx="11">
                  <c:v>5.7064834742865866E-3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EBB-478B-A0E8-F3EC3D863E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6271359"/>
        <c:axId val="706257967"/>
      </c:scatterChart>
      <c:valAx>
        <c:axId val="881002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Langmuir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8150512"/>
        <c:crosses val="autoZero"/>
        <c:crossBetween val="midCat"/>
      </c:valAx>
      <c:valAx>
        <c:axId val="86815051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002656"/>
        <c:crosses val="autoZero"/>
        <c:crossBetween val="midCat"/>
        <c:dispUnits>
          <c:builtInUnit val="hundred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706257967"/>
        <c:scaling>
          <c:orientation val="minMax"/>
          <c:max val="2.3919070999999996"/>
          <c:min val="0"/>
        </c:scaling>
        <c:delete val="0"/>
        <c:axPos val="r"/>
        <c:numFmt formatCode="0.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271359"/>
        <c:crosses val="max"/>
        <c:crossBetween val="midCat"/>
      </c:valAx>
      <c:valAx>
        <c:axId val="70627135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062579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1"/>
          <c:tx>
            <c:v>Total area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'uptake old'!$A$2:$A$13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'uptake old'!$D$2:$D$13</c:f>
              <c:numCache>
                <c:formatCode>General</c:formatCode>
                <c:ptCount val="12"/>
                <c:pt idx="0">
                  <c:v>313.72282387402998</c:v>
                </c:pt>
                <c:pt idx="1">
                  <c:v>1436.72419843015</c:v>
                </c:pt>
                <c:pt idx="2">
                  <c:v>2614.84468073365</c:v>
                </c:pt>
                <c:pt idx="3">
                  <c:v>5290.2913949578697</c:v>
                </c:pt>
                <c:pt idx="4">
                  <c:v>5981.4444103284104</c:v>
                </c:pt>
                <c:pt idx="5">
                  <c:v>13602.8724338708</c:v>
                </c:pt>
                <c:pt idx="6">
                  <c:v>18445.422781861002</c:v>
                </c:pt>
                <c:pt idx="7">
                  <c:v>29525.667709388199</c:v>
                </c:pt>
                <c:pt idx="8">
                  <c:v>33556.463651855302</c:v>
                </c:pt>
                <c:pt idx="9">
                  <c:v>50554.817168143403</c:v>
                </c:pt>
                <c:pt idx="10">
                  <c:v>101282.655996678</c:v>
                </c:pt>
                <c:pt idx="11">
                  <c:v>205078.61874598201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89-48C3-B543-099F75C739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9926464"/>
        <c:axId val="989948808"/>
      </c:scatterChart>
      <c:scatterChart>
        <c:scatterStyle val="lineMarker"/>
        <c:varyColors val="0"/>
        <c:ser>
          <c:idx val="1"/>
          <c:order val="0"/>
          <c:tx>
            <c:v>ML area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'uptake old'!$A$2:$A$13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'uptake old'!$K$2:$K$13</c:f>
              <c:numCache>
                <c:formatCode>General</c:formatCode>
                <c:ptCount val="12"/>
                <c:pt idx="0">
                  <c:v>100.943872666519</c:v>
                </c:pt>
                <c:pt idx="1">
                  <c:v>223.034305929223</c:v>
                </c:pt>
                <c:pt idx="2">
                  <c:v>339.277681832702</c:v>
                </c:pt>
                <c:pt idx="3">
                  <c:v>465.17623466400698</c:v>
                </c:pt>
                <c:pt idx="4">
                  <c:v>394.80304815039102</c:v>
                </c:pt>
                <c:pt idx="5">
                  <c:v>646.54592365087206</c:v>
                </c:pt>
                <c:pt idx="6">
                  <c:v>771.40879700764901</c:v>
                </c:pt>
                <c:pt idx="7">
                  <c:v>772.35538138385095</c:v>
                </c:pt>
                <c:pt idx="8">
                  <c:v>937.84019066407996</c:v>
                </c:pt>
                <c:pt idx="9">
                  <c:v>751.37458007567898</c:v>
                </c:pt>
                <c:pt idx="10">
                  <c:v>703.54074259321999</c:v>
                </c:pt>
                <c:pt idx="11">
                  <c:v>1041.8256310315001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89-48C3-B543-099F75C739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1531096"/>
        <c:axId val="1071519728"/>
      </c:scatterChart>
      <c:valAx>
        <c:axId val="989926464"/>
        <c:scaling>
          <c:orientation val="minMax"/>
          <c:max val="0.1600000000000000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GUA exposure (L)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948808"/>
        <c:crosses val="autoZero"/>
        <c:crossBetween val="midCat"/>
      </c:valAx>
      <c:valAx>
        <c:axId val="989948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TPD 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926464"/>
        <c:crosses val="autoZero"/>
        <c:crossBetween val="midCat"/>
      </c:valAx>
      <c:valAx>
        <c:axId val="1071519728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1071531096"/>
        <c:crosses val="max"/>
        <c:crossBetween val="midCat"/>
      </c:valAx>
      <c:valAx>
        <c:axId val="10715310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71519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ML area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'uptake old'!$A$2:$A$13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'uptake old'!$K$2:$K$13</c:f>
              <c:numCache>
                <c:formatCode>General</c:formatCode>
                <c:ptCount val="12"/>
                <c:pt idx="0">
                  <c:v>100.943872666519</c:v>
                </c:pt>
                <c:pt idx="1">
                  <c:v>223.034305929223</c:v>
                </c:pt>
                <c:pt idx="2">
                  <c:v>339.277681832702</c:v>
                </c:pt>
                <c:pt idx="3">
                  <c:v>465.17623466400698</c:v>
                </c:pt>
                <c:pt idx="4">
                  <c:v>394.80304815039102</c:v>
                </c:pt>
                <c:pt idx="5">
                  <c:v>646.54592365087206</c:v>
                </c:pt>
                <c:pt idx="6">
                  <c:v>771.40879700764901</c:v>
                </c:pt>
                <c:pt idx="7">
                  <c:v>772.35538138385095</c:v>
                </c:pt>
                <c:pt idx="8">
                  <c:v>937.84019066407996</c:v>
                </c:pt>
                <c:pt idx="9">
                  <c:v>751.37458007567898</c:v>
                </c:pt>
                <c:pt idx="10">
                  <c:v>703.54074259321999</c:v>
                </c:pt>
                <c:pt idx="11">
                  <c:v>1041.8256310315001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9B-4450-9571-0B7DC07BCD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9631592"/>
        <c:axId val="869632376"/>
      </c:scatterChart>
      <c:valAx>
        <c:axId val="869631592"/>
        <c:scaling>
          <c:orientation val="minMax"/>
          <c:max val="0.1600000000000000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GUA exposure (L)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9632376"/>
        <c:crosses val="autoZero"/>
        <c:crossBetween val="midCat"/>
      </c:valAx>
      <c:valAx>
        <c:axId val="869632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TPD 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9631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'uptake 1'!$M$1</c:f>
              <c:strCache>
                <c:ptCount val="1"/>
                <c:pt idx="0">
                  <c:v>H2 corr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'uptake 1'!$A$2:$A$13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'uptake 1'!$M$2:$M$13</c:f>
              <c:numCache>
                <c:formatCode>0.000</c:formatCode>
                <c:ptCount val="12"/>
                <c:pt idx="0" formatCode="General">
                  <c:v>0</c:v>
                </c:pt>
                <c:pt idx="1">
                  <c:v>0.4287588075800367</c:v>
                </c:pt>
                <c:pt idx="2">
                  <c:v>0.51743929122621579</c:v>
                </c:pt>
                <c:pt idx="3">
                  <c:v>0.61928139336743904</c:v>
                </c:pt>
                <c:pt idx="4">
                  <c:v>0.66072562549839797</c:v>
                </c:pt>
                <c:pt idx="5">
                  <c:v>0.74329668623215561</c:v>
                </c:pt>
                <c:pt idx="6">
                  <c:v>0.78512534927296529</c:v>
                </c:pt>
                <c:pt idx="7">
                  <c:v>0.7803784350237486</c:v>
                </c:pt>
                <c:pt idx="8">
                  <c:v>0.78097464862076282</c:v>
                </c:pt>
                <c:pt idx="9">
                  <c:v>0.79095005178329458</c:v>
                </c:pt>
                <c:pt idx="10">
                  <c:v>0.77548642427900649</c:v>
                </c:pt>
                <c:pt idx="11">
                  <c:v>0.79688102422343443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D8-42EF-9AB4-9057583A3CB9}"/>
            </c:ext>
          </c:extLst>
        </c:ser>
        <c:ser>
          <c:idx val="1"/>
          <c:order val="1"/>
          <c:tx>
            <c:strRef>
              <c:f>'uptake 1'!$N$1</c:f>
              <c:strCache>
                <c:ptCount val="1"/>
                <c:pt idx="0">
                  <c:v>CO corr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'uptake 1'!$A$2:$A$13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'uptake 1'!$N$2:$N$13</c:f>
              <c:numCache>
                <c:formatCode>0.000</c:formatCode>
                <c:ptCount val="12"/>
                <c:pt idx="0" formatCode="General">
                  <c:v>0</c:v>
                </c:pt>
                <c:pt idx="1">
                  <c:v>0.12625603209564973</c:v>
                </c:pt>
                <c:pt idx="2">
                  <c:v>0.14427859115907318</c:v>
                </c:pt>
                <c:pt idx="3">
                  <c:v>0.17824269505795895</c:v>
                </c:pt>
                <c:pt idx="4">
                  <c:v>0.18378332866458613</c:v>
                </c:pt>
                <c:pt idx="5">
                  <c:v>0.19920352843609554</c:v>
                </c:pt>
                <c:pt idx="6">
                  <c:v>0.21218945688184485</c:v>
                </c:pt>
                <c:pt idx="7">
                  <c:v>0.21197287592552777</c:v>
                </c:pt>
                <c:pt idx="8">
                  <c:v>0.21159397219265294</c:v>
                </c:pt>
                <c:pt idx="9">
                  <c:v>0.21030318909577497</c:v>
                </c:pt>
                <c:pt idx="10">
                  <c:v>0.21123983718815917</c:v>
                </c:pt>
                <c:pt idx="11">
                  <c:v>0.21277671740601634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7D8-42EF-9AB4-9057583A3CB9}"/>
            </c:ext>
          </c:extLst>
        </c:ser>
        <c:ser>
          <c:idx val="2"/>
          <c:order val="2"/>
          <c:tx>
            <c:strRef>
              <c:f>'uptake 1'!$O$1</c:f>
              <c:strCache>
                <c:ptCount val="1"/>
                <c:pt idx="0">
                  <c:v>GUA total corr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'uptake 1'!$A$2:$A$13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'uptake 1'!$O$2:$O$13</c:f>
              <c:numCache>
                <c:formatCode>0.000</c:formatCode>
                <c:ptCount val="12"/>
                <c:pt idx="0" formatCode="General">
                  <c:v>0</c:v>
                </c:pt>
                <c:pt idx="1">
                  <c:v>1.4436197829819928E-2</c:v>
                </c:pt>
                <c:pt idx="2">
                  <c:v>2.958095253381007E-2</c:v>
                </c:pt>
                <c:pt idx="3">
                  <c:v>6.3973856162221801E-2</c:v>
                </c:pt>
                <c:pt idx="4">
                  <c:v>7.2858637504995744E-2</c:v>
                </c:pt>
                <c:pt idx="5">
                  <c:v>0.17083219763272037</c:v>
                </c:pt>
                <c:pt idx="6">
                  <c:v>0.23308324772790112</c:v>
                </c:pt>
                <c:pt idx="7">
                  <c:v>0.37551994584847659</c:v>
                </c:pt>
                <c:pt idx="8">
                  <c:v>0.42733588210241991</c:v>
                </c:pt>
                <c:pt idx="9">
                  <c:v>0.64584994602272838</c:v>
                </c:pt>
                <c:pt idx="10">
                  <c:v>1.2979569989614688</c:v>
                </c:pt>
                <c:pt idx="11">
                  <c:v>2.6322555012921907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7D8-42EF-9AB4-9057583A3CB9}"/>
            </c:ext>
          </c:extLst>
        </c:ser>
        <c:ser>
          <c:idx val="3"/>
          <c:order val="3"/>
          <c:tx>
            <c:strRef>
              <c:f>'uptake 1'!$R$1</c:f>
              <c:strCache>
                <c:ptCount val="1"/>
                <c:pt idx="0">
                  <c:v>GUA second + recom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'uptake 1'!$A$2:$A$13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'uptake 1'!$R$2:$R$13</c:f>
              <c:numCache>
                <c:formatCode>0.000</c:formatCode>
                <c:ptCount val="12"/>
                <c:pt idx="0" formatCode="General">
                  <c:v>-1.8268072920264571E-19</c:v>
                </c:pt>
                <c:pt idx="1">
                  <c:v>4.256571812044049E-3</c:v>
                </c:pt>
                <c:pt idx="2">
                  <c:v>1.2735989309537683E-2</c:v>
                </c:pt>
                <c:pt idx="3">
                  <c:v>2.1557061103575199E-2</c:v>
                </c:pt>
                <c:pt idx="4">
                  <c:v>2.2723350402530713E-2</c:v>
                </c:pt>
                <c:pt idx="5">
                  <c:v>4.1296178472659512E-2</c:v>
                </c:pt>
                <c:pt idx="6">
                  <c:v>5.5856704264425933E-2</c:v>
                </c:pt>
                <c:pt idx="7">
                  <c:v>6.7305726594567197E-2</c:v>
                </c:pt>
                <c:pt idx="8">
                  <c:v>7.4267857499158249E-2</c:v>
                </c:pt>
                <c:pt idx="9">
                  <c:v>7.5417965985642335E-2</c:v>
                </c:pt>
                <c:pt idx="10">
                  <c:v>7.928466349323765E-2</c:v>
                </c:pt>
                <c:pt idx="11">
                  <c:v>7.3579958087543196E-2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7D8-42EF-9AB4-9057583A3CB9}"/>
            </c:ext>
          </c:extLst>
        </c:ser>
        <c:ser>
          <c:idx val="4"/>
          <c:order val="4"/>
          <c:tx>
            <c:strRef>
              <c:f>'uptake 1'!$L$19</c:f>
              <c:strCache>
                <c:ptCount val="1"/>
                <c:pt idx="0">
                  <c:v>45 line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'uptake 1'!$M$19:$M$21</c:f>
              <c:numCache>
                <c:formatCode>General</c:formatCode>
                <c:ptCount val="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</c:numCache>
            </c:numRef>
          </c:xVal>
          <c:yVal>
            <c:numRef>
              <c:f>'uptake 1'!$N$19:$N$21</c:f>
              <c:numCache>
                <c:formatCode>General</c:formatCode>
                <c:ptCount val="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7D8-42EF-9AB4-9057583A3C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7622608"/>
        <c:axId val="847623000"/>
      </c:scatterChart>
      <c:valAx>
        <c:axId val="847622608"/>
        <c:scaling>
          <c:orientation val="minMax"/>
          <c:max val="5.000000000000001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623000"/>
        <c:crosses val="autoZero"/>
        <c:crossBetween val="midCat"/>
      </c:valAx>
      <c:valAx>
        <c:axId val="84762300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622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Find initial slope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477130940737325"/>
          <c:y val="4.3475673372611538E-2"/>
          <c:w val="0.74332513685828938"/>
          <c:h val="0.57392576114027927"/>
        </c:manualLayout>
      </c:layout>
      <c:scatterChart>
        <c:scatterStyle val="lineMarker"/>
        <c:varyColors val="0"/>
        <c:ser>
          <c:idx val="0"/>
          <c:order val="0"/>
          <c:tx>
            <c:strRef>
              <c:f>'uptake area'!$N$1</c:f>
              <c:strCache>
                <c:ptCount val="1"/>
                <c:pt idx="0">
                  <c:v>CO corr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'uptake area'!$A$2:$A$13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'uptake area'!$N$2:$N$13</c:f>
              <c:numCache>
                <c:formatCode>#,##0</c:formatCode>
                <c:ptCount val="12"/>
                <c:pt idx="0">
                  <c:v>0</c:v>
                </c:pt>
                <c:pt idx="1">
                  <c:v>369492.7050874859</c:v>
                </c:pt>
                <c:pt idx="2">
                  <c:v>422236.3561464579</c:v>
                </c:pt>
                <c:pt idx="3">
                  <c:v>521633.49715564487</c:v>
                </c:pt>
                <c:pt idx="4">
                  <c:v>537848.35568739695</c:v>
                </c:pt>
                <c:pt idx="5">
                  <c:v>582976.11102702294</c:v>
                </c:pt>
                <c:pt idx="6">
                  <c:v>620979.88597424596</c:v>
                </c:pt>
                <c:pt idx="7">
                  <c:v>620346.05421118694</c:v>
                </c:pt>
                <c:pt idx="8">
                  <c:v>619237.17915069393</c:v>
                </c:pt>
                <c:pt idx="9">
                  <c:v>615459.65715645498</c:v>
                </c:pt>
                <c:pt idx="10">
                  <c:v>618200.79064232192</c:v>
                </c:pt>
                <c:pt idx="11">
                  <c:v>622698.5244904859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50-4F93-A4B1-1E2AFE5B949B}"/>
            </c:ext>
          </c:extLst>
        </c:ser>
        <c:ser>
          <c:idx val="1"/>
          <c:order val="1"/>
          <c:tx>
            <c:strRef>
              <c:f>'uptake area'!$O$1</c:f>
              <c:strCache>
                <c:ptCount val="1"/>
                <c:pt idx="0">
                  <c:v>GUA total corr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'uptake area'!$A$2:$A$13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'uptake area'!$O$2:$O$13</c:f>
              <c:numCache>
                <c:formatCode>#,##0</c:formatCode>
                <c:ptCount val="12"/>
                <c:pt idx="0">
                  <c:v>0</c:v>
                </c:pt>
                <c:pt idx="1">
                  <c:v>1123.00137455612</c:v>
                </c:pt>
                <c:pt idx="2">
                  <c:v>2301.12185685962</c:v>
                </c:pt>
                <c:pt idx="3">
                  <c:v>4976.5685710838397</c:v>
                </c:pt>
                <c:pt idx="4">
                  <c:v>5667.7215864543805</c:v>
                </c:pt>
                <c:pt idx="5">
                  <c:v>13289.14960999677</c:v>
                </c:pt>
                <c:pt idx="6">
                  <c:v>18131.69995798697</c:v>
                </c:pt>
                <c:pt idx="7">
                  <c:v>29211.944885514167</c:v>
                </c:pt>
                <c:pt idx="8">
                  <c:v>33242.740827981273</c:v>
                </c:pt>
                <c:pt idx="9">
                  <c:v>50241.094344269375</c:v>
                </c:pt>
                <c:pt idx="10">
                  <c:v>100968.93317280397</c:v>
                </c:pt>
                <c:pt idx="11">
                  <c:v>204764.89592210797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250-4F93-A4B1-1E2AFE5B949B}"/>
            </c:ext>
          </c:extLst>
        </c:ser>
        <c:ser>
          <c:idx val="2"/>
          <c:order val="2"/>
          <c:tx>
            <c:strRef>
              <c:f>'uptake area'!$P$1</c:f>
              <c:strCache>
                <c:ptCount val="1"/>
                <c:pt idx="0">
                  <c:v>Benzene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'uptake area'!$A$2:$A$13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'uptake area'!$P$2:$P$13</c:f>
              <c:numCache>
                <c:formatCode>#,##0</c:formatCode>
                <c:ptCount val="12"/>
                <c:pt idx="0">
                  <c:v>0</c:v>
                </c:pt>
                <c:pt idx="1">
                  <c:v>61.702380744041022</c:v>
                </c:pt>
                <c:pt idx="2">
                  <c:v>153.49410905686699</c:v>
                </c:pt>
                <c:pt idx="3">
                  <c:v>229.73054905644801</c:v>
                </c:pt>
                <c:pt idx="4">
                  <c:v>342.87304976849401</c:v>
                </c:pt>
                <c:pt idx="5">
                  <c:v>547.75542111203504</c:v>
                </c:pt>
                <c:pt idx="6">
                  <c:v>696.85043635950103</c:v>
                </c:pt>
                <c:pt idx="7">
                  <c:v>909.93309697389407</c:v>
                </c:pt>
                <c:pt idx="8">
                  <c:v>902.80313072230399</c:v>
                </c:pt>
                <c:pt idx="9">
                  <c:v>1020.0124737153441</c:v>
                </c:pt>
                <c:pt idx="10">
                  <c:v>1071.3432244094338</c:v>
                </c:pt>
                <c:pt idx="11">
                  <c:v>1021.8198180778239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250-4F93-A4B1-1E2AFE5B949B}"/>
            </c:ext>
          </c:extLst>
        </c:ser>
        <c:ser>
          <c:idx val="6"/>
          <c:order val="6"/>
          <c:tx>
            <c:v>CO corr few data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1.5728293184013968E-2"/>
                  <c:y val="-1.7353403242005452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'uptake area'!$A$2:$A$4</c:f>
              <c:numCache>
                <c:formatCode>General</c:formatCode>
                <c:ptCount val="3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</c:numCache>
            </c:numRef>
          </c:xVal>
          <c:yVal>
            <c:numRef>
              <c:f>'uptake area'!$N$2:$N$4</c:f>
              <c:numCache>
                <c:formatCode>#,##0</c:formatCode>
                <c:ptCount val="3"/>
                <c:pt idx="0">
                  <c:v>0</c:v>
                </c:pt>
                <c:pt idx="1">
                  <c:v>369492.7050874859</c:v>
                </c:pt>
                <c:pt idx="2">
                  <c:v>422236.3561464579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250-4F93-A4B1-1E2AFE5B949B}"/>
            </c:ext>
          </c:extLst>
        </c:ser>
        <c:ser>
          <c:idx val="8"/>
          <c:order val="8"/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('uptake area'!$A$8,'uptake area'!$A$8)</c:f>
              <c:numCache>
                <c:formatCode>General</c:formatCode>
                <c:ptCount val="2"/>
                <c:pt idx="0">
                  <c:v>1.4999999999999999E-2</c:v>
                </c:pt>
                <c:pt idx="1">
                  <c:v>1.4999999999999999E-2</c:v>
                </c:pt>
              </c:numCache>
            </c:numRef>
          </c:xVal>
          <c:yVal>
            <c:numRef>
              <c:f>('uptake area'!$J$18,'uptake area'!$K$18)</c:f>
              <c:numCache>
                <c:formatCode>#,##0</c:formatCode>
                <c:ptCount val="2"/>
                <c:pt idx="0" formatCode="General">
                  <c:v>0</c:v>
                </c:pt>
                <c:pt idx="1">
                  <c:v>650000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250-4F93-A4B1-1E2AFE5B949B}"/>
            </c:ext>
          </c:extLst>
        </c:ser>
        <c:ser>
          <c:idx val="11"/>
          <c:order val="11"/>
          <c:tx>
            <c:strRef>
              <c:f>'uptake area'!$M$1</c:f>
              <c:strCache>
                <c:ptCount val="1"/>
                <c:pt idx="0">
                  <c:v>H2 corr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'uptake area'!$A$2:$A$13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'uptake area'!$M$2:$M$13</c:f>
              <c:numCache>
                <c:formatCode>#,##0</c:formatCode>
                <c:ptCount val="12"/>
                <c:pt idx="0">
                  <c:v>0</c:v>
                </c:pt>
                <c:pt idx="1">
                  <c:v>378316.59492356179</c:v>
                </c:pt>
                <c:pt idx="2">
                  <c:v>456564.08049371984</c:v>
                </c:pt>
                <c:pt idx="3">
                  <c:v>546424.75885362271</c:v>
                </c:pt>
                <c:pt idx="4">
                  <c:v>582993.19896917476</c:v>
                </c:pt>
                <c:pt idx="5">
                  <c:v>655850.01726366673</c:v>
                </c:pt>
                <c:pt idx="6">
                  <c:v>692757.66112320474</c:v>
                </c:pt>
                <c:pt idx="7">
                  <c:v>688569.2073738958</c:v>
                </c:pt>
                <c:pt idx="8">
                  <c:v>689095.27819479071</c:v>
                </c:pt>
                <c:pt idx="9">
                  <c:v>697897.10451467172</c:v>
                </c:pt>
                <c:pt idx="10">
                  <c:v>684252.72730500577</c:v>
                </c:pt>
                <c:pt idx="11">
                  <c:v>703130.31549126573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0250-4F93-A4B1-1E2AFE5B949B}"/>
            </c:ext>
          </c:extLst>
        </c:ser>
        <c:ser>
          <c:idx val="12"/>
          <c:order val="12"/>
          <c:tx>
            <c:v>H2 corr few data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2.5188629420751805E-2"/>
                  <c:y val="-3.612536161701065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'uptake area'!$A$2:$A$4</c:f>
              <c:numCache>
                <c:formatCode>General</c:formatCode>
                <c:ptCount val="3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</c:numCache>
            </c:numRef>
          </c:xVal>
          <c:yVal>
            <c:numRef>
              <c:f>'uptake area'!$M$2:$M$4</c:f>
              <c:numCache>
                <c:formatCode>#,##0</c:formatCode>
                <c:ptCount val="3"/>
                <c:pt idx="0">
                  <c:v>0</c:v>
                </c:pt>
                <c:pt idx="1">
                  <c:v>378316.59492356179</c:v>
                </c:pt>
                <c:pt idx="2">
                  <c:v>456564.08049371984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0250-4F93-A4B1-1E2AFE5B94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1302056"/>
        <c:axId val="1028449696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'uptake area'!$Q$1</c15:sqref>
                        </c15:formulaRef>
                      </c:ext>
                    </c:extLst>
                    <c:strCache>
                      <c:ptCount val="1"/>
                      <c:pt idx="0">
                        <c:v>GUA second corr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'uptake area'!$A$2:$A$13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'uptake area'!$Q$2:$Q$13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0</c:v>
                      </c:pt>
                      <c:pt idx="1">
                        <c:v>209.03110248878599</c:v>
                      </c:pt>
                      <c:pt idx="2">
                        <c:v>752.40722040041396</c:v>
                      </c:pt>
                      <c:pt idx="3">
                        <c:v>1312.705675017982</c:v>
                      </c:pt>
                      <c:pt idx="4">
                        <c:v>1473.8052772607921</c:v>
                      </c:pt>
                      <c:pt idx="5">
                        <c:v>2666.8549778959418</c:v>
                      </c:pt>
                      <c:pt idx="6">
                        <c:v>3674.6650334621322</c:v>
                      </c:pt>
                      <c:pt idx="7">
                        <c:v>4564.3454663684124</c:v>
                      </c:pt>
                      <c:pt idx="8">
                        <c:v>4940.4494235946422</c:v>
                      </c:pt>
                      <c:pt idx="9">
                        <c:v>5216.3827338111523</c:v>
                      </c:pt>
                      <c:pt idx="10">
                        <c:v>5565.0095271128121</c:v>
                      </c:pt>
                      <c:pt idx="11">
                        <c:v>4782.9518331509516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0250-4F93-A4B1-1E2AFE5B949B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'uptake area'!$R$1</c15:sqref>
                        </c15:formulaRef>
                      </c:ext>
                    </c:extLst>
                    <c:strCache>
                      <c:ptCount val="1"/>
                      <c:pt idx="0">
                        <c:v>GUA recom corr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'uptake area'!$A$2:$A$13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'uptake area'!$R$2:$R$13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0</c:v>
                      </c:pt>
                      <c:pt idx="1">
                        <c:v>122.090433262704</c:v>
                      </c:pt>
                      <c:pt idx="2">
                        <c:v>238.33380916618302</c:v>
                      </c:pt>
                      <c:pt idx="3">
                        <c:v>364.232361997488</c:v>
                      </c:pt>
                      <c:pt idx="4">
                        <c:v>293.85917548387204</c:v>
                      </c:pt>
                      <c:pt idx="5">
                        <c:v>545.60205098435301</c:v>
                      </c:pt>
                      <c:pt idx="6">
                        <c:v>670.46492434112997</c:v>
                      </c:pt>
                      <c:pt idx="7">
                        <c:v>671.41150871733191</c:v>
                      </c:pt>
                      <c:pt idx="8">
                        <c:v>836.89631799756091</c:v>
                      </c:pt>
                      <c:pt idx="9">
                        <c:v>650.43070740915994</c:v>
                      </c:pt>
                      <c:pt idx="10">
                        <c:v>602.59686992670095</c:v>
                      </c:pt>
                      <c:pt idx="11">
                        <c:v>940.88175836498101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0250-4F93-A4B1-1E2AFE5B949B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'uptake area'!$S$1</c15:sqref>
                        </c15:formulaRef>
                      </c:ext>
                    </c:extLst>
                    <c:strCache>
                      <c:ptCount val="1"/>
                      <c:pt idx="0">
                        <c:v>GUA second + recom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'uptake area'!$A$2:$A$13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'uptake area'!$S$2:$S$13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-1.4210854715202004E-14</c:v>
                      </c:pt>
                      <c:pt idx="1">
                        <c:v>331.12153575149</c:v>
                      </c:pt>
                      <c:pt idx="2">
                        <c:v>990.74102956659692</c:v>
                      </c:pt>
                      <c:pt idx="3">
                        <c:v>1676.9380370154699</c:v>
                      </c:pt>
                      <c:pt idx="4">
                        <c:v>1767.6644527446642</c:v>
                      </c:pt>
                      <c:pt idx="5">
                        <c:v>3212.4570288802947</c:v>
                      </c:pt>
                      <c:pt idx="6">
                        <c:v>4345.1299578032622</c:v>
                      </c:pt>
                      <c:pt idx="7">
                        <c:v>5235.7569750857438</c:v>
                      </c:pt>
                      <c:pt idx="8">
                        <c:v>5777.345741592203</c:v>
                      </c:pt>
                      <c:pt idx="9">
                        <c:v>5866.8134412203117</c:v>
                      </c:pt>
                      <c:pt idx="10">
                        <c:v>6167.6063970395126</c:v>
                      </c:pt>
                      <c:pt idx="11">
                        <c:v>5723.8335915159323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0250-4F93-A4B1-1E2AFE5B949B}"/>
                  </c:ext>
                </c:extLst>
              </c15:ser>
            </c15:filteredScatterSeries>
          </c:ext>
        </c:extLst>
      </c:scatterChart>
      <c:scatterChart>
        <c:scatterStyle val="lineMarker"/>
        <c:varyColors val="0"/>
        <c:ser>
          <c:idx val="7"/>
          <c:order val="7"/>
          <c:tx>
            <c:strRef>
              <c:f>'uptake area'!$A$16</c:f>
              <c:strCache>
                <c:ptCount val="1"/>
                <c:pt idx="0">
                  <c:v>trendline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'uptake area'!$A$2:$A$13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'uptake area'!$B$17:$B$28</c:f>
              <c:numCache>
                <c:formatCode>0.00E+00</c:formatCode>
                <c:ptCount val="12"/>
                <c:pt idx="0">
                  <c:v>0</c:v>
                </c:pt>
                <c:pt idx="1">
                  <c:v>300000</c:v>
                </c:pt>
                <c:pt idx="2">
                  <c:v>500000</c:v>
                </c:pt>
                <c:pt idx="3">
                  <c:v>1000000</c:v>
                </c:pt>
                <c:pt idx="4">
                  <c:v>1500000</c:v>
                </c:pt>
                <c:pt idx="5">
                  <c:v>2000000</c:v>
                </c:pt>
                <c:pt idx="6">
                  <c:v>3000000</c:v>
                </c:pt>
                <c:pt idx="7">
                  <c:v>5000000</c:v>
                </c:pt>
                <c:pt idx="8">
                  <c:v>7000000.0000000009</c:v>
                </c:pt>
                <c:pt idx="9">
                  <c:v>10000000</c:v>
                </c:pt>
                <c:pt idx="10">
                  <c:v>18000000</c:v>
                </c:pt>
                <c:pt idx="11">
                  <c:v>30000000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250-4F93-A4B1-1E2AFE5B949B}"/>
            </c:ext>
          </c:extLst>
        </c:ser>
        <c:ser>
          <c:idx val="9"/>
          <c:order val="9"/>
          <c:tx>
            <c:strRef>
              <c:f>'uptake area'!$F$16</c:f>
              <c:strCache>
                <c:ptCount val="1"/>
                <c:pt idx="0">
                  <c:v>CO+ factor*(GUA_total + B)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'uptake area'!$A$17:$A$28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'uptake area'!$F$17:$F$28</c:f>
              <c:numCache>
                <c:formatCode>0.00E+00</c:formatCode>
                <c:ptCount val="12"/>
                <c:pt idx="0">
                  <c:v>0</c:v>
                </c:pt>
                <c:pt idx="1">
                  <c:v>558016.78126647545</c:v>
                </c:pt>
                <c:pt idx="2">
                  <c:v>812843.88590089721</c:v>
                </c:pt>
                <c:pt idx="3">
                  <c:v>1350121.4018700635</c:v>
                </c:pt>
                <c:pt idx="4">
                  <c:v>1494325.2774586207</c:v>
                </c:pt>
                <c:pt idx="5">
                  <c:v>2784868.1253772918</c:v>
                </c:pt>
                <c:pt idx="6">
                  <c:v>3617201.5599608948</c:v>
                </c:pt>
                <c:pt idx="7">
                  <c:v>5413695.6101818532</c:v>
                </c:pt>
                <c:pt idx="8">
                  <c:v>6052880.0638334574</c:v>
                </c:pt>
                <c:pt idx="9">
                  <c:v>8772733.3751962651</c:v>
                </c:pt>
                <c:pt idx="10">
                  <c:v>16856056.672140252</c:v>
                </c:pt>
                <c:pt idx="11">
                  <c:v>33369915.118732996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0250-4F93-A4B1-1E2AFE5B949B}"/>
            </c:ext>
          </c:extLst>
        </c:ser>
        <c:ser>
          <c:idx val="10"/>
          <c:order val="10"/>
          <c:tx>
            <c:strRef>
              <c:f>'uptake area'!$B$50</c:f>
              <c:strCache>
                <c:ptCount val="1"/>
                <c:pt idx="0">
                  <c:v>two factor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'uptake area'!$A$51:$A$62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'uptake area'!$B$51:$B$62</c:f>
              <c:numCache>
                <c:formatCode>General</c:formatCode>
                <c:ptCount val="12"/>
                <c:pt idx="0" formatCode="0.00E+00">
                  <c:v>0</c:v>
                </c:pt>
                <c:pt idx="1">
                  <c:v>495995.61158325878</c:v>
                </c:pt>
                <c:pt idx="2">
                  <c:v>684340.7452227727</c:v>
                </c:pt>
                <c:pt idx="3">
                  <c:v>1077563.1697321136</c:v>
                </c:pt>
                <c:pt idx="4">
                  <c:v>1179660.8660710154</c:v>
                </c:pt>
                <c:pt idx="5">
                  <c:v>2060483.6275772313</c:v>
                </c:pt>
                <c:pt idx="6">
                  <c:v>3452550.0589218591</c:v>
                </c:pt>
                <c:pt idx="7">
                  <c:v>5150286.4618376167</c:v>
                </c:pt>
                <c:pt idx="8">
                  <c:v>5754284.8481187606</c:v>
                </c:pt>
                <c:pt idx="9">
                  <c:v>8324466.3548611365</c:v>
                </c:pt>
                <c:pt idx="10">
                  <c:v>15963737.065831952</c:v>
                </c:pt>
                <c:pt idx="11">
                  <c:v>31570355.889219034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0250-4F93-A4B1-1E2AFE5B94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8582064"/>
        <c:axId val="1038858848"/>
      </c:scatterChart>
      <c:valAx>
        <c:axId val="851302056"/>
        <c:scaling>
          <c:orientation val="minMax"/>
          <c:max val="2.0000000000000004E-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8449696"/>
        <c:crosses val="autoZero"/>
        <c:crossBetween val="midCat"/>
      </c:valAx>
      <c:valAx>
        <c:axId val="10284496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1302056"/>
        <c:crosses val="autoZero"/>
        <c:crossBetween val="midCat"/>
      </c:valAx>
      <c:valAx>
        <c:axId val="103885884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trendline and factor</a:t>
                </a:r>
                <a:r>
                  <a:rPr lang="en-US" b="1" baseline="0"/>
                  <a:t> eqn.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8582064"/>
        <c:crosses val="max"/>
        <c:crossBetween val="midCat"/>
      </c:valAx>
      <c:valAx>
        <c:axId val="15385820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38858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'uptake area'!$N$1</c:f>
              <c:strCache>
                <c:ptCount val="1"/>
                <c:pt idx="0">
                  <c:v>CO corr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'uptake area'!$A$2:$A$13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'uptake area'!$N$2:$N$13</c:f>
              <c:numCache>
                <c:formatCode>#,##0</c:formatCode>
                <c:ptCount val="12"/>
                <c:pt idx="0">
                  <c:v>0</c:v>
                </c:pt>
                <c:pt idx="1">
                  <c:v>369492.7050874859</c:v>
                </c:pt>
                <c:pt idx="2">
                  <c:v>422236.3561464579</c:v>
                </c:pt>
                <c:pt idx="3">
                  <c:v>521633.49715564487</c:v>
                </c:pt>
                <c:pt idx="4">
                  <c:v>537848.35568739695</c:v>
                </c:pt>
                <c:pt idx="5">
                  <c:v>582976.11102702294</c:v>
                </c:pt>
                <c:pt idx="6">
                  <c:v>620979.88597424596</c:v>
                </c:pt>
                <c:pt idx="7">
                  <c:v>620346.05421118694</c:v>
                </c:pt>
                <c:pt idx="8">
                  <c:v>619237.17915069393</c:v>
                </c:pt>
                <c:pt idx="9">
                  <c:v>615459.65715645498</c:v>
                </c:pt>
                <c:pt idx="10">
                  <c:v>618200.79064232192</c:v>
                </c:pt>
                <c:pt idx="11">
                  <c:v>622698.5244904859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AF-4705-B336-26F45DAEC541}"/>
            </c:ext>
          </c:extLst>
        </c:ser>
        <c:ser>
          <c:idx val="1"/>
          <c:order val="1"/>
          <c:tx>
            <c:strRef>
              <c:f>'uptake area'!$O$1</c:f>
              <c:strCache>
                <c:ptCount val="1"/>
                <c:pt idx="0">
                  <c:v>GUA total corr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'uptake area'!$A$2:$A$13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'uptake area'!$O$2:$O$13</c:f>
              <c:numCache>
                <c:formatCode>#,##0</c:formatCode>
                <c:ptCount val="12"/>
                <c:pt idx="0">
                  <c:v>0</c:v>
                </c:pt>
                <c:pt idx="1">
                  <c:v>1123.00137455612</c:v>
                </c:pt>
                <c:pt idx="2">
                  <c:v>2301.12185685962</c:v>
                </c:pt>
                <c:pt idx="3">
                  <c:v>4976.5685710838397</c:v>
                </c:pt>
                <c:pt idx="4">
                  <c:v>5667.7215864543805</c:v>
                </c:pt>
                <c:pt idx="5">
                  <c:v>13289.14960999677</c:v>
                </c:pt>
                <c:pt idx="6">
                  <c:v>18131.69995798697</c:v>
                </c:pt>
                <c:pt idx="7">
                  <c:v>29211.944885514167</c:v>
                </c:pt>
                <c:pt idx="8">
                  <c:v>33242.740827981273</c:v>
                </c:pt>
                <c:pt idx="9">
                  <c:v>50241.094344269375</c:v>
                </c:pt>
                <c:pt idx="10">
                  <c:v>100968.93317280397</c:v>
                </c:pt>
                <c:pt idx="11">
                  <c:v>204764.89592210797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AF-4705-B336-26F45DAEC541}"/>
            </c:ext>
          </c:extLst>
        </c:ser>
        <c:ser>
          <c:idx val="2"/>
          <c:order val="2"/>
          <c:tx>
            <c:strRef>
              <c:f>'uptake area'!$P$1</c:f>
              <c:strCache>
                <c:ptCount val="1"/>
                <c:pt idx="0">
                  <c:v>Benzene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'uptake area'!$A$2:$A$13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'uptake area'!$P$2:$P$13</c:f>
              <c:numCache>
                <c:formatCode>#,##0</c:formatCode>
                <c:ptCount val="12"/>
                <c:pt idx="0">
                  <c:v>0</c:v>
                </c:pt>
                <c:pt idx="1">
                  <c:v>61.702380744041022</c:v>
                </c:pt>
                <c:pt idx="2">
                  <c:v>153.49410905686699</c:v>
                </c:pt>
                <c:pt idx="3">
                  <c:v>229.73054905644801</c:v>
                </c:pt>
                <c:pt idx="4">
                  <c:v>342.87304976849401</c:v>
                </c:pt>
                <c:pt idx="5">
                  <c:v>547.75542111203504</c:v>
                </c:pt>
                <c:pt idx="6">
                  <c:v>696.85043635950103</c:v>
                </c:pt>
                <c:pt idx="7">
                  <c:v>909.93309697389407</c:v>
                </c:pt>
                <c:pt idx="8">
                  <c:v>902.80313072230399</c:v>
                </c:pt>
                <c:pt idx="9">
                  <c:v>1020.0124737153441</c:v>
                </c:pt>
                <c:pt idx="10">
                  <c:v>1071.3432244094338</c:v>
                </c:pt>
                <c:pt idx="11">
                  <c:v>1021.8198180778239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9AF-4705-B336-26F45DAEC541}"/>
            </c:ext>
          </c:extLst>
        </c:ser>
        <c:ser>
          <c:idx val="6"/>
          <c:order val="6"/>
          <c:tx>
            <c:v>CO corr few data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'uptake area'!$A$2:$A$4</c:f>
              <c:numCache>
                <c:formatCode>General</c:formatCode>
                <c:ptCount val="3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</c:numCache>
            </c:numRef>
          </c:xVal>
          <c:yVal>
            <c:numRef>
              <c:f>'uptake area'!$N$2:$N$4</c:f>
              <c:numCache>
                <c:formatCode>#,##0</c:formatCode>
                <c:ptCount val="3"/>
                <c:pt idx="0">
                  <c:v>0</c:v>
                </c:pt>
                <c:pt idx="1">
                  <c:v>369492.7050874859</c:v>
                </c:pt>
                <c:pt idx="2">
                  <c:v>422236.3561464579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9AF-4705-B336-26F45DAEC541}"/>
            </c:ext>
          </c:extLst>
        </c:ser>
        <c:ser>
          <c:idx val="8"/>
          <c:order val="8"/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('uptake area'!$A$8,'uptake area'!$A$8)</c:f>
              <c:numCache>
                <c:formatCode>General</c:formatCode>
                <c:ptCount val="2"/>
                <c:pt idx="0">
                  <c:v>1.4999999999999999E-2</c:v>
                </c:pt>
                <c:pt idx="1">
                  <c:v>1.4999999999999999E-2</c:v>
                </c:pt>
              </c:numCache>
            </c:numRef>
          </c:xVal>
          <c:yVal>
            <c:numRef>
              <c:f>('uptake area'!$J$18,'uptake area'!$K$18)</c:f>
              <c:numCache>
                <c:formatCode>#,##0</c:formatCode>
                <c:ptCount val="2"/>
                <c:pt idx="0" formatCode="General">
                  <c:v>0</c:v>
                </c:pt>
                <c:pt idx="1">
                  <c:v>650000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9AF-4705-B336-26F45DAEC5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8579712"/>
        <c:axId val="1538584024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'uptake area'!$Q$1</c15:sqref>
                        </c15:formulaRef>
                      </c:ext>
                    </c:extLst>
                    <c:strCache>
                      <c:ptCount val="1"/>
                      <c:pt idx="0">
                        <c:v>GUA second corr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'uptake area'!$A$2:$A$13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'uptake area'!$Q$2:$Q$13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0</c:v>
                      </c:pt>
                      <c:pt idx="1">
                        <c:v>209.03110248878599</c:v>
                      </c:pt>
                      <c:pt idx="2">
                        <c:v>752.40722040041396</c:v>
                      </c:pt>
                      <c:pt idx="3">
                        <c:v>1312.705675017982</c:v>
                      </c:pt>
                      <c:pt idx="4">
                        <c:v>1473.8052772607921</c:v>
                      </c:pt>
                      <c:pt idx="5">
                        <c:v>2666.8549778959418</c:v>
                      </c:pt>
                      <c:pt idx="6">
                        <c:v>3674.6650334621322</c:v>
                      </c:pt>
                      <c:pt idx="7">
                        <c:v>4564.3454663684124</c:v>
                      </c:pt>
                      <c:pt idx="8">
                        <c:v>4940.4494235946422</c:v>
                      </c:pt>
                      <c:pt idx="9">
                        <c:v>5216.3827338111523</c:v>
                      </c:pt>
                      <c:pt idx="10">
                        <c:v>5565.0095271128121</c:v>
                      </c:pt>
                      <c:pt idx="11">
                        <c:v>4782.9518331509516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7-E9AF-4705-B336-26F45DAEC541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'uptake area'!$R$1</c15:sqref>
                        </c15:formulaRef>
                      </c:ext>
                    </c:extLst>
                    <c:strCache>
                      <c:ptCount val="1"/>
                      <c:pt idx="0">
                        <c:v>GUA recom corr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'uptake area'!$A$2:$A$13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'uptake area'!$R$2:$R$13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0</c:v>
                      </c:pt>
                      <c:pt idx="1">
                        <c:v>122.090433262704</c:v>
                      </c:pt>
                      <c:pt idx="2">
                        <c:v>238.33380916618302</c:v>
                      </c:pt>
                      <c:pt idx="3">
                        <c:v>364.232361997488</c:v>
                      </c:pt>
                      <c:pt idx="4">
                        <c:v>293.85917548387204</c:v>
                      </c:pt>
                      <c:pt idx="5">
                        <c:v>545.60205098435301</c:v>
                      </c:pt>
                      <c:pt idx="6">
                        <c:v>670.46492434112997</c:v>
                      </c:pt>
                      <c:pt idx="7">
                        <c:v>671.41150871733191</c:v>
                      </c:pt>
                      <c:pt idx="8">
                        <c:v>836.89631799756091</c:v>
                      </c:pt>
                      <c:pt idx="9">
                        <c:v>650.43070740915994</c:v>
                      </c:pt>
                      <c:pt idx="10">
                        <c:v>602.59686992670095</c:v>
                      </c:pt>
                      <c:pt idx="11">
                        <c:v>940.88175836498101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E9AF-4705-B336-26F45DAEC541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'uptake area'!$S$1</c15:sqref>
                        </c15:formulaRef>
                      </c:ext>
                    </c:extLst>
                    <c:strCache>
                      <c:ptCount val="1"/>
                      <c:pt idx="0">
                        <c:v>GUA second + recom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'uptake area'!$A$2:$A$13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'uptake area'!$S$2:$S$13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-1.4210854715202004E-14</c:v>
                      </c:pt>
                      <c:pt idx="1">
                        <c:v>331.12153575149</c:v>
                      </c:pt>
                      <c:pt idx="2">
                        <c:v>990.74102956659692</c:v>
                      </c:pt>
                      <c:pt idx="3">
                        <c:v>1676.9380370154699</c:v>
                      </c:pt>
                      <c:pt idx="4">
                        <c:v>1767.6644527446642</c:v>
                      </c:pt>
                      <c:pt idx="5">
                        <c:v>3212.4570288802947</c:v>
                      </c:pt>
                      <c:pt idx="6">
                        <c:v>4345.1299578032622</c:v>
                      </c:pt>
                      <c:pt idx="7">
                        <c:v>5235.7569750857438</c:v>
                      </c:pt>
                      <c:pt idx="8">
                        <c:v>5777.345741592203</c:v>
                      </c:pt>
                      <c:pt idx="9">
                        <c:v>5866.8134412203117</c:v>
                      </c:pt>
                      <c:pt idx="10">
                        <c:v>6167.6063970395126</c:v>
                      </c:pt>
                      <c:pt idx="11">
                        <c:v>5723.8335915159323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E9AF-4705-B336-26F45DAEC541}"/>
                  </c:ext>
                </c:extLst>
              </c15:ser>
            </c15:filteredScatterSeries>
          </c:ext>
        </c:extLst>
      </c:scatterChart>
      <c:scatterChart>
        <c:scatterStyle val="lineMarker"/>
        <c:varyColors val="0"/>
        <c:ser>
          <c:idx val="7"/>
          <c:order val="7"/>
          <c:tx>
            <c:strRef>
              <c:f>'uptake area'!$A$16</c:f>
              <c:strCache>
                <c:ptCount val="1"/>
                <c:pt idx="0">
                  <c:v>trendline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'uptake area'!$A$2:$A$13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'uptake area'!$B$17:$B$28</c:f>
              <c:numCache>
                <c:formatCode>0.00E+00</c:formatCode>
                <c:ptCount val="12"/>
                <c:pt idx="0">
                  <c:v>0</c:v>
                </c:pt>
                <c:pt idx="1">
                  <c:v>300000</c:v>
                </c:pt>
                <c:pt idx="2">
                  <c:v>500000</c:v>
                </c:pt>
                <c:pt idx="3">
                  <c:v>1000000</c:v>
                </c:pt>
                <c:pt idx="4">
                  <c:v>1500000</c:v>
                </c:pt>
                <c:pt idx="5">
                  <c:v>2000000</c:v>
                </c:pt>
                <c:pt idx="6">
                  <c:v>3000000</c:v>
                </c:pt>
                <c:pt idx="7">
                  <c:v>5000000</c:v>
                </c:pt>
                <c:pt idx="8">
                  <c:v>7000000.0000000009</c:v>
                </c:pt>
                <c:pt idx="9">
                  <c:v>10000000</c:v>
                </c:pt>
                <c:pt idx="10">
                  <c:v>18000000</c:v>
                </c:pt>
                <c:pt idx="11">
                  <c:v>30000000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9AF-4705-B336-26F45DAEC541}"/>
            </c:ext>
          </c:extLst>
        </c:ser>
        <c:ser>
          <c:idx val="9"/>
          <c:order val="9"/>
          <c:tx>
            <c:strRef>
              <c:f>'uptake area'!$F$16</c:f>
              <c:strCache>
                <c:ptCount val="1"/>
                <c:pt idx="0">
                  <c:v>CO+ factor*(GUA_total + B)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'uptake area'!$A$34:$A$45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'uptake area'!$F$34:$F$45</c:f>
              <c:numCache>
                <c:formatCode>General</c:formatCode>
                <c:ptCount val="12"/>
                <c:pt idx="0" formatCode="0.00E+00">
                  <c:v>0</c:v>
                </c:pt>
                <c:pt idx="1">
                  <c:v>547423.64933491149</c:v>
                </c:pt>
                <c:pt idx="2">
                  <c:v>790895.72320457117</c:v>
                </c:pt>
                <c:pt idx="3">
                  <c:v>1303568.8243095595</c:v>
                </c:pt>
                <c:pt idx="4">
                  <c:v>1440581.0214082738</c:v>
                </c:pt>
                <c:pt idx="5">
                  <c:v>2661144.2324941144</c:v>
                </c:pt>
                <c:pt idx="6">
                  <c:v>3448844.434801891</c:v>
                </c:pt>
                <c:pt idx="7">
                  <c:v>5144358.21164029</c:v>
                </c:pt>
                <c:pt idx="8">
                  <c:v>5747564.7051107893</c:v>
                </c:pt>
                <c:pt idx="9">
                  <c:v>8314377.7187281055</c:v>
                </c:pt>
                <c:pt idx="10">
                  <c:v>15943654.64304813</c:v>
                </c:pt>
                <c:pt idx="11">
                  <c:v>31529855.255795609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9AF-4705-B336-26F45DAEC541}"/>
            </c:ext>
          </c:extLst>
        </c:ser>
        <c:ser>
          <c:idx val="10"/>
          <c:order val="10"/>
          <c:tx>
            <c:strRef>
              <c:f>'uptake area'!$B$50</c:f>
              <c:strCache>
                <c:ptCount val="1"/>
                <c:pt idx="0">
                  <c:v>two factor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'uptake area'!$A$51:$A$62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'uptake area'!$B$51:$B$62</c:f>
              <c:numCache>
                <c:formatCode>General</c:formatCode>
                <c:ptCount val="12"/>
                <c:pt idx="0" formatCode="0.00E+00">
                  <c:v>0</c:v>
                </c:pt>
                <c:pt idx="1">
                  <c:v>495995.61158325878</c:v>
                </c:pt>
                <c:pt idx="2">
                  <c:v>684340.7452227727</c:v>
                </c:pt>
                <c:pt idx="3">
                  <c:v>1077563.1697321136</c:v>
                </c:pt>
                <c:pt idx="4">
                  <c:v>1179660.8660710154</c:v>
                </c:pt>
                <c:pt idx="5">
                  <c:v>2060483.6275772313</c:v>
                </c:pt>
                <c:pt idx="6">
                  <c:v>3452550.0589218591</c:v>
                </c:pt>
                <c:pt idx="7">
                  <c:v>5150286.4618376167</c:v>
                </c:pt>
                <c:pt idx="8">
                  <c:v>5754284.8481187606</c:v>
                </c:pt>
                <c:pt idx="9">
                  <c:v>8324466.3548611365</c:v>
                </c:pt>
                <c:pt idx="10">
                  <c:v>15963737.065831952</c:v>
                </c:pt>
                <c:pt idx="11">
                  <c:v>31570355.889219034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E9AF-4705-B336-26F45DAEC5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8583240"/>
        <c:axId val="1538580104"/>
      </c:scatterChart>
      <c:valAx>
        <c:axId val="1538579712"/>
        <c:scaling>
          <c:orientation val="minMax"/>
          <c:max val="4.0000000000000008E-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8584024"/>
        <c:crosses val="autoZero"/>
        <c:crossBetween val="midCat"/>
      </c:valAx>
      <c:valAx>
        <c:axId val="1538584024"/>
        <c:scaling>
          <c:orientation val="minMax"/>
          <c:max val="1600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8579712"/>
        <c:crosses val="autoZero"/>
        <c:crossBetween val="midCat"/>
      </c:valAx>
      <c:valAx>
        <c:axId val="1538580104"/>
        <c:scaling>
          <c:orientation val="minMax"/>
        </c:scaling>
        <c:delete val="1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trendline and factor</a:t>
                </a:r>
                <a:r>
                  <a:rPr lang="en-US" b="1" baseline="0"/>
                  <a:t> eqn.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out"/>
        <c:minorTickMark val="none"/>
        <c:tickLblPos val="nextTo"/>
        <c:crossAx val="1538583240"/>
        <c:crosses val="max"/>
        <c:crossBetween val="midCat"/>
      </c:valAx>
      <c:valAx>
        <c:axId val="15385832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38580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'uptake area'!$N$1</c:f>
              <c:strCache>
                <c:ptCount val="1"/>
                <c:pt idx="0">
                  <c:v>CO corr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'uptake area'!$A$2:$A$13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'uptake area'!$N$2:$N$13</c:f>
              <c:numCache>
                <c:formatCode>#,##0</c:formatCode>
                <c:ptCount val="12"/>
                <c:pt idx="0">
                  <c:v>0</c:v>
                </c:pt>
                <c:pt idx="1">
                  <c:v>369492.7050874859</c:v>
                </c:pt>
                <c:pt idx="2">
                  <c:v>422236.3561464579</c:v>
                </c:pt>
                <c:pt idx="3">
                  <c:v>521633.49715564487</c:v>
                </c:pt>
                <c:pt idx="4">
                  <c:v>537848.35568739695</c:v>
                </c:pt>
                <c:pt idx="5">
                  <c:v>582976.11102702294</c:v>
                </c:pt>
                <c:pt idx="6">
                  <c:v>620979.88597424596</c:v>
                </c:pt>
                <c:pt idx="7">
                  <c:v>620346.05421118694</c:v>
                </c:pt>
                <c:pt idx="8">
                  <c:v>619237.17915069393</c:v>
                </c:pt>
                <c:pt idx="9">
                  <c:v>615459.65715645498</c:v>
                </c:pt>
                <c:pt idx="10">
                  <c:v>618200.79064232192</c:v>
                </c:pt>
                <c:pt idx="11">
                  <c:v>622698.5244904859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48-417F-82F2-7A4992B821CF}"/>
            </c:ext>
          </c:extLst>
        </c:ser>
        <c:ser>
          <c:idx val="1"/>
          <c:order val="1"/>
          <c:tx>
            <c:strRef>
              <c:f>'uptake area'!$O$1</c:f>
              <c:strCache>
                <c:ptCount val="1"/>
                <c:pt idx="0">
                  <c:v>GUA total corr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'uptake area'!$A$2:$A$13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'uptake area'!$O$2:$O$13</c:f>
              <c:numCache>
                <c:formatCode>#,##0</c:formatCode>
                <c:ptCount val="12"/>
                <c:pt idx="0">
                  <c:v>0</c:v>
                </c:pt>
                <c:pt idx="1">
                  <c:v>1123.00137455612</c:v>
                </c:pt>
                <c:pt idx="2">
                  <c:v>2301.12185685962</c:v>
                </c:pt>
                <c:pt idx="3">
                  <c:v>4976.5685710838397</c:v>
                </c:pt>
                <c:pt idx="4">
                  <c:v>5667.7215864543805</c:v>
                </c:pt>
                <c:pt idx="5">
                  <c:v>13289.14960999677</c:v>
                </c:pt>
                <c:pt idx="6">
                  <c:v>18131.69995798697</c:v>
                </c:pt>
                <c:pt idx="7">
                  <c:v>29211.944885514167</c:v>
                </c:pt>
                <c:pt idx="8">
                  <c:v>33242.740827981273</c:v>
                </c:pt>
                <c:pt idx="9">
                  <c:v>50241.094344269375</c:v>
                </c:pt>
                <c:pt idx="10">
                  <c:v>100968.93317280397</c:v>
                </c:pt>
                <c:pt idx="11">
                  <c:v>204764.89592210797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48-417F-82F2-7A4992B821CF}"/>
            </c:ext>
          </c:extLst>
        </c:ser>
        <c:ser>
          <c:idx val="2"/>
          <c:order val="2"/>
          <c:tx>
            <c:strRef>
              <c:f>'uptake area'!$P$1</c:f>
              <c:strCache>
                <c:ptCount val="1"/>
                <c:pt idx="0">
                  <c:v>Benzene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'uptake area'!$A$2:$A$13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'uptake area'!$P$2:$P$13</c:f>
              <c:numCache>
                <c:formatCode>#,##0</c:formatCode>
                <c:ptCount val="12"/>
                <c:pt idx="0">
                  <c:v>0</c:v>
                </c:pt>
                <c:pt idx="1">
                  <c:v>61.702380744041022</c:v>
                </c:pt>
                <c:pt idx="2">
                  <c:v>153.49410905686699</c:v>
                </c:pt>
                <c:pt idx="3">
                  <c:v>229.73054905644801</c:v>
                </c:pt>
                <c:pt idx="4">
                  <c:v>342.87304976849401</c:v>
                </c:pt>
                <c:pt idx="5">
                  <c:v>547.75542111203504</c:v>
                </c:pt>
                <c:pt idx="6">
                  <c:v>696.85043635950103</c:v>
                </c:pt>
                <c:pt idx="7">
                  <c:v>909.93309697389407</c:v>
                </c:pt>
                <c:pt idx="8">
                  <c:v>902.80313072230399</c:v>
                </c:pt>
                <c:pt idx="9">
                  <c:v>1020.0124737153441</c:v>
                </c:pt>
                <c:pt idx="10">
                  <c:v>1071.3432244094338</c:v>
                </c:pt>
                <c:pt idx="11">
                  <c:v>1021.8198180778239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B48-417F-82F2-7A4992B821CF}"/>
            </c:ext>
          </c:extLst>
        </c:ser>
        <c:ser>
          <c:idx val="6"/>
          <c:order val="6"/>
          <c:tx>
            <c:v>CO corr few data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'uptake area'!$A$2:$A$4</c:f>
              <c:numCache>
                <c:formatCode>General</c:formatCode>
                <c:ptCount val="3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</c:numCache>
            </c:numRef>
          </c:xVal>
          <c:yVal>
            <c:numRef>
              <c:f>'uptake area'!$N$2:$N$4</c:f>
              <c:numCache>
                <c:formatCode>#,##0</c:formatCode>
                <c:ptCount val="3"/>
                <c:pt idx="0">
                  <c:v>0</c:v>
                </c:pt>
                <c:pt idx="1">
                  <c:v>369492.7050874859</c:v>
                </c:pt>
                <c:pt idx="2">
                  <c:v>422236.3561464579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B48-417F-82F2-7A4992B821CF}"/>
            </c:ext>
          </c:extLst>
        </c:ser>
        <c:ser>
          <c:idx val="8"/>
          <c:order val="8"/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('uptake area'!$A$8,'uptake area'!$A$8)</c:f>
              <c:numCache>
                <c:formatCode>General</c:formatCode>
                <c:ptCount val="2"/>
                <c:pt idx="0">
                  <c:v>1.4999999999999999E-2</c:v>
                </c:pt>
                <c:pt idx="1">
                  <c:v>1.4999999999999999E-2</c:v>
                </c:pt>
              </c:numCache>
            </c:numRef>
          </c:xVal>
          <c:yVal>
            <c:numRef>
              <c:f>('uptake area'!$J$18,'uptake area'!$K$18)</c:f>
              <c:numCache>
                <c:formatCode>#,##0</c:formatCode>
                <c:ptCount val="2"/>
                <c:pt idx="0" formatCode="General">
                  <c:v>0</c:v>
                </c:pt>
                <c:pt idx="1">
                  <c:v>650000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B48-417F-82F2-7A4992B821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8580496"/>
        <c:axId val="1538581280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'uptake area'!$Q$1</c15:sqref>
                        </c15:formulaRef>
                      </c:ext>
                    </c:extLst>
                    <c:strCache>
                      <c:ptCount val="1"/>
                      <c:pt idx="0">
                        <c:v>GUA second corr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'uptake area'!$A$2:$A$13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'uptake area'!$Q$2:$Q$13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0</c:v>
                      </c:pt>
                      <c:pt idx="1">
                        <c:v>209.03110248878599</c:v>
                      </c:pt>
                      <c:pt idx="2">
                        <c:v>752.40722040041396</c:v>
                      </c:pt>
                      <c:pt idx="3">
                        <c:v>1312.705675017982</c:v>
                      </c:pt>
                      <c:pt idx="4">
                        <c:v>1473.8052772607921</c:v>
                      </c:pt>
                      <c:pt idx="5">
                        <c:v>2666.8549778959418</c:v>
                      </c:pt>
                      <c:pt idx="6">
                        <c:v>3674.6650334621322</c:v>
                      </c:pt>
                      <c:pt idx="7">
                        <c:v>4564.3454663684124</c:v>
                      </c:pt>
                      <c:pt idx="8">
                        <c:v>4940.4494235946422</c:v>
                      </c:pt>
                      <c:pt idx="9">
                        <c:v>5216.3827338111523</c:v>
                      </c:pt>
                      <c:pt idx="10">
                        <c:v>5565.0095271128121</c:v>
                      </c:pt>
                      <c:pt idx="11">
                        <c:v>4782.9518331509516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7-7B48-417F-82F2-7A4992B821CF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'uptake area'!$R$1</c15:sqref>
                        </c15:formulaRef>
                      </c:ext>
                    </c:extLst>
                    <c:strCache>
                      <c:ptCount val="1"/>
                      <c:pt idx="0">
                        <c:v>GUA recom corr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'uptake area'!$A$2:$A$13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'uptake area'!$R$2:$R$13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0</c:v>
                      </c:pt>
                      <c:pt idx="1">
                        <c:v>122.090433262704</c:v>
                      </c:pt>
                      <c:pt idx="2">
                        <c:v>238.33380916618302</c:v>
                      </c:pt>
                      <c:pt idx="3">
                        <c:v>364.232361997488</c:v>
                      </c:pt>
                      <c:pt idx="4">
                        <c:v>293.85917548387204</c:v>
                      </c:pt>
                      <c:pt idx="5">
                        <c:v>545.60205098435301</c:v>
                      </c:pt>
                      <c:pt idx="6">
                        <c:v>670.46492434112997</c:v>
                      </c:pt>
                      <c:pt idx="7">
                        <c:v>671.41150871733191</c:v>
                      </c:pt>
                      <c:pt idx="8">
                        <c:v>836.89631799756091</c:v>
                      </c:pt>
                      <c:pt idx="9">
                        <c:v>650.43070740915994</c:v>
                      </c:pt>
                      <c:pt idx="10">
                        <c:v>602.59686992670095</c:v>
                      </c:pt>
                      <c:pt idx="11">
                        <c:v>940.88175836498101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7B48-417F-82F2-7A4992B821CF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'uptake area'!$S$1</c15:sqref>
                        </c15:formulaRef>
                      </c:ext>
                    </c:extLst>
                    <c:strCache>
                      <c:ptCount val="1"/>
                      <c:pt idx="0">
                        <c:v>GUA second + recom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'uptake area'!$A$2:$A$13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'uptake area'!$S$2:$S$13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-1.4210854715202004E-14</c:v>
                      </c:pt>
                      <c:pt idx="1">
                        <c:v>331.12153575149</c:v>
                      </c:pt>
                      <c:pt idx="2">
                        <c:v>990.74102956659692</c:v>
                      </c:pt>
                      <c:pt idx="3">
                        <c:v>1676.9380370154699</c:v>
                      </c:pt>
                      <c:pt idx="4">
                        <c:v>1767.6644527446642</c:v>
                      </c:pt>
                      <c:pt idx="5">
                        <c:v>3212.4570288802947</c:v>
                      </c:pt>
                      <c:pt idx="6">
                        <c:v>4345.1299578032622</c:v>
                      </c:pt>
                      <c:pt idx="7">
                        <c:v>5235.7569750857438</c:v>
                      </c:pt>
                      <c:pt idx="8">
                        <c:v>5777.345741592203</c:v>
                      </c:pt>
                      <c:pt idx="9">
                        <c:v>5866.8134412203117</c:v>
                      </c:pt>
                      <c:pt idx="10">
                        <c:v>6167.6063970395126</c:v>
                      </c:pt>
                      <c:pt idx="11">
                        <c:v>5723.8335915159323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7B48-417F-82F2-7A4992B821CF}"/>
                  </c:ext>
                </c:extLst>
              </c15:ser>
            </c15:filteredScatterSeries>
          </c:ext>
        </c:extLst>
      </c:scatterChart>
      <c:scatterChart>
        <c:scatterStyle val="lineMarker"/>
        <c:varyColors val="0"/>
        <c:ser>
          <c:idx val="7"/>
          <c:order val="7"/>
          <c:tx>
            <c:strRef>
              <c:f>'uptake area'!$A$16</c:f>
              <c:strCache>
                <c:ptCount val="1"/>
                <c:pt idx="0">
                  <c:v>trendline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'uptake area'!$A$2:$A$13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'uptake area'!$B$17:$B$28</c:f>
              <c:numCache>
                <c:formatCode>0.00E+00</c:formatCode>
                <c:ptCount val="12"/>
                <c:pt idx="0">
                  <c:v>0</c:v>
                </c:pt>
                <c:pt idx="1">
                  <c:v>300000</c:v>
                </c:pt>
                <c:pt idx="2">
                  <c:v>500000</c:v>
                </c:pt>
                <c:pt idx="3">
                  <c:v>1000000</c:v>
                </c:pt>
                <c:pt idx="4">
                  <c:v>1500000</c:v>
                </c:pt>
                <c:pt idx="5">
                  <c:v>2000000</c:v>
                </c:pt>
                <c:pt idx="6">
                  <c:v>3000000</c:v>
                </c:pt>
                <c:pt idx="7">
                  <c:v>5000000</c:v>
                </c:pt>
                <c:pt idx="8">
                  <c:v>7000000.0000000009</c:v>
                </c:pt>
                <c:pt idx="9">
                  <c:v>10000000</c:v>
                </c:pt>
                <c:pt idx="10">
                  <c:v>18000000</c:v>
                </c:pt>
                <c:pt idx="11">
                  <c:v>30000000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B48-417F-82F2-7A4992B821CF}"/>
            </c:ext>
          </c:extLst>
        </c:ser>
        <c:ser>
          <c:idx val="9"/>
          <c:order val="9"/>
          <c:tx>
            <c:strRef>
              <c:f>'uptake area'!$F$16</c:f>
              <c:strCache>
                <c:ptCount val="1"/>
                <c:pt idx="0">
                  <c:v>CO+ factor*(GUA_total + B)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'uptake area'!$A$34:$A$45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'uptake area'!$F$34:$F$45</c:f>
              <c:numCache>
                <c:formatCode>General</c:formatCode>
                <c:ptCount val="12"/>
                <c:pt idx="0" formatCode="0.00E+00">
                  <c:v>0</c:v>
                </c:pt>
                <c:pt idx="1">
                  <c:v>547423.64933491149</c:v>
                </c:pt>
                <c:pt idx="2">
                  <c:v>790895.72320457117</c:v>
                </c:pt>
                <c:pt idx="3">
                  <c:v>1303568.8243095595</c:v>
                </c:pt>
                <c:pt idx="4">
                  <c:v>1440581.0214082738</c:v>
                </c:pt>
                <c:pt idx="5">
                  <c:v>2661144.2324941144</c:v>
                </c:pt>
                <c:pt idx="6">
                  <c:v>3448844.434801891</c:v>
                </c:pt>
                <c:pt idx="7">
                  <c:v>5144358.21164029</c:v>
                </c:pt>
                <c:pt idx="8">
                  <c:v>5747564.7051107893</c:v>
                </c:pt>
                <c:pt idx="9">
                  <c:v>8314377.7187281055</c:v>
                </c:pt>
                <c:pt idx="10">
                  <c:v>15943654.64304813</c:v>
                </c:pt>
                <c:pt idx="11">
                  <c:v>31529855.255795609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B48-417F-82F2-7A4992B821CF}"/>
            </c:ext>
          </c:extLst>
        </c:ser>
        <c:ser>
          <c:idx val="10"/>
          <c:order val="10"/>
          <c:tx>
            <c:strRef>
              <c:f>'uptake area'!$B$50</c:f>
              <c:strCache>
                <c:ptCount val="1"/>
                <c:pt idx="0">
                  <c:v>two factor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'uptake area'!$A$51:$A$62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'uptake area'!$B$51:$B$62</c:f>
              <c:numCache>
                <c:formatCode>General</c:formatCode>
                <c:ptCount val="12"/>
                <c:pt idx="0" formatCode="0.00E+00">
                  <c:v>0</c:v>
                </c:pt>
                <c:pt idx="1">
                  <c:v>495995.61158325878</c:v>
                </c:pt>
                <c:pt idx="2">
                  <c:v>684340.7452227727</c:v>
                </c:pt>
                <c:pt idx="3">
                  <c:v>1077563.1697321136</c:v>
                </c:pt>
                <c:pt idx="4">
                  <c:v>1179660.8660710154</c:v>
                </c:pt>
                <c:pt idx="5">
                  <c:v>2060483.6275772313</c:v>
                </c:pt>
                <c:pt idx="6">
                  <c:v>3452550.0589218591</c:v>
                </c:pt>
                <c:pt idx="7">
                  <c:v>5150286.4618376167</c:v>
                </c:pt>
                <c:pt idx="8">
                  <c:v>5754284.8481187606</c:v>
                </c:pt>
                <c:pt idx="9">
                  <c:v>8324466.3548611365</c:v>
                </c:pt>
                <c:pt idx="10">
                  <c:v>15963737.065831952</c:v>
                </c:pt>
                <c:pt idx="11">
                  <c:v>31570355.889219034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7B48-417F-82F2-7A4992B821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8577360"/>
        <c:axId val="1538578144"/>
      </c:scatterChart>
      <c:valAx>
        <c:axId val="1538580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8581280"/>
        <c:crosses val="autoZero"/>
        <c:crossBetween val="midCat"/>
      </c:valAx>
      <c:valAx>
        <c:axId val="15385812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8580496"/>
        <c:crosses val="autoZero"/>
        <c:crossBetween val="midCat"/>
      </c:valAx>
      <c:valAx>
        <c:axId val="1538578144"/>
        <c:scaling>
          <c:orientation val="minMax"/>
        </c:scaling>
        <c:delete val="1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trendline and factor</a:t>
                </a:r>
                <a:r>
                  <a:rPr lang="en-US" b="1" baseline="0"/>
                  <a:t> eqn.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out"/>
        <c:minorTickMark val="none"/>
        <c:tickLblPos val="nextTo"/>
        <c:crossAx val="1538577360"/>
        <c:crosses val="max"/>
        <c:crossBetween val="midCat"/>
      </c:valAx>
      <c:valAx>
        <c:axId val="15385773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38578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ayout>
        <c:manualLayout>
          <c:xMode val="edge"/>
          <c:yMode val="edge"/>
          <c:x val="0.15987174576910582"/>
          <c:y val="0.81305350586761282"/>
          <c:w val="0.84012831151189771"/>
          <c:h val="5.64351335921683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'uptake area - peaks'!$B$1</c:f>
              <c:strCache>
                <c:ptCount val="1"/>
                <c:pt idx="0">
                  <c:v>trendline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'uptake area - peaks'!$A$2:$A$13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'uptake area - peaks'!$B$2:$B$13</c:f>
              <c:numCache>
                <c:formatCode>0.00E+00</c:formatCode>
                <c:ptCount val="12"/>
                <c:pt idx="0">
                  <c:v>0</c:v>
                </c:pt>
                <c:pt idx="1">
                  <c:v>300000</c:v>
                </c:pt>
                <c:pt idx="2">
                  <c:v>500000</c:v>
                </c:pt>
                <c:pt idx="3">
                  <c:v>1000000</c:v>
                </c:pt>
                <c:pt idx="4">
                  <c:v>1500000</c:v>
                </c:pt>
                <c:pt idx="5">
                  <c:v>2000000</c:v>
                </c:pt>
                <c:pt idx="6">
                  <c:v>3000000</c:v>
                </c:pt>
                <c:pt idx="7">
                  <c:v>5000000</c:v>
                </c:pt>
                <c:pt idx="8">
                  <c:v>7000000.0000000009</c:v>
                </c:pt>
                <c:pt idx="9">
                  <c:v>10000000</c:v>
                </c:pt>
                <c:pt idx="10">
                  <c:v>18000000</c:v>
                </c:pt>
                <c:pt idx="11">
                  <c:v>30000000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0C-455A-BF21-BB687BA3B641}"/>
            </c:ext>
          </c:extLst>
        </c:ser>
        <c:ser>
          <c:idx val="1"/>
          <c:order val="1"/>
          <c:tx>
            <c:strRef>
              <c:f>'uptake area - peaks'!$C$1</c:f>
              <c:strCache>
                <c:ptCount val="1"/>
                <c:pt idx="0">
                  <c:v>1 factor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'uptake area - peaks'!$A$2:$A$13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'uptake area - peaks'!$C$2:$C$13</c:f>
              <c:numCache>
                <c:formatCode>0.00E+00</c:formatCode>
                <c:ptCount val="12"/>
                <c:pt idx="0">
                  <c:v>0</c:v>
                </c:pt>
                <c:pt idx="1">
                  <c:v>547423.64933491149</c:v>
                </c:pt>
                <c:pt idx="2">
                  <c:v>790895.72320457117</c:v>
                </c:pt>
                <c:pt idx="3">
                  <c:v>1303568.8243095595</c:v>
                </c:pt>
                <c:pt idx="4">
                  <c:v>1440581.0214082738</c:v>
                </c:pt>
                <c:pt idx="5">
                  <c:v>2661144.2324941144</c:v>
                </c:pt>
                <c:pt idx="6">
                  <c:v>3448844.434801891</c:v>
                </c:pt>
                <c:pt idx="7">
                  <c:v>5144358.21164029</c:v>
                </c:pt>
                <c:pt idx="8">
                  <c:v>5747564.7051107893</c:v>
                </c:pt>
                <c:pt idx="9">
                  <c:v>8314377.7187281055</c:v>
                </c:pt>
                <c:pt idx="10">
                  <c:v>15943654.64304813</c:v>
                </c:pt>
                <c:pt idx="11">
                  <c:v>31529855.255795609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0C-455A-BF21-BB687BA3B641}"/>
            </c:ext>
          </c:extLst>
        </c:ser>
        <c:ser>
          <c:idx val="2"/>
          <c:order val="2"/>
          <c:tx>
            <c:strRef>
              <c:f>'uptake area - peaks'!$D$1</c:f>
              <c:strCache>
                <c:ptCount val="1"/>
                <c:pt idx="0">
                  <c:v>H2 corr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'uptake area - peaks'!$A$2:$A$13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'uptake area - peaks'!$D$2:$D$13</c:f>
              <c:numCache>
                <c:formatCode>#,##0</c:formatCode>
                <c:ptCount val="12"/>
                <c:pt idx="0">
                  <c:v>0</c:v>
                </c:pt>
                <c:pt idx="1">
                  <c:v>378316.59492356179</c:v>
                </c:pt>
                <c:pt idx="2">
                  <c:v>456564.08049371984</c:v>
                </c:pt>
                <c:pt idx="3">
                  <c:v>546424.75885362271</c:v>
                </c:pt>
                <c:pt idx="4">
                  <c:v>582993.19896917476</c:v>
                </c:pt>
                <c:pt idx="5">
                  <c:v>655850.01726366673</c:v>
                </c:pt>
                <c:pt idx="6">
                  <c:v>692757.66112320474</c:v>
                </c:pt>
                <c:pt idx="7">
                  <c:v>688569.2073738958</c:v>
                </c:pt>
                <c:pt idx="8">
                  <c:v>689095.27819479071</c:v>
                </c:pt>
                <c:pt idx="9">
                  <c:v>697897.10451467172</c:v>
                </c:pt>
                <c:pt idx="10">
                  <c:v>684252.72730500577</c:v>
                </c:pt>
                <c:pt idx="11">
                  <c:v>703130.31549126573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30C-455A-BF21-BB687BA3B641}"/>
            </c:ext>
          </c:extLst>
        </c:ser>
        <c:ser>
          <c:idx val="3"/>
          <c:order val="3"/>
          <c:tx>
            <c:strRef>
              <c:f>'uptake area - peaks'!$E$1</c:f>
              <c:strCache>
                <c:ptCount val="1"/>
                <c:pt idx="0">
                  <c:v>CO corr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'uptake area - peaks'!$A$2:$A$13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'uptake area - peaks'!$E$2:$E$13</c:f>
              <c:numCache>
                <c:formatCode>#,##0</c:formatCode>
                <c:ptCount val="12"/>
                <c:pt idx="0">
                  <c:v>0</c:v>
                </c:pt>
                <c:pt idx="1">
                  <c:v>369492.7050874859</c:v>
                </c:pt>
                <c:pt idx="2">
                  <c:v>422236.3561464579</c:v>
                </c:pt>
                <c:pt idx="3">
                  <c:v>521633.49715564487</c:v>
                </c:pt>
                <c:pt idx="4">
                  <c:v>537848.35568739695</c:v>
                </c:pt>
                <c:pt idx="5">
                  <c:v>582976.11102702294</c:v>
                </c:pt>
                <c:pt idx="6">
                  <c:v>620979.88597424596</c:v>
                </c:pt>
                <c:pt idx="7">
                  <c:v>620346.05421118694</c:v>
                </c:pt>
                <c:pt idx="8">
                  <c:v>619237.17915069393</c:v>
                </c:pt>
                <c:pt idx="9">
                  <c:v>615459.65715645498</c:v>
                </c:pt>
                <c:pt idx="10">
                  <c:v>618200.79064232192</c:v>
                </c:pt>
                <c:pt idx="11">
                  <c:v>622698.5244904859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30C-455A-BF21-BB687BA3B641}"/>
            </c:ext>
          </c:extLst>
        </c:ser>
        <c:ser>
          <c:idx val="10"/>
          <c:order val="10"/>
          <c:tx>
            <c:strRef>
              <c:f>'uptake area - peaks'!$L$1</c:f>
              <c:strCache>
                <c:ptCount val="1"/>
                <c:pt idx="0">
                  <c:v>fGUA total corr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'uptake area - peaks'!$A$2:$A$13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'uptake area - peaks'!$L$2:$L$13</c:f>
              <c:numCache>
                <c:formatCode>#,##0</c:formatCode>
                <c:ptCount val="12"/>
                <c:pt idx="0">
                  <c:v>0</c:v>
                </c:pt>
                <c:pt idx="1">
                  <c:v>168663.84872334692</c:v>
                </c:pt>
                <c:pt idx="2">
                  <c:v>345606.04960324802</c:v>
                </c:pt>
                <c:pt idx="3">
                  <c:v>747432.04029150691</c:v>
                </c:pt>
                <c:pt idx="4">
                  <c:v>851236.47924441437</c:v>
                </c:pt>
                <c:pt idx="5">
                  <c:v>1995900.6019635196</c:v>
                </c:pt>
                <c:pt idx="6">
                  <c:v>2723204.4128350299</c:v>
                </c:pt>
                <c:pt idx="7">
                  <c:v>4387349.0849755779</c:v>
                </c:pt>
                <c:pt idx="8">
                  <c:v>4992735.3048666008</c:v>
                </c:pt>
                <c:pt idx="9">
                  <c:v>7545722.1408358878</c:v>
                </c:pt>
                <c:pt idx="10">
                  <c:v>15164548.553777838</c:v>
                </c:pt>
                <c:pt idx="11">
                  <c:v>30753689.365081359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130C-455A-BF21-BB687BA3B641}"/>
            </c:ext>
          </c:extLst>
        </c:ser>
        <c:ser>
          <c:idx val="11"/>
          <c:order val="11"/>
          <c:tx>
            <c:strRef>
              <c:f>'uptake area - peaks'!$P$1</c:f>
              <c:strCache>
                <c:ptCount val="1"/>
                <c:pt idx="0">
                  <c:v>fGUA recom corr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'uptake area - peaks'!$A$2:$A$13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'uptake area - peaks'!$P$2:$P$13</c:f>
              <c:numCache>
                <c:formatCode>#,##0</c:formatCode>
                <c:ptCount val="12"/>
                <c:pt idx="0">
                  <c:v>0</c:v>
                </c:pt>
                <c:pt idx="1">
                  <c:v>18336.79177332078</c:v>
                </c:pt>
                <c:pt idx="2">
                  <c:v>35795.412584203645</c:v>
                </c:pt>
                <c:pt idx="3">
                  <c:v>54704.146758835202</c:v>
                </c:pt>
                <c:pt idx="4">
                  <c:v>44134.780813932484</c:v>
                </c:pt>
                <c:pt idx="5">
                  <c:v>81944.104321997002</c:v>
                </c:pt>
                <c:pt idx="6">
                  <c:v>100697.28954524218</c:v>
                </c:pt>
                <c:pt idx="7">
                  <c:v>100839.4572822093</c:v>
                </c:pt>
                <c:pt idx="8">
                  <c:v>125693.66091084221</c:v>
                </c:pt>
                <c:pt idx="9">
                  <c:v>97688.3456468074</c:v>
                </c:pt>
                <c:pt idx="10">
                  <c:v>90504.169997701421</c:v>
                </c:pt>
                <c:pt idx="11">
                  <c:v>141311.25941155062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130C-455A-BF21-BB687BA3B641}"/>
            </c:ext>
          </c:extLst>
        </c:ser>
        <c:ser>
          <c:idx val="12"/>
          <c:order val="12"/>
          <c:tx>
            <c:strRef>
              <c:f>'uptake area - peaks'!$Q$1</c:f>
              <c:strCache>
                <c:ptCount val="1"/>
                <c:pt idx="0">
                  <c:v>fGUA second + recom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'uptake area - peaks'!$A$2:$A$13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'uptake area - peaks'!$Q$2:$Q$13</c:f>
              <c:numCache>
                <c:formatCode>#,##0</c:formatCode>
                <c:ptCount val="12"/>
                <c:pt idx="0">
                  <c:v>-2.1343317151875074E-12</c:v>
                </c:pt>
                <c:pt idx="1">
                  <c:v>49731.223737020191</c:v>
                </c:pt>
                <c:pt idx="2">
                  <c:v>148799.63544201598</c:v>
                </c:pt>
                <c:pt idx="3">
                  <c:v>251859.73036355281</c:v>
                </c:pt>
                <c:pt idx="4">
                  <c:v>265485.95273911196</c:v>
                </c:pt>
                <c:pt idx="5">
                  <c:v>482479.70004799118</c:v>
                </c:pt>
                <c:pt idx="6">
                  <c:v>652596.12186662422</c:v>
                </c:pt>
                <c:pt idx="7">
                  <c:v>786359.6095304155</c:v>
                </c:pt>
                <c:pt idx="8">
                  <c:v>867700.95768363145</c:v>
                </c:pt>
                <c:pt idx="9">
                  <c:v>881138.13318278489</c:v>
                </c:pt>
                <c:pt idx="10">
                  <c:v>926314.30014641921</c:v>
                </c:pt>
                <c:pt idx="11">
                  <c:v>859663.95488931821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130C-455A-BF21-BB687BA3B641}"/>
            </c:ext>
          </c:extLst>
        </c:ser>
        <c:ser>
          <c:idx val="13"/>
          <c:order val="13"/>
          <c:tx>
            <c:strRef>
              <c:f>'uptake area - peaks'!$O$1</c:f>
              <c:strCache>
                <c:ptCount val="1"/>
                <c:pt idx="0">
                  <c:v>fGUA second corr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'uptake area - peaks'!$A$2:$A$13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'uptake area - peaks'!$O$2:$O$13</c:f>
              <c:numCache>
                <c:formatCode>#,##0</c:formatCode>
                <c:ptCount val="12"/>
                <c:pt idx="0">
                  <c:v>0</c:v>
                </c:pt>
                <c:pt idx="1">
                  <c:v>31394.431963699408</c:v>
                </c:pt>
                <c:pt idx="2">
                  <c:v>113004.22285781233</c:v>
                </c:pt>
                <c:pt idx="3">
                  <c:v>197155.58360471763</c:v>
                </c:pt>
                <c:pt idx="4">
                  <c:v>221351.17192517949</c:v>
                </c:pt>
                <c:pt idx="5">
                  <c:v>400535.59572599415</c:v>
                </c:pt>
                <c:pt idx="6">
                  <c:v>551898.83232138201</c:v>
                </c:pt>
                <c:pt idx="7">
                  <c:v>685520.1522482062</c:v>
                </c:pt>
                <c:pt idx="8">
                  <c:v>742007.29677278933</c:v>
                </c:pt>
                <c:pt idx="9">
                  <c:v>783449.78753597767</c:v>
                </c:pt>
                <c:pt idx="10">
                  <c:v>835810.1301487179</c:v>
                </c:pt>
                <c:pt idx="11">
                  <c:v>718352.69547776761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130C-455A-BF21-BB687BA3B641}"/>
            </c:ext>
          </c:extLst>
        </c:ser>
        <c:ser>
          <c:idx val="14"/>
          <c:order val="14"/>
          <c:tx>
            <c:strRef>
              <c:f>'uptake area - peaks'!$M$1</c:f>
              <c:strCache>
                <c:ptCount val="1"/>
                <c:pt idx="0">
                  <c:v>fGUA multi calc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'uptake area - peaks'!$A$2:$A$13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'uptake area - peaks'!$M$2:$M$13</c:f>
              <c:numCache>
                <c:formatCode>#,##0</c:formatCode>
                <c:ptCount val="12"/>
                <c:pt idx="0">
                  <c:v>2.1343317151875074E-12</c:v>
                </c:pt>
                <c:pt idx="1">
                  <c:v>118932.62498632673</c:v>
                </c:pt>
                <c:pt idx="2">
                  <c:v>196806.41416123204</c:v>
                </c:pt>
                <c:pt idx="3">
                  <c:v>495572.30992795411</c:v>
                </c:pt>
                <c:pt idx="4">
                  <c:v>585750.5265053024</c:v>
                </c:pt>
                <c:pt idx="5">
                  <c:v>1513420.9019155283</c:v>
                </c:pt>
                <c:pt idx="6">
                  <c:v>2070608.2909684055</c:v>
                </c:pt>
                <c:pt idx="7">
                  <c:v>3600989.4754451625</c:v>
                </c:pt>
                <c:pt idx="8">
                  <c:v>4125034.3471829696</c:v>
                </c:pt>
                <c:pt idx="9">
                  <c:v>6664584.0076531032</c:v>
                </c:pt>
                <c:pt idx="10">
                  <c:v>14238234.253631419</c:v>
                </c:pt>
                <c:pt idx="11">
                  <c:v>29894025.410192039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130C-455A-BF21-BB687BA3B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8578928"/>
        <c:axId val="1538581672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'uptake area - peaks'!$F$1</c15:sqref>
                        </c15:formulaRef>
                      </c:ext>
                    </c:extLst>
                    <c:strCache>
                      <c:ptCount val="1"/>
                      <c:pt idx="0">
                        <c:v>GUA total corr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'uptake area - peaks'!$A$2:$A$13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'uptake area - peaks'!$F$2:$F$13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0</c:v>
                      </c:pt>
                      <c:pt idx="1">
                        <c:v>1123.00137455612</c:v>
                      </c:pt>
                      <c:pt idx="2">
                        <c:v>2301.12185685962</c:v>
                      </c:pt>
                      <c:pt idx="3">
                        <c:v>4976.5685710838397</c:v>
                      </c:pt>
                      <c:pt idx="4">
                        <c:v>5667.7215864543805</c:v>
                      </c:pt>
                      <c:pt idx="5">
                        <c:v>13289.14960999677</c:v>
                      </c:pt>
                      <c:pt idx="6">
                        <c:v>18131.69995798697</c:v>
                      </c:pt>
                      <c:pt idx="7">
                        <c:v>29211.944885514167</c:v>
                      </c:pt>
                      <c:pt idx="8">
                        <c:v>33242.740827981273</c:v>
                      </c:pt>
                      <c:pt idx="9">
                        <c:v>50241.094344269375</c:v>
                      </c:pt>
                      <c:pt idx="10">
                        <c:v>100968.93317280397</c:v>
                      </c:pt>
                      <c:pt idx="11">
                        <c:v>204764.89592210797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130C-455A-BF21-BB687BA3B641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'uptake area - peaks'!$G$1</c15:sqref>
                        </c15:formulaRef>
                      </c:ext>
                    </c:extLst>
                    <c:strCache>
                      <c:ptCount val="1"/>
                      <c:pt idx="0">
                        <c:v>Benzene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'uptake area - peaks'!$A$2:$A$13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'uptake area - peaks'!$G$2:$G$13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0</c:v>
                      </c:pt>
                      <c:pt idx="1">
                        <c:v>61.702380744041022</c:v>
                      </c:pt>
                      <c:pt idx="2">
                        <c:v>153.49410905686699</c:v>
                      </c:pt>
                      <c:pt idx="3">
                        <c:v>229.73054905644801</c:v>
                      </c:pt>
                      <c:pt idx="4">
                        <c:v>342.87304976849401</c:v>
                      </c:pt>
                      <c:pt idx="5">
                        <c:v>547.75542111203504</c:v>
                      </c:pt>
                      <c:pt idx="6">
                        <c:v>696.85043635950103</c:v>
                      </c:pt>
                      <c:pt idx="7">
                        <c:v>909.93309697389407</c:v>
                      </c:pt>
                      <c:pt idx="8">
                        <c:v>902.80313072230399</c:v>
                      </c:pt>
                      <c:pt idx="9">
                        <c:v>1020.0124737153441</c:v>
                      </c:pt>
                      <c:pt idx="10">
                        <c:v>1071.3432244094338</c:v>
                      </c:pt>
                      <c:pt idx="11">
                        <c:v>1021.8198180778239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130C-455A-BF21-BB687BA3B641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'uptake area - peaks'!$H$1</c15:sqref>
                        </c15:formulaRef>
                      </c:ext>
                    </c:extLst>
                    <c:strCache>
                      <c:ptCount val="1"/>
                      <c:pt idx="0">
                        <c:v>GUA second corr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'uptake area - peaks'!$A$2:$A$13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'uptake area - peaks'!$H$2:$H$13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0</c:v>
                      </c:pt>
                      <c:pt idx="1">
                        <c:v>209.03110248878599</c:v>
                      </c:pt>
                      <c:pt idx="2">
                        <c:v>752.40722040041396</c:v>
                      </c:pt>
                      <c:pt idx="3">
                        <c:v>1312.705675017982</c:v>
                      </c:pt>
                      <c:pt idx="4">
                        <c:v>1473.8052772607921</c:v>
                      </c:pt>
                      <c:pt idx="5">
                        <c:v>2666.8549778959418</c:v>
                      </c:pt>
                      <c:pt idx="6">
                        <c:v>3674.6650334621322</c:v>
                      </c:pt>
                      <c:pt idx="7">
                        <c:v>4564.3454663684124</c:v>
                      </c:pt>
                      <c:pt idx="8">
                        <c:v>4940.4494235946422</c:v>
                      </c:pt>
                      <c:pt idx="9">
                        <c:v>5216.3827338111523</c:v>
                      </c:pt>
                      <c:pt idx="10">
                        <c:v>5565.0095271128121</c:v>
                      </c:pt>
                      <c:pt idx="11">
                        <c:v>4782.9518331509516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130C-455A-BF21-BB687BA3B641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'uptake area - peaks'!$I$1</c15:sqref>
                        </c15:formulaRef>
                      </c:ext>
                    </c:extLst>
                    <c:strCache>
                      <c:ptCount val="1"/>
                      <c:pt idx="0">
                        <c:v>GUA recom corr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'uptake area - peaks'!$A$2:$A$13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'uptake area - peaks'!$I$2:$I$13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0</c:v>
                      </c:pt>
                      <c:pt idx="1">
                        <c:v>122.090433262704</c:v>
                      </c:pt>
                      <c:pt idx="2">
                        <c:v>238.33380916618302</c:v>
                      </c:pt>
                      <c:pt idx="3">
                        <c:v>364.232361997488</c:v>
                      </c:pt>
                      <c:pt idx="4">
                        <c:v>293.85917548387204</c:v>
                      </c:pt>
                      <c:pt idx="5">
                        <c:v>545.60205098435301</c:v>
                      </c:pt>
                      <c:pt idx="6">
                        <c:v>670.46492434112997</c:v>
                      </c:pt>
                      <c:pt idx="7">
                        <c:v>671.41150871733191</c:v>
                      </c:pt>
                      <c:pt idx="8">
                        <c:v>836.89631799756091</c:v>
                      </c:pt>
                      <c:pt idx="9">
                        <c:v>650.43070740915994</c:v>
                      </c:pt>
                      <c:pt idx="10">
                        <c:v>602.59686992670095</c:v>
                      </c:pt>
                      <c:pt idx="11">
                        <c:v>940.88175836498101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130C-455A-BF21-BB687BA3B641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'uptake area - peaks'!$J$1</c15:sqref>
                        </c15:formulaRef>
                      </c:ext>
                    </c:extLst>
                    <c:strCache>
                      <c:ptCount val="1"/>
                      <c:pt idx="0">
                        <c:v>GUA second + recom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'uptake area - peaks'!$A$2:$A$13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'uptake area - peaks'!$J$2:$J$13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-1.4210854715202004E-14</c:v>
                      </c:pt>
                      <c:pt idx="1">
                        <c:v>331.12153575149</c:v>
                      </c:pt>
                      <c:pt idx="2">
                        <c:v>990.74102956659692</c:v>
                      </c:pt>
                      <c:pt idx="3">
                        <c:v>1676.9380370154699</c:v>
                      </c:pt>
                      <c:pt idx="4">
                        <c:v>1767.6644527446642</c:v>
                      </c:pt>
                      <c:pt idx="5">
                        <c:v>3212.4570288802947</c:v>
                      </c:pt>
                      <c:pt idx="6">
                        <c:v>4345.1299578032622</c:v>
                      </c:pt>
                      <c:pt idx="7">
                        <c:v>5235.7569750857438</c:v>
                      </c:pt>
                      <c:pt idx="8">
                        <c:v>5777.345741592203</c:v>
                      </c:pt>
                      <c:pt idx="9">
                        <c:v>5866.8134412203117</c:v>
                      </c:pt>
                      <c:pt idx="10">
                        <c:v>6167.6063970395126</c:v>
                      </c:pt>
                      <c:pt idx="11">
                        <c:v>5723.8335915159323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130C-455A-BF21-BB687BA3B641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'uptake area - peaks'!$B$17</c15:sqref>
                        </c15:formulaRef>
                      </c:ext>
                    </c:extLst>
                    <c:strCache>
                      <c:ptCount val="1"/>
                      <c:pt idx="0">
                        <c:v>sum f*(Gua + B) + CO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'uptake area - peaks'!$A$18:$A$29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1.5E-3</c:v>
                      </c:pt>
                      <c:pt idx="2">
                        <c:v>2.5000000000000001E-3</c:v>
                      </c:pt>
                      <c:pt idx="3">
                        <c:v>5.0000000000000001E-3</c:v>
                      </c:pt>
                      <c:pt idx="4">
                        <c:v>7.4999999999999997E-3</c:v>
                      </c:pt>
                      <c:pt idx="5">
                        <c:v>0.01</c:v>
                      </c:pt>
                      <c:pt idx="6">
                        <c:v>1.4999999999999999E-2</c:v>
                      </c:pt>
                      <c:pt idx="7">
                        <c:v>2.5000000000000001E-2</c:v>
                      </c:pt>
                      <c:pt idx="8">
                        <c:v>3.5000000000000003E-2</c:v>
                      </c:pt>
                      <c:pt idx="9">
                        <c:v>0.05</c:v>
                      </c:pt>
                      <c:pt idx="10">
                        <c:v>0.09</c:v>
                      </c:pt>
                      <c:pt idx="11">
                        <c:v>0.15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'uptake area - peaks'!$B$18:$B$29</c15:sqref>
                        </c15:formulaRef>
                      </c:ext>
                    </c:extLst>
                    <c:numCache>
                      <c:formatCode>#,##0</c:formatCode>
                      <c:ptCount val="12"/>
                      <c:pt idx="0">
                        <c:v>0</c:v>
                      </c:pt>
                      <c:pt idx="1">
                        <c:v>547423.64933491149</c:v>
                      </c:pt>
                      <c:pt idx="2">
                        <c:v>790895.72320457117</c:v>
                      </c:pt>
                      <c:pt idx="3">
                        <c:v>1303568.8243095595</c:v>
                      </c:pt>
                      <c:pt idx="4">
                        <c:v>1440581.0214082741</c:v>
                      </c:pt>
                      <c:pt idx="5">
                        <c:v>2661144.232494114</c:v>
                      </c:pt>
                      <c:pt idx="6">
                        <c:v>3448844.434801891</c:v>
                      </c:pt>
                      <c:pt idx="7">
                        <c:v>5144358.21164029</c:v>
                      </c:pt>
                      <c:pt idx="8">
                        <c:v>5747564.7051107883</c:v>
                      </c:pt>
                      <c:pt idx="9">
                        <c:v>8314377.7187281055</c:v>
                      </c:pt>
                      <c:pt idx="10">
                        <c:v>15943654.643048132</c:v>
                      </c:pt>
                      <c:pt idx="11">
                        <c:v>31529855.255795609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130C-455A-BF21-BB687BA3B641}"/>
                  </c:ext>
                </c:extLst>
              </c15:ser>
            </c15:filteredScatterSeries>
          </c:ext>
        </c:extLst>
      </c:scatterChart>
      <c:valAx>
        <c:axId val="1538578928"/>
        <c:scaling>
          <c:orientation val="minMax"/>
          <c:max val="3.0000000000000006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8581672"/>
        <c:crosses val="autoZero"/>
        <c:crossBetween val="midCat"/>
      </c:valAx>
      <c:valAx>
        <c:axId val="1538581672"/>
        <c:scaling>
          <c:orientation val="minMax"/>
          <c:max val="50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8578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percentStacked"/>
        <c:varyColors val="0"/>
        <c:ser>
          <c:idx val="1"/>
          <c:order val="0"/>
          <c:tx>
            <c:strRef>
              <c:f>'uptake area - peaks'!$E$17</c:f>
              <c:strCache>
                <c:ptCount val="1"/>
                <c:pt idx="0">
                  <c:v>%recom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'uptake area - peaks'!$D$18:$D$29</c15:sqref>
                  </c15:fullRef>
                </c:ext>
              </c:extLst>
              <c:f>'uptake area - peaks'!$D$19:$D$29</c:f>
              <c:numCache>
                <c:formatCode>General</c:formatCode>
                <c:ptCount val="11"/>
                <c:pt idx="0">
                  <c:v>1.5E-3</c:v>
                </c:pt>
                <c:pt idx="1">
                  <c:v>2.5000000000000001E-3</c:v>
                </c:pt>
                <c:pt idx="2">
                  <c:v>5.0000000000000001E-3</c:v>
                </c:pt>
                <c:pt idx="3">
                  <c:v>7.4999999999999997E-3</c:v>
                </c:pt>
                <c:pt idx="4">
                  <c:v>0.01</c:v>
                </c:pt>
                <c:pt idx="5">
                  <c:v>1.4999999999999999E-2</c:v>
                </c:pt>
                <c:pt idx="6">
                  <c:v>2.5000000000000001E-2</c:v>
                </c:pt>
                <c:pt idx="7">
                  <c:v>3.5000000000000003E-2</c:v>
                </c:pt>
                <c:pt idx="8">
                  <c:v>0.05</c:v>
                </c:pt>
                <c:pt idx="9">
                  <c:v>0.09</c:v>
                </c:pt>
                <c:pt idx="10">
                  <c:v>0.15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'uptake area - peaks'!$E$18:$E$29</c15:sqref>
                  </c15:fullRef>
                </c:ext>
              </c:extLst>
              <c:f>'uptake area - peaks'!$E$19:$E$29</c:f>
              <c:numCache>
                <c:formatCode>0.00%</c:formatCode>
                <c:ptCount val="11"/>
                <c:pt idx="0">
                  <c:v>6.1339319552023439E-4</c:v>
                </c:pt>
                <c:pt idx="1">
                  <c:v>1.1974102548263572E-3</c:v>
                </c:pt>
                <c:pt idx="2">
                  <c:v>1.829935781756057E-3</c:v>
                </c:pt>
                <c:pt idx="3">
                  <c:v>1.4763746336712892E-3</c:v>
                </c:pt>
                <c:pt idx="4">
                  <c:v>2.7411532303728845E-3</c:v>
                </c:pt>
                <c:pt idx="5">
                  <c:v>3.3684754115084997E-3</c:v>
                </c:pt>
                <c:pt idx="6">
                  <c:v>3.373231135604414E-3</c:v>
                </c:pt>
                <c:pt idx="7">
                  <c:v>4.2046415357628068E-3</c:v>
                </c:pt>
                <c:pt idx="8">
                  <c:v>3.2678217237850356E-3</c:v>
                </c:pt>
                <c:pt idx="9">
                  <c:v>3.0275002698982459E-3</c:v>
                </c:pt>
                <c:pt idx="10">
                  <c:v>4.7270736367064203E-3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49-4A76-A610-64CF7B8982F3}"/>
            </c:ext>
          </c:extLst>
        </c:ser>
        <c:ser>
          <c:idx val="2"/>
          <c:order val="1"/>
          <c:tx>
            <c:strRef>
              <c:f>'uptake area - peaks'!$F$17</c:f>
              <c:strCache>
                <c:ptCount val="1"/>
                <c:pt idx="0">
                  <c:v>%second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'uptake area - peaks'!$D$18:$D$29</c15:sqref>
                  </c15:fullRef>
                </c:ext>
              </c:extLst>
              <c:f>'uptake area - peaks'!$D$19:$D$29</c:f>
              <c:numCache>
                <c:formatCode>General</c:formatCode>
                <c:ptCount val="11"/>
                <c:pt idx="0">
                  <c:v>1.5E-3</c:v>
                </c:pt>
                <c:pt idx="1">
                  <c:v>2.5000000000000001E-3</c:v>
                </c:pt>
                <c:pt idx="2">
                  <c:v>5.0000000000000001E-3</c:v>
                </c:pt>
                <c:pt idx="3">
                  <c:v>7.4999999999999997E-3</c:v>
                </c:pt>
                <c:pt idx="4">
                  <c:v>0.01</c:v>
                </c:pt>
                <c:pt idx="5">
                  <c:v>1.4999999999999999E-2</c:v>
                </c:pt>
                <c:pt idx="6">
                  <c:v>2.5000000000000001E-2</c:v>
                </c:pt>
                <c:pt idx="7">
                  <c:v>3.5000000000000003E-2</c:v>
                </c:pt>
                <c:pt idx="8">
                  <c:v>0.05</c:v>
                </c:pt>
                <c:pt idx="9">
                  <c:v>0.09</c:v>
                </c:pt>
                <c:pt idx="10">
                  <c:v>0.15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'uptake area - peaks'!$F$18:$F$29</c15:sqref>
                  </c15:fullRef>
                </c:ext>
              </c:extLst>
              <c:f>'uptake area - peaks'!$F$19:$F$29</c:f>
              <c:numCache>
                <c:formatCode>0.00%</c:formatCode>
                <c:ptCount val="11"/>
                <c:pt idx="0">
                  <c:v>1.0501908502759158E-3</c:v>
                </c:pt>
                <c:pt idx="1">
                  <c:v>3.7801607949153877E-3</c:v>
                </c:pt>
                <c:pt idx="2">
                  <c:v>6.5951500642499484E-3</c:v>
                </c:pt>
                <c:pt idx="3">
                  <c:v>7.4045287942289713E-3</c:v>
                </c:pt>
                <c:pt idx="4">
                  <c:v>1.3398516600893634E-2</c:v>
                </c:pt>
                <c:pt idx="5">
                  <c:v>1.846184395538843E-2</c:v>
                </c:pt>
                <c:pt idx="6">
                  <c:v>2.2931677579108689E-2</c:v>
                </c:pt>
                <c:pt idx="7">
                  <c:v>2.4821257311161918E-2</c:v>
                </c:pt>
                <c:pt idx="8">
                  <c:v>2.6207570803391003E-2</c:v>
                </c:pt>
                <c:pt idx="9">
                  <c:v>2.7959102820049039E-2</c:v>
                </c:pt>
                <c:pt idx="10">
                  <c:v>2.4029975408827117E-2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49-4A76-A610-64CF7B8982F3}"/>
            </c:ext>
          </c:extLst>
        </c:ser>
        <c:ser>
          <c:idx val="3"/>
          <c:order val="2"/>
          <c:tx>
            <c:strRef>
              <c:f>'uptake area - peaks'!$G$17</c:f>
              <c:strCache>
                <c:ptCount val="1"/>
                <c:pt idx="0">
                  <c:v>%multi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'uptake area - peaks'!$D$18:$D$29</c15:sqref>
                  </c15:fullRef>
                </c:ext>
              </c:extLst>
              <c:f>'uptake area - peaks'!$D$19:$D$29</c:f>
              <c:numCache>
                <c:formatCode>General</c:formatCode>
                <c:ptCount val="11"/>
                <c:pt idx="0">
                  <c:v>1.5E-3</c:v>
                </c:pt>
                <c:pt idx="1">
                  <c:v>2.5000000000000001E-3</c:v>
                </c:pt>
                <c:pt idx="2">
                  <c:v>5.0000000000000001E-3</c:v>
                </c:pt>
                <c:pt idx="3">
                  <c:v>7.4999999999999997E-3</c:v>
                </c:pt>
                <c:pt idx="4">
                  <c:v>0.01</c:v>
                </c:pt>
                <c:pt idx="5">
                  <c:v>1.4999999999999999E-2</c:v>
                </c:pt>
                <c:pt idx="6">
                  <c:v>2.5000000000000001E-2</c:v>
                </c:pt>
                <c:pt idx="7">
                  <c:v>3.5000000000000003E-2</c:v>
                </c:pt>
                <c:pt idx="8">
                  <c:v>0.05</c:v>
                </c:pt>
                <c:pt idx="9">
                  <c:v>0.09</c:v>
                </c:pt>
                <c:pt idx="10">
                  <c:v>0.15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'uptake area - peaks'!$G$18:$G$29</c15:sqref>
                  </c15:fullRef>
                </c:ext>
              </c:extLst>
              <c:f>'uptake area - peaks'!$G$19:$G$29</c:f>
              <c:numCache>
                <c:formatCode>0.00%</c:formatCode>
                <c:ptCount val="11"/>
                <c:pt idx="0">
                  <c:v>3.9784747405004197E-3</c:v>
                </c:pt>
                <c:pt idx="1">
                  <c:v>6.5834698225061741E-3</c:v>
                </c:pt>
                <c:pt idx="2">
                  <c:v>1.6577637274603846E-2</c:v>
                </c:pt>
                <c:pt idx="3">
                  <c:v>1.9594233913563117E-2</c:v>
                </c:pt>
                <c:pt idx="4">
                  <c:v>5.0626199755605485E-2</c:v>
                </c:pt>
                <c:pt idx="5">
                  <c:v>6.9264953868088119E-2</c:v>
                </c:pt>
                <c:pt idx="6">
                  <c:v>0.12045850052089153</c:v>
                </c:pt>
                <c:pt idx="7">
                  <c:v>0.13798858770544112</c:v>
                </c:pt>
                <c:pt idx="8">
                  <c:v>0.22294033393645563</c:v>
                </c:pt>
                <c:pt idx="9">
                  <c:v>0.47629029741765888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249-4A76-A610-64CF7B8982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38582456"/>
        <c:axId val="1538582848"/>
        <c:axId val="0"/>
      </c:bar3DChart>
      <c:catAx>
        <c:axId val="1538582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8582848"/>
        <c:crosses val="autoZero"/>
        <c:auto val="1"/>
        <c:lblAlgn val="ctr"/>
        <c:lblOffset val="100"/>
        <c:noMultiLvlLbl val="0"/>
      </c:catAx>
      <c:valAx>
        <c:axId val="153858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8582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234141</xdr:colOff>
      <xdr:row>7</xdr:row>
      <xdr:rowOff>93866</xdr:rowOff>
    </xdr:from>
    <xdr:to>
      <xdr:col>23</xdr:col>
      <xdr:colOff>348441</xdr:colOff>
      <xdr:row>27</xdr:row>
      <xdr:rowOff>74816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88668</xdr:colOff>
      <xdr:row>14</xdr:row>
      <xdr:rowOff>87976</xdr:rowOff>
    </xdr:from>
    <xdr:to>
      <xdr:col>11</xdr:col>
      <xdr:colOff>202968</xdr:colOff>
      <xdr:row>34</xdr:row>
      <xdr:rowOff>68926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620684</xdr:colOff>
      <xdr:row>30</xdr:row>
      <xdr:rowOff>79663</xdr:rowOff>
    </xdr:from>
    <xdr:to>
      <xdr:col>21</xdr:col>
      <xdr:colOff>94904</xdr:colOff>
      <xdr:row>50</xdr:row>
      <xdr:rowOff>60614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112682</xdr:colOff>
      <xdr:row>23</xdr:row>
      <xdr:rowOff>57725</xdr:rowOff>
    </xdr:from>
    <xdr:to>
      <xdr:col>17</xdr:col>
      <xdr:colOff>920861</xdr:colOff>
      <xdr:row>36</xdr:row>
      <xdr:rowOff>72966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C3DB07-9D25-4214-AED6-8FAFD0B8C0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140221</xdr:colOff>
      <xdr:row>36</xdr:row>
      <xdr:rowOff>132081</xdr:rowOff>
    </xdr:from>
    <xdr:to>
      <xdr:col>20</xdr:col>
      <xdr:colOff>45256</xdr:colOff>
      <xdr:row>56</xdr:row>
      <xdr:rowOff>50335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E8E86A7-981B-4BBA-B7E9-FA431D8B31B5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150555</xdr:colOff>
      <xdr:row>56</xdr:row>
      <xdr:rowOff>57269</xdr:rowOff>
    </xdr:from>
    <xdr:to>
      <xdr:col>20</xdr:col>
      <xdr:colOff>54666</xdr:colOff>
      <xdr:row>75</xdr:row>
      <xdr:rowOff>172256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9CBA8C8-4EFF-48B4-AAEA-AC8073EDCF65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794330</xdr:colOff>
      <xdr:row>75</xdr:row>
      <xdr:rowOff>165331</xdr:rowOff>
    </xdr:from>
    <xdr:to>
      <xdr:col>18</xdr:col>
      <xdr:colOff>121169</xdr:colOff>
      <xdr:row>95</xdr:row>
      <xdr:rowOff>83585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3522A08-AF0F-4168-AA76-484CED0DA351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304801</xdr:colOff>
      <xdr:row>18</xdr:row>
      <xdr:rowOff>175485</xdr:rowOff>
    </xdr:from>
    <xdr:to>
      <xdr:col>23</xdr:col>
      <xdr:colOff>508002</xdr:colOff>
      <xdr:row>51</xdr:row>
      <xdr:rowOff>36942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06D2E01-633B-4CFF-AB58-22E0D6DB54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124691</xdr:colOff>
      <xdr:row>18</xdr:row>
      <xdr:rowOff>78508</xdr:rowOff>
    </xdr:from>
    <xdr:to>
      <xdr:col>11</xdr:col>
      <xdr:colOff>92365</xdr:colOff>
      <xdr:row>42</xdr:row>
      <xdr:rowOff>147782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CE7D72E-72D7-48A9-B0E5-CB3EFE53EF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147781</xdr:colOff>
      <xdr:row>19</xdr:row>
      <xdr:rowOff>192580</xdr:rowOff>
    </xdr:from>
    <xdr:to>
      <xdr:col>12</xdr:col>
      <xdr:colOff>355598</xdr:colOff>
      <xdr:row>44</xdr:row>
      <xdr:rowOff>19396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FC74FBB-D07B-4CC5-B07A-13144E4C45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782839</xdr:colOff>
      <xdr:row>35</xdr:row>
      <xdr:rowOff>61806</xdr:rowOff>
    </xdr:from>
    <xdr:to>
      <xdr:col>16</xdr:col>
      <xdr:colOff>432264</xdr:colOff>
      <xdr:row>60</xdr:row>
      <xdr:rowOff>163001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610F7E9-F33D-4EDF-9577-FE7E9242F7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191191</xdr:colOff>
      <xdr:row>14</xdr:row>
      <xdr:rowOff>78970</xdr:rowOff>
    </xdr:from>
    <xdr:to>
      <xdr:col>17</xdr:col>
      <xdr:colOff>307570</xdr:colOff>
      <xdr:row>33</xdr:row>
      <xdr:rowOff>182880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739027A-8365-4A1F-940E-D0AF70AF8E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225376</xdr:colOff>
      <xdr:row>42</xdr:row>
      <xdr:rowOff>413936</xdr:rowOff>
    </xdr:from>
    <xdr:to>
      <xdr:col>9</xdr:col>
      <xdr:colOff>207817</xdr:colOff>
      <xdr:row>56</xdr:row>
      <xdr:rowOff>24939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35DE0B6-CA8A-483E-B4BB-3C487E8886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1261326</xdr:colOff>
      <xdr:row>81</xdr:row>
      <xdr:rowOff>51639</xdr:rowOff>
    </xdr:from>
    <xdr:to>
      <xdr:col>14</xdr:col>
      <xdr:colOff>83649</xdr:colOff>
      <xdr:row>98</xdr:row>
      <xdr:rowOff>156131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A17D184-7B34-4AC1-A750-57653AE3FC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226694</xdr:colOff>
      <xdr:row>33</xdr:row>
      <xdr:rowOff>32924</xdr:rowOff>
    </xdr:from>
    <xdr:to>
      <xdr:col>30</xdr:col>
      <xdr:colOff>349134</xdr:colOff>
      <xdr:row>49</xdr:row>
      <xdr:rowOff>24938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A7048F3-9EA3-4D48-9B33-B6EA7B8996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1270007</xdr:colOff>
      <xdr:row>81</xdr:row>
      <xdr:rowOff>13278</xdr:rowOff>
    </xdr:from>
    <xdr:to>
      <xdr:col>8</xdr:col>
      <xdr:colOff>1199005</xdr:colOff>
      <xdr:row>98</xdr:row>
      <xdr:rowOff>156484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FB38D4C-316E-4DC2-AFCD-E53B3FEB74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78</xdr:row>
      <xdr:rowOff>133841</xdr:rowOff>
    </xdr:from>
    <xdr:to>
      <xdr:col>4</xdr:col>
      <xdr:colOff>1629909</xdr:colOff>
      <xdr:row>94</xdr:row>
      <xdr:rowOff>24939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7D5C2C4-D3F9-4145-ADDA-82CE97F435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1122219</xdr:colOff>
      <xdr:row>51</xdr:row>
      <xdr:rowOff>423949</xdr:rowOff>
    </xdr:from>
    <xdr:to>
      <xdr:col>8</xdr:col>
      <xdr:colOff>1262602</xdr:colOff>
      <xdr:row>76</xdr:row>
      <xdr:rowOff>34951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BE07EA4-E0EC-4885-B037-12BBFDBA68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1271848</xdr:colOff>
      <xdr:row>51</xdr:row>
      <xdr:rowOff>423949</xdr:rowOff>
    </xdr:from>
    <xdr:to>
      <xdr:col>16</xdr:col>
      <xdr:colOff>272070</xdr:colOff>
      <xdr:row>76</xdr:row>
      <xdr:rowOff>33577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0F70D85-FBE9-48A4-8636-CB56C7DDDA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UA%20IR%20peak%20rati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 t="str">
            <v>big dose</v>
          </cell>
          <cell r="D2" t="str">
            <v>100 K</v>
          </cell>
          <cell r="E2">
            <v>191</v>
          </cell>
          <cell r="F2">
            <v>249</v>
          </cell>
        </row>
        <row r="3">
          <cell r="B3">
            <v>748</v>
          </cell>
          <cell r="C3">
            <v>0.32591093117408909</v>
          </cell>
          <cell r="D3">
            <v>0.32603950103950102</v>
          </cell>
          <cell r="E3">
            <v>0.24724108658743638</v>
          </cell>
          <cell r="F3">
            <v>1.1324125506680678</v>
          </cell>
        </row>
        <row r="4">
          <cell r="B4">
            <v>760</v>
          </cell>
          <cell r="C4">
            <v>0.46052631578947373</v>
          </cell>
          <cell r="D4">
            <v>0.41767151767151772</v>
          </cell>
          <cell r="E4">
            <v>0.40110356536502545</v>
          </cell>
          <cell r="F4">
            <v>0.20267227143071612</v>
          </cell>
        </row>
        <row r="5">
          <cell r="B5">
            <v>837</v>
          </cell>
          <cell r="C5">
            <v>6.1133603238866407E-2</v>
          </cell>
          <cell r="D5">
            <v>5.9251559251559248E-2</v>
          </cell>
          <cell r="E5">
            <v>6.6956706281833603E-2</v>
          </cell>
          <cell r="F5">
            <v>0.24771055397087521</v>
          </cell>
        </row>
        <row r="6">
          <cell r="B6">
            <v>1027</v>
          </cell>
          <cell r="C6">
            <v>0.26113360323886642</v>
          </cell>
          <cell r="D6">
            <v>0.2354469854469855</v>
          </cell>
          <cell r="E6">
            <v>0.21010186757215621</v>
          </cell>
          <cell r="F6">
            <v>0.19876895361056901</v>
          </cell>
        </row>
        <row r="7">
          <cell r="B7">
            <v>1043</v>
          </cell>
          <cell r="C7">
            <v>0.22064777327935223</v>
          </cell>
          <cell r="D7">
            <v>0.20270270270270271</v>
          </cell>
          <cell r="E7">
            <v>0.21010186757215621</v>
          </cell>
          <cell r="F7">
            <v>0.15298003302807384</v>
          </cell>
        </row>
        <row r="8">
          <cell r="B8">
            <v>1112</v>
          </cell>
          <cell r="C8">
            <v>0.25607287449392713</v>
          </cell>
          <cell r="D8">
            <v>0.24532224532224531</v>
          </cell>
          <cell r="E8">
            <v>0.23662988115449918</v>
          </cell>
          <cell r="F8">
            <v>0.23244257618976133</v>
          </cell>
        </row>
        <row r="9">
          <cell r="B9">
            <v>1232</v>
          </cell>
          <cell r="C9">
            <v>0.28390688259109309</v>
          </cell>
          <cell r="D9">
            <v>0.27546777546777551</v>
          </cell>
          <cell r="E9">
            <v>0.24034380305602721</v>
          </cell>
          <cell r="F9">
            <v>0.2867437321723465</v>
          </cell>
        </row>
        <row r="10">
          <cell r="B10">
            <v>1268</v>
          </cell>
          <cell r="C10">
            <v>0.88765182186234814</v>
          </cell>
          <cell r="D10">
            <v>0.87650727650727644</v>
          </cell>
          <cell r="E10">
            <v>0.9433361629881154</v>
          </cell>
          <cell r="F10">
            <v>0.66784266626632627</v>
          </cell>
        </row>
        <row r="11">
          <cell r="B11">
            <v>1458</v>
          </cell>
          <cell r="C11">
            <v>0.16093117408906882</v>
          </cell>
          <cell r="D11">
            <v>0.18607068607068608</v>
          </cell>
          <cell r="E11">
            <v>0.1467529711375212</v>
          </cell>
          <cell r="F11">
            <v>0.43431917129560127</v>
          </cell>
        </row>
        <row r="13">
          <cell r="B13" t="str">
            <v>raw 1508/ raw 1508</v>
          </cell>
          <cell r="C13">
            <v>1</v>
          </cell>
          <cell r="D13">
            <v>1</v>
          </cell>
          <cell r="E13">
            <v>1</v>
          </cell>
          <cell r="F13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3"/>
  <sheetViews>
    <sheetView zoomScaleNormal="100" workbookViewId="0">
      <selection activeCell="H2" sqref="H2:H13"/>
    </sheetView>
  </sheetViews>
  <sheetFormatPr defaultRowHeight="15.05" x14ac:dyDescent="0.3"/>
  <cols>
    <col min="1" max="1025" width="8.5546875" customWidth="1"/>
  </cols>
  <sheetData>
    <row r="1" spans="1:1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s="1" t="s">
        <v>3</v>
      </c>
      <c r="I1" t="s">
        <v>52</v>
      </c>
      <c r="K1" s="2" t="s">
        <v>3</v>
      </c>
      <c r="L1" t="s">
        <v>6</v>
      </c>
    </row>
    <row r="2" spans="1:12" x14ac:dyDescent="0.3">
      <c r="A2" s="1">
        <v>0</v>
      </c>
      <c r="B2">
        <v>-1</v>
      </c>
      <c r="C2">
        <v>96904.452850423098</v>
      </c>
      <c r="D2">
        <v>313.72282387402998</v>
      </c>
      <c r="E2">
        <v>130.45697328901599</v>
      </c>
      <c r="F2">
        <v>42232.1926429702</v>
      </c>
      <c r="H2">
        <v>29.194070346638</v>
      </c>
      <c r="K2">
        <v>100.943872666519</v>
      </c>
    </row>
    <row r="3" spans="1:12" x14ac:dyDescent="0.3">
      <c r="A3" s="1">
        <v>1.5E-3</v>
      </c>
      <c r="B3">
        <v>-1</v>
      </c>
      <c r="C3">
        <v>466397.15793790901</v>
      </c>
      <c r="D3">
        <v>1436.72419843015</v>
      </c>
      <c r="E3">
        <v>192.15935403305701</v>
      </c>
      <c r="F3">
        <v>420548.78756653197</v>
      </c>
      <c r="H3">
        <v>238.22517283542399</v>
      </c>
      <c r="K3">
        <v>223.034305929223</v>
      </c>
    </row>
    <row r="4" spans="1:12" x14ac:dyDescent="0.3">
      <c r="A4" s="1">
        <v>2.5000000000000001E-3</v>
      </c>
      <c r="B4">
        <v>-1</v>
      </c>
      <c r="C4">
        <v>519140.80899688101</v>
      </c>
      <c r="D4">
        <v>2614.84468073365</v>
      </c>
      <c r="E4">
        <v>283.95108234588298</v>
      </c>
      <c r="F4">
        <v>498796.27313669003</v>
      </c>
      <c r="H4">
        <v>781.60129074705196</v>
      </c>
      <c r="K4">
        <v>339.277681832702</v>
      </c>
    </row>
    <row r="5" spans="1:12" x14ac:dyDescent="0.3">
      <c r="A5" s="1">
        <v>5.0000000000000001E-3</v>
      </c>
      <c r="B5">
        <v>-1</v>
      </c>
      <c r="C5">
        <v>618537.95000606799</v>
      </c>
      <c r="D5">
        <v>5290.2913949578697</v>
      </c>
      <c r="E5">
        <v>360.187522345464</v>
      </c>
      <c r="F5">
        <v>588656.95149659296</v>
      </c>
      <c r="H5">
        <v>1341.89974536462</v>
      </c>
      <c r="K5">
        <v>465.17623466400698</v>
      </c>
    </row>
    <row r="6" spans="1:12" x14ac:dyDescent="0.3">
      <c r="A6" s="1">
        <v>7.4999999999999997E-3</v>
      </c>
      <c r="B6">
        <v>-1</v>
      </c>
      <c r="C6">
        <v>634752.80853782</v>
      </c>
      <c r="D6">
        <v>5981.4444103284104</v>
      </c>
      <c r="E6">
        <v>473.33002305751</v>
      </c>
      <c r="F6">
        <v>625225.391612145</v>
      </c>
      <c r="H6">
        <v>1502.9993476074301</v>
      </c>
      <c r="K6">
        <v>394.80304815039102</v>
      </c>
    </row>
    <row r="7" spans="1:12" x14ac:dyDescent="0.3">
      <c r="A7" s="1">
        <v>0.01</v>
      </c>
      <c r="B7">
        <v>-1</v>
      </c>
      <c r="C7">
        <v>679880.56387744599</v>
      </c>
      <c r="D7">
        <v>13602.8724338708</v>
      </c>
      <c r="E7">
        <v>678.21239440105103</v>
      </c>
      <c r="F7">
        <v>698082.20990663697</v>
      </c>
      <c r="H7">
        <v>2696.0490482425798</v>
      </c>
      <c r="K7">
        <v>646.54592365087206</v>
      </c>
    </row>
    <row r="8" spans="1:12" x14ac:dyDescent="0.3">
      <c r="A8" s="1">
        <v>1.4999999999999999E-2</v>
      </c>
      <c r="B8">
        <v>-1</v>
      </c>
      <c r="C8">
        <v>717884.33882466902</v>
      </c>
      <c r="D8">
        <v>18445.422781861002</v>
      </c>
      <c r="E8">
        <v>827.30740964851702</v>
      </c>
      <c r="F8">
        <v>734989.85376617499</v>
      </c>
      <c r="H8">
        <v>3703.8591038087702</v>
      </c>
      <c r="K8">
        <v>771.40879700764901</v>
      </c>
    </row>
    <row r="9" spans="1:12" x14ac:dyDescent="0.3">
      <c r="A9" s="1">
        <v>2.5000000000000001E-2</v>
      </c>
      <c r="B9">
        <v>-1</v>
      </c>
      <c r="C9">
        <v>717250.50706161</v>
      </c>
      <c r="D9">
        <v>29525.667709388199</v>
      </c>
      <c r="E9">
        <v>1040.3900702629101</v>
      </c>
      <c r="F9">
        <v>730801.40001686604</v>
      </c>
      <c r="H9">
        <v>4593.5395367150504</v>
      </c>
      <c r="K9">
        <v>772.35538138385095</v>
      </c>
    </row>
    <row r="10" spans="1:12" x14ac:dyDescent="0.3">
      <c r="A10" s="1">
        <v>3.5000000000000003E-2</v>
      </c>
      <c r="B10">
        <v>-1</v>
      </c>
      <c r="C10">
        <v>716141.63200111699</v>
      </c>
      <c r="D10">
        <v>33556.463651855302</v>
      </c>
      <c r="E10">
        <v>1033.26010401132</v>
      </c>
      <c r="F10">
        <v>731327.47083776095</v>
      </c>
      <c r="H10">
        <v>4969.6434939412802</v>
      </c>
      <c r="K10">
        <v>937.84019066407996</v>
      </c>
    </row>
    <row r="11" spans="1:12" x14ac:dyDescent="0.3">
      <c r="A11" s="1">
        <v>0.05</v>
      </c>
      <c r="B11">
        <v>-1</v>
      </c>
      <c r="C11">
        <v>712364.11000687804</v>
      </c>
      <c r="D11">
        <v>50554.817168143403</v>
      </c>
      <c r="E11">
        <v>1150.4694470043601</v>
      </c>
      <c r="F11">
        <v>740129.29715764197</v>
      </c>
      <c r="H11">
        <v>5245.5768041577903</v>
      </c>
      <c r="K11">
        <v>751.37458007567898</v>
      </c>
    </row>
    <row r="12" spans="1:12" x14ac:dyDescent="0.3">
      <c r="A12" s="1">
        <v>0.09</v>
      </c>
      <c r="B12">
        <v>-1</v>
      </c>
      <c r="C12">
        <v>715105.24349274498</v>
      </c>
      <c r="D12">
        <v>101282.655996678</v>
      </c>
      <c r="E12">
        <v>1201.8001976984499</v>
      </c>
      <c r="F12">
        <v>726484.91994797601</v>
      </c>
      <c r="H12">
        <v>5594.2035974594501</v>
      </c>
      <c r="K12">
        <v>703.54074259321999</v>
      </c>
    </row>
    <row r="13" spans="1:12" x14ac:dyDescent="0.3">
      <c r="A13" s="1">
        <v>0.15</v>
      </c>
      <c r="B13">
        <v>-1</v>
      </c>
      <c r="C13">
        <v>719602.97734090895</v>
      </c>
      <c r="D13">
        <v>205078.61874598201</v>
      </c>
      <c r="E13">
        <v>1152.2767913668399</v>
      </c>
      <c r="F13">
        <v>745362.50813423598</v>
      </c>
      <c r="H13">
        <v>4812.1459034975896</v>
      </c>
      <c r="K13">
        <v>1041.8256310315001</v>
      </c>
    </row>
  </sheetData>
  <pageMargins left="0.7" right="0.7" top="0.75" bottom="0.75" header="0.51180555555555496" footer="0.51180555555555496"/>
  <pageSetup firstPageNumber="0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64"/>
  <sheetViews>
    <sheetView zoomScale="90" zoomScaleNormal="90" workbookViewId="0">
      <selection activeCell="Q2" sqref="Q2:Q13"/>
    </sheetView>
  </sheetViews>
  <sheetFormatPr defaultRowHeight="15.05" x14ac:dyDescent="0.3"/>
  <cols>
    <col min="1" max="1" width="10.44140625" bestFit="1" customWidth="1"/>
    <col min="2" max="2" width="8.5546875" customWidth="1"/>
    <col min="3" max="3" width="11.44140625" customWidth="1"/>
    <col min="4" max="4" width="13.44140625" bestFit="1" customWidth="1"/>
    <col min="5" max="5" width="17.109375" customWidth="1"/>
    <col min="6" max="6" width="15.5546875" customWidth="1"/>
    <col min="7" max="7" width="16.6640625" bestFit="1" customWidth="1"/>
    <col min="8" max="8" width="16.6640625" customWidth="1"/>
    <col min="9" max="9" width="13.109375" bestFit="1" customWidth="1"/>
    <col min="10" max="13" width="8.5546875" customWidth="1"/>
    <col min="14" max="14" width="10.6640625" bestFit="1" customWidth="1"/>
    <col min="15" max="15" width="12.33203125" bestFit="1" customWidth="1"/>
    <col min="16" max="16" width="9.6640625" bestFit="1" customWidth="1"/>
    <col min="17" max="17" width="13.6640625" customWidth="1"/>
    <col min="18" max="18" width="13.5546875" bestFit="1" customWidth="1"/>
    <col min="19" max="19" width="17.33203125" bestFit="1" customWidth="1"/>
    <col min="20" max="20" width="13.5546875" bestFit="1" customWidth="1"/>
    <col min="21" max="1028" width="8.5546875" customWidth="1"/>
  </cols>
  <sheetData>
    <row r="1" spans="1:19" x14ac:dyDescent="0.3">
      <c r="A1" s="1" t="s">
        <v>0</v>
      </c>
      <c r="B1" s="1" t="s">
        <v>1</v>
      </c>
      <c r="C1" s="1" t="s">
        <v>2</v>
      </c>
      <c r="D1" s="1" t="s">
        <v>8</v>
      </c>
      <c r="E1" s="1" t="s">
        <v>4</v>
      </c>
      <c r="F1" s="1" t="s">
        <v>5</v>
      </c>
      <c r="G1" s="16"/>
      <c r="H1" s="1" t="s">
        <v>3</v>
      </c>
      <c r="I1" t="s">
        <v>7</v>
      </c>
      <c r="K1" s="2" t="s">
        <v>3</v>
      </c>
      <c r="L1" t="s">
        <v>20</v>
      </c>
      <c r="M1" t="s">
        <v>9</v>
      </c>
      <c r="N1" t="s">
        <v>10</v>
      </c>
      <c r="O1" t="s">
        <v>11</v>
      </c>
      <c r="P1" s="6" t="s">
        <v>4</v>
      </c>
      <c r="Q1" t="s">
        <v>12</v>
      </c>
      <c r="R1" t="s">
        <v>13</v>
      </c>
      <c r="S1" t="s">
        <v>21</v>
      </c>
    </row>
    <row r="2" spans="1:19" x14ac:dyDescent="0.3">
      <c r="A2" s="1">
        <v>0</v>
      </c>
      <c r="B2" s="7">
        <v>-1</v>
      </c>
      <c r="C2" s="7">
        <v>96904.452850423098</v>
      </c>
      <c r="D2" s="7">
        <v>313.72282387402998</v>
      </c>
      <c r="E2" s="7">
        <v>130.45697328901599</v>
      </c>
      <c r="F2" s="7">
        <v>42232.1926429702</v>
      </c>
      <c r="G2" s="7"/>
      <c r="H2" s="7">
        <v>29.194070346638</v>
      </c>
      <c r="I2" s="7"/>
      <c r="J2" s="7"/>
      <c r="K2" s="7">
        <v>100.943872666519</v>
      </c>
      <c r="M2" s="7">
        <f t="shared" ref="M2:M13" si="0">(F2-$F$2)</f>
        <v>0</v>
      </c>
      <c r="N2" s="7">
        <f t="shared" ref="N2:N13" si="1">(C2-$C$2)</f>
        <v>0</v>
      </c>
      <c r="O2" s="7">
        <f t="shared" ref="O2:O13" si="2">(D2-$D$2)</f>
        <v>0</v>
      </c>
      <c r="P2" s="7">
        <f t="shared" ref="P2:P13" si="3">(E2-$E$2)</f>
        <v>0</v>
      </c>
      <c r="Q2" s="7">
        <f t="shared" ref="Q2:Q13" si="4">(H2-$H$2)</f>
        <v>0</v>
      </c>
      <c r="R2" s="7">
        <f t="shared" ref="R2:R13" si="5">(K2-$K$2)</f>
        <v>0</v>
      </c>
      <c r="S2" s="7">
        <f t="shared" ref="S2:S13" si="6">(H2+K2-$H$2-$K$2)</f>
        <v>-1.4210854715202004E-14</v>
      </c>
    </row>
    <row r="3" spans="1:19" x14ac:dyDescent="0.3">
      <c r="A3" s="1">
        <v>1.5E-3</v>
      </c>
      <c r="B3" s="7">
        <v>-1</v>
      </c>
      <c r="C3" s="7">
        <v>466397.15793790901</v>
      </c>
      <c r="D3" s="7">
        <v>1436.72419843015</v>
      </c>
      <c r="E3" s="7">
        <v>192.15935403305701</v>
      </c>
      <c r="F3" s="7">
        <v>420548.78756653197</v>
      </c>
      <c r="G3" s="7"/>
      <c r="H3" s="7">
        <v>238.22517283542399</v>
      </c>
      <c r="I3" s="7"/>
      <c r="J3" s="7"/>
      <c r="K3" s="7">
        <v>223.034305929223</v>
      </c>
      <c r="M3" s="7">
        <f t="shared" si="0"/>
        <v>378316.59492356179</v>
      </c>
      <c r="N3" s="7">
        <f t="shared" si="1"/>
        <v>369492.7050874859</v>
      </c>
      <c r="O3" s="7">
        <f t="shared" si="2"/>
        <v>1123.00137455612</v>
      </c>
      <c r="P3" s="7">
        <f t="shared" si="3"/>
        <v>61.702380744041022</v>
      </c>
      <c r="Q3" s="7">
        <f t="shared" si="4"/>
        <v>209.03110248878599</v>
      </c>
      <c r="R3" s="7">
        <f t="shared" si="5"/>
        <v>122.090433262704</v>
      </c>
      <c r="S3" s="7">
        <f t="shared" si="6"/>
        <v>331.12153575149</v>
      </c>
    </row>
    <row r="4" spans="1:19" x14ac:dyDescent="0.3">
      <c r="A4" s="1">
        <v>2.5000000000000001E-3</v>
      </c>
      <c r="B4" s="7">
        <v>-1</v>
      </c>
      <c r="C4" s="7">
        <v>519140.80899688101</v>
      </c>
      <c r="D4" s="7">
        <v>2614.84468073365</v>
      </c>
      <c r="E4" s="7">
        <v>283.95108234588298</v>
      </c>
      <c r="F4" s="7">
        <v>498796.27313669003</v>
      </c>
      <c r="G4" s="7"/>
      <c r="H4" s="7">
        <v>781.60129074705196</v>
      </c>
      <c r="I4" s="7"/>
      <c r="J4" s="7"/>
      <c r="K4" s="7">
        <v>339.277681832702</v>
      </c>
      <c r="M4" s="7">
        <f t="shared" si="0"/>
        <v>456564.08049371984</v>
      </c>
      <c r="N4" s="7">
        <f t="shared" si="1"/>
        <v>422236.3561464579</v>
      </c>
      <c r="O4" s="7">
        <f t="shared" si="2"/>
        <v>2301.12185685962</v>
      </c>
      <c r="P4" s="7">
        <f t="shared" si="3"/>
        <v>153.49410905686699</v>
      </c>
      <c r="Q4" s="7">
        <f t="shared" si="4"/>
        <v>752.40722040041396</v>
      </c>
      <c r="R4" s="7">
        <f t="shared" si="5"/>
        <v>238.33380916618302</v>
      </c>
      <c r="S4" s="7">
        <f t="shared" si="6"/>
        <v>990.74102956659692</v>
      </c>
    </row>
    <row r="5" spans="1:19" x14ac:dyDescent="0.3">
      <c r="A5" s="1">
        <v>5.0000000000000001E-3</v>
      </c>
      <c r="B5" s="7">
        <v>-1</v>
      </c>
      <c r="C5" s="7">
        <v>618537.95000606799</v>
      </c>
      <c r="D5" s="7">
        <v>5290.2913949578697</v>
      </c>
      <c r="E5" s="7">
        <v>360.187522345464</v>
      </c>
      <c r="F5" s="7">
        <v>588656.95149659296</v>
      </c>
      <c r="G5" s="7"/>
      <c r="H5" s="7">
        <v>1341.89974536462</v>
      </c>
      <c r="I5" s="7"/>
      <c r="J5" s="7"/>
      <c r="K5" s="7">
        <v>465.17623466400698</v>
      </c>
      <c r="M5" s="7">
        <f t="shared" si="0"/>
        <v>546424.75885362271</v>
      </c>
      <c r="N5" s="7">
        <f t="shared" si="1"/>
        <v>521633.49715564487</v>
      </c>
      <c r="O5" s="7">
        <f t="shared" si="2"/>
        <v>4976.5685710838397</v>
      </c>
      <c r="P5" s="7">
        <f t="shared" si="3"/>
        <v>229.73054905644801</v>
      </c>
      <c r="Q5" s="7">
        <f t="shared" si="4"/>
        <v>1312.705675017982</v>
      </c>
      <c r="R5" s="7">
        <f t="shared" si="5"/>
        <v>364.232361997488</v>
      </c>
      <c r="S5" s="7">
        <f t="shared" si="6"/>
        <v>1676.9380370154699</v>
      </c>
    </row>
    <row r="6" spans="1:19" x14ac:dyDescent="0.3">
      <c r="A6" s="1">
        <v>7.4999999999999997E-3</v>
      </c>
      <c r="B6" s="7">
        <v>-1</v>
      </c>
      <c r="C6" s="7">
        <v>634752.80853782</v>
      </c>
      <c r="D6" s="7">
        <v>5981.4444103284104</v>
      </c>
      <c r="E6" s="7">
        <v>473.33002305751</v>
      </c>
      <c r="F6" s="7">
        <v>625225.391612145</v>
      </c>
      <c r="G6" s="7"/>
      <c r="H6" s="7">
        <v>1502.9993476074301</v>
      </c>
      <c r="I6" s="7"/>
      <c r="J6" s="7"/>
      <c r="K6" s="7">
        <v>394.80304815039102</v>
      </c>
      <c r="M6" s="7">
        <f t="shared" si="0"/>
        <v>582993.19896917476</v>
      </c>
      <c r="N6" s="7">
        <f t="shared" si="1"/>
        <v>537848.35568739695</v>
      </c>
      <c r="O6" s="7">
        <f t="shared" si="2"/>
        <v>5667.7215864543805</v>
      </c>
      <c r="P6" s="7">
        <f t="shared" si="3"/>
        <v>342.87304976849401</v>
      </c>
      <c r="Q6" s="7">
        <f t="shared" si="4"/>
        <v>1473.8052772607921</v>
      </c>
      <c r="R6" s="7">
        <f t="shared" si="5"/>
        <v>293.85917548387204</v>
      </c>
      <c r="S6" s="7">
        <f t="shared" si="6"/>
        <v>1767.6644527446642</v>
      </c>
    </row>
    <row r="7" spans="1:19" x14ac:dyDescent="0.3">
      <c r="A7" s="1">
        <v>0.01</v>
      </c>
      <c r="B7" s="7">
        <v>-1</v>
      </c>
      <c r="C7" s="7">
        <v>679880.56387744599</v>
      </c>
      <c r="D7" s="7">
        <v>13602.8724338708</v>
      </c>
      <c r="E7" s="7">
        <v>678.21239440105103</v>
      </c>
      <c r="F7" s="7">
        <v>698082.20990663697</v>
      </c>
      <c r="G7" s="7"/>
      <c r="H7" s="7">
        <v>2696.0490482425798</v>
      </c>
      <c r="I7" s="7"/>
      <c r="J7" s="7"/>
      <c r="K7" s="7">
        <v>646.54592365087206</v>
      </c>
      <c r="M7" s="7">
        <f t="shared" si="0"/>
        <v>655850.01726366673</v>
      </c>
      <c r="N7" s="7">
        <f t="shared" si="1"/>
        <v>582976.11102702294</v>
      </c>
      <c r="O7" s="7">
        <f t="shared" si="2"/>
        <v>13289.14960999677</v>
      </c>
      <c r="P7" s="7">
        <f t="shared" si="3"/>
        <v>547.75542111203504</v>
      </c>
      <c r="Q7" s="7">
        <f t="shared" si="4"/>
        <v>2666.8549778959418</v>
      </c>
      <c r="R7" s="7">
        <f t="shared" si="5"/>
        <v>545.60205098435301</v>
      </c>
      <c r="S7" s="7">
        <f t="shared" si="6"/>
        <v>3212.4570288802947</v>
      </c>
    </row>
    <row r="8" spans="1:19" x14ac:dyDescent="0.3">
      <c r="A8" s="1">
        <v>1.4999999999999999E-2</v>
      </c>
      <c r="B8" s="7">
        <v>-1</v>
      </c>
      <c r="C8" s="7">
        <v>717884.33882466902</v>
      </c>
      <c r="D8" s="7">
        <v>18445.422781861002</v>
      </c>
      <c r="E8" s="7">
        <v>827.30740964851702</v>
      </c>
      <c r="F8" s="7">
        <v>734989.85376617499</v>
      </c>
      <c r="G8" s="7"/>
      <c r="H8" s="7">
        <v>3703.8591038087702</v>
      </c>
      <c r="I8" s="7"/>
      <c r="J8" s="7"/>
      <c r="K8" s="7">
        <v>771.40879700764901</v>
      </c>
      <c r="M8" s="7">
        <f t="shared" si="0"/>
        <v>692757.66112320474</v>
      </c>
      <c r="N8" s="7">
        <f t="shared" si="1"/>
        <v>620979.88597424596</v>
      </c>
      <c r="O8" s="7">
        <f t="shared" si="2"/>
        <v>18131.69995798697</v>
      </c>
      <c r="P8" s="7">
        <f t="shared" si="3"/>
        <v>696.85043635950103</v>
      </c>
      <c r="Q8" s="7">
        <f t="shared" si="4"/>
        <v>3674.6650334621322</v>
      </c>
      <c r="R8" s="7">
        <f t="shared" si="5"/>
        <v>670.46492434112997</v>
      </c>
      <c r="S8" s="7">
        <f t="shared" si="6"/>
        <v>4345.1299578032622</v>
      </c>
    </row>
    <row r="9" spans="1:19" x14ac:dyDescent="0.3">
      <c r="A9" s="1">
        <v>2.5000000000000001E-2</v>
      </c>
      <c r="B9" s="7">
        <v>-1</v>
      </c>
      <c r="C9" s="7">
        <v>717250.50706161</v>
      </c>
      <c r="D9" s="7">
        <v>29525.667709388199</v>
      </c>
      <c r="E9" s="7">
        <v>1040.3900702629101</v>
      </c>
      <c r="F9" s="7">
        <v>730801.40001686604</v>
      </c>
      <c r="G9" s="7"/>
      <c r="H9" s="9">
        <v>4593.5395367150504</v>
      </c>
      <c r="I9" s="7"/>
      <c r="J9" s="7"/>
      <c r="K9" s="9">
        <v>772.35538138385095</v>
      </c>
      <c r="M9" s="7">
        <f t="shared" si="0"/>
        <v>688569.2073738958</v>
      </c>
      <c r="N9" s="7">
        <f t="shared" si="1"/>
        <v>620346.05421118694</v>
      </c>
      <c r="O9" s="7">
        <f t="shared" si="2"/>
        <v>29211.944885514167</v>
      </c>
      <c r="P9" s="7">
        <f t="shared" si="3"/>
        <v>909.93309697389407</v>
      </c>
      <c r="Q9" s="7">
        <f t="shared" si="4"/>
        <v>4564.3454663684124</v>
      </c>
      <c r="R9" s="7">
        <f t="shared" si="5"/>
        <v>671.41150871733191</v>
      </c>
      <c r="S9" s="7">
        <f t="shared" si="6"/>
        <v>5235.7569750857438</v>
      </c>
    </row>
    <row r="10" spans="1:19" x14ac:dyDescent="0.3">
      <c r="A10" s="1">
        <v>3.5000000000000003E-2</v>
      </c>
      <c r="B10" s="7">
        <v>-1</v>
      </c>
      <c r="C10" s="7">
        <v>716141.63200111699</v>
      </c>
      <c r="D10" s="7">
        <v>33556.463651855302</v>
      </c>
      <c r="E10" s="7">
        <v>1033.26010401132</v>
      </c>
      <c r="F10" s="7">
        <v>731327.47083776095</v>
      </c>
      <c r="G10" s="7"/>
      <c r="H10" s="9">
        <v>4969.6434939412802</v>
      </c>
      <c r="I10" s="7"/>
      <c r="J10" s="7"/>
      <c r="K10" s="9">
        <v>937.84019066407996</v>
      </c>
      <c r="M10" s="7">
        <f t="shared" si="0"/>
        <v>689095.27819479071</v>
      </c>
      <c r="N10" s="7">
        <f t="shared" si="1"/>
        <v>619237.17915069393</v>
      </c>
      <c r="O10" s="7">
        <f t="shared" si="2"/>
        <v>33242.740827981273</v>
      </c>
      <c r="P10" s="7">
        <f t="shared" si="3"/>
        <v>902.80313072230399</v>
      </c>
      <c r="Q10" s="7">
        <f t="shared" si="4"/>
        <v>4940.4494235946422</v>
      </c>
      <c r="R10" s="7">
        <f t="shared" si="5"/>
        <v>836.89631799756091</v>
      </c>
      <c r="S10" s="7">
        <f t="shared" si="6"/>
        <v>5777.345741592203</v>
      </c>
    </row>
    <row r="11" spans="1:19" x14ac:dyDescent="0.3">
      <c r="A11" s="1">
        <v>0.05</v>
      </c>
      <c r="B11" s="7">
        <v>-1</v>
      </c>
      <c r="C11" s="7">
        <v>712364.11000687804</v>
      </c>
      <c r="D11" s="7">
        <v>50554.817168143403</v>
      </c>
      <c r="E11" s="7">
        <v>1150.4694470043601</v>
      </c>
      <c r="F11" s="7">
        <v>740129.29715764197</v>
      </c>
      <c r="G11" s="7"/>
      <c r="H11" s="9">
        <v>5245.5768041577903</v>
      </c>
      <c r="I11" s="7"/>
      <c r="J11" s="7"/>
      <c r="K11" s="9">
        <v>751.37458007567898</v>
      </c>
      <c r="M11" s="7">
        <f t="shared" si="0"/>
        <v>697897.10451467172</v>
      </c>
      <c r="N11" s="7">
        <f t="shared" si="1"/>
        <v>615459.65715645498</v>
      </c>
      <c r="O11" s="7">
        <f t="shared" si="2"/>
        <v>50241.094344269375</v>
      </c>
      <c r="P11" s="7">
        <f t="shared" si="3"/>
        <v>1020.0124737153441</v>
      </c>
      <c r="Q11" s="7">
        <f t="shared" si="4"/>
        <v>5216.3827338111523</v>
      </c>
      <c r="R11" s="7">
        <f t="shared" si="5"/>
        <v>650.43070740915994</v>
      </c>
      <c r="S11" s="7">
        <f t="shared" si="6"/>
        <v>5866.8134412203117</v>
      </c>
    </row>
    <row r="12" spans="1:19" x14ac:dyDescent="0.3">
      <c r="A12" s="1">
        <v>0.09</v>
      </c>
      <c r="B12" s="7">
        <v>-1</v>
      </c>
      <c r="C12" s="7">
        <v>715105.24349274498</v>
      </c>
      <c r="D12" s="7">
        <v>101282.655996678</v>
      </c>
      <c r="E12" s="7">
        <v>1201.8001976984499</v>
      </c>
      <c r="F12" s="7">
        <v>726484.91994797601</v>
      </c>
      <c r="G12" s="7"/>
      <c r="H12" s="9">
        <v>5594.2035974594501</v>
      </c>
      <c r="I12" s="7"/>
      <c r="J12" s="7"/>
      <c r="K12" s="9">
        <v>703.54074259321999</v>
      </c>
      <c r="M12" s="7">
        <f t="shared" si="0"/>
        <v>684252.72730500577</v>
      </c>
      <c r="N12" s="7">
        <f t="shared" si="1"/>
        <v>618200.79064232192</v>
      </c>
      <c r="O12" s="7">
        <f t="shared" si="2"/>
        <v>100968.93317280397</v>
      </c>
      <c r="P12" s="7">
        <f t="shared" si="3"/>
        <v>1071.3432244094338</v>
      </c>
      <c r="Q12" s="7">
        <f t="shared" si="4"/>
        <v>5565.0095271128121</v>
      </c>
      <c r="R12" s="7">
        <f t="shared" si="5"/>
        <v>602.59686992670095</v>
      </c>
      <c r="S12" s="7">
        <f t="shared" si="6"/>
        <v>6167.6063970395126</v>
      </c>
    </row>
    <row r="13" spans="1:19" x14ac:dyDescent="0.3">
      <c r="A13" s="1">
        <v>0.15</v>
      </c>
      <c r="B13" s="7">
        <v>-1</v>
      </c>
      <c r="C13" s="7">
        <v>719602.97734090895</v>
      </c>
      <c r="D13" s="7">
        <v>205078.61874598201</v>
      </c>
      <c r="E13" s="7">
        <v>1152.2767913668399</v>
      </c>
      <c r="F13" s="7">
        <v>745362.50813423598</v>
      </c>
      <c r="G13" s="7"/>
      <c r="H13" s="9">
        <v>4812.1459034975896</v>
      </c>
      <c r="I13" s="7"/>
      <c r="J13" s="7"/>
      <c r="K13" s="7">
        <v>1041.8256310315001</v>
      </c>
      <c r="M13" s="7">
        <f t="shared" si="0"/>
        <v>703130.31549126573</v>
      </c>
      <c r="N13" s="7">
        <f t="shared" si="1"/>
        <v>622698.5244904859</v>
      </c>
      <c r="O13" s="7">
        <f t="shared" si="2"/>
        <v>204764.89592210797</v>
      </c>
      <c r="P13" s="7">
        <f t="shared" si="3"/>
        <v>1021.8198180778239</v>
      </c>
      <c r="Q13" s="7">
        <f t="shared" si="4"/>
        <v>4782.9518331509516</v>
      </c>
      <c r="R13" s="7">
        <f t="shared" si="5"/>
        <v>940.88175836498101</v>
      </c>
      <c r="S13" s="7">
        <f t="shared" si="6"/>
        <v>5723.8335915159323</v>
      </c>
    </row>
    <row r="14" spans="1:19" x14ac:dyDescent="0.3">
      <c r="G14" s="10" t="s">
        <v>19</v>
      </c>
      <c r="H14">
        <f>AVERAGE(H9:H13)</f>
        <v>5043.0218671542325</v>
      </c>
      <c r="J14" s="10" t="s">
        <v>19</v>
      </c>
      <c r="K14" s="7">
        <f>AVERAGE(K9:K12)</f>
        <v>791.27772367920738</v>
      </c>
    </row>
    <row r="15" spans="1:19" x14ac:dyDescent="0.3">
      <c r="G15" s="10"/>
      <c r="J15" s="10"/>
      <c r="K15" s="7"/>
    </row>
    <row r="16" spans="1:19" x14ac:dyDescent="0.3">
      <c r="A16" t="s">
        <v>23</v>
      </c>
      <c r="B16" t="s">
        <v>24</v>
      </c>
      <c r="C16" s="8">
        <v>200000000</v>
      </c>
      <c r="D16" t="s">
        <v>25</v>
      </c>
      <c r="E16" s="13" t="s">
        <v>30</v>
      </c>
      <c r="F16" s="15" t="s">
        <v>29</v>
      </c>
      <c r="G16" s="15" t="s">
        <v>32</v>
      </c>
      <c r="H16" s="15" t="s">
        <v>33</v>
      </c>
      <c r="O16" t="s">
        <v>15</v>
      </c>
      <c r="P16" t="s">
        <v>16</v>
      </c>
      <c r="Q16" t="s">
        <v>17</v>
      </c>
    </row>
    <row r="17" spans="1:17" x14ac:dyDescent="0.3">
      <c r="A17" s="1">
        <v>0</v>
      </c>
      <c r="B17" s="8">
        <f t="shared" ref="B17:B28" si="7">A2*$C$16</f>
        <v>0</v>
      </c>
      <c r="D17" s="8">
        <f t="shared" ref="D17:D28" si="8">B17-N2</f>
        <v>0</v>
      </c>
      <c r="E17" s="11">
        <f>0</f>
        <v>0</v>
      </c>
      <c r="F17" s="8">
        <f t="shared" ref="F17:F28" si="9">N2+$E$30*(O2+P2)</f>
        <v>0</v>
      </c>
      <c r="G17" s="8">
        <f>(F17-B17)^2</f>
        <v>0</v>
      </c>
      <c r="H17" s="17">
        <v>0</v>
      </c>
      <c r="N17" t="s">
        <v>14</v>
      </c>
      <c r="O17" s="7">
        <v>750000</v>
      </c>
      <c r="P17" s="7">
        <v>2253432</v>
      </c>
      <c r="Q17" s="7">
        <f>SUM(H14,K14)</f>
        <v>5834.2995908334397</v>
      </c>
    </row>
    <row r="18" spans="1:17" x14ac:dyDescent="0.3">
      <c r="A18" s="1">
        <v>1.5E-3</v>
      </c>
      <c r="B18" s="8">
        <f t="shared" si="7"/>
        <v>300000</v>
      </c>
      <c r="D18" s="8">
        <f t="shared" si="8"/>
        <v>-69492.705087485898</v>
      </c>
      <c r="E18" s="11">
        <f t="shared" ref="E18:E28" si="10">D18/(O3+P3)</f>
        <v>-58.658297297182926</v>
      </c>
      <c r="F18" s="8">
        <f t="shared" si="9"/>
        <v>558016.78126647545</v>
      </c>
      <c r="G18" s="8">
        <f>(F18-B18)^2</f>
        <v>66572659415.112236</v>
      </c>
      <c r="H18" s="17">
        <f>(B18-F18)/B18</f>
        <v>-0.86005593755491816</v>
      </c>
      <c r="I18" t="s">
        <v>26</v>
      </c>
      <c r="J18">
        <v>0</v>
      </c>
      <c r="K18" s="7">
        <v>650000</v>
      </c>
      <c r="N18" t="s">
        <v>18</v>
      </c>
      <c r="O18">
        <v>0.85</v>
      </c>
      <c r="P18">
        <v>0.77</v>
      </c>
      <c r="Q18">
        <v>7.4999999999999997E-2</v>
      </c>
    </row>
    <row r="19" spans="1:17" x14ac:dyDescent="0.3">
      <c r="A19" s="1">
        <v>2.5000000000000001E-3</v>
      </c>
      <c r="B19" s="8">
        <f t="shared" si="7"/>
        <v>500000</v>
      </c>
      <c r="D19" s="8">
        <f t="shared" si="8"/>
        <v>77763.643853542104</v>
      </c>
      <c r="E19" s="11">
        <f t="shared" si="10"/>
        <v>31.680574449660305</v>
      </c>
      <c r="F19" s="8">
        <f t="shared" si="9"/>
        <v>812843.88590089721</v>
      </c>
      <c r="G19" s="8">
        <f t="shared" ref="G19:G27" si="11">(F19-B19)^2</f>
        <v>97871296945.573593</v>
      </c>
      <c r="H19" s="17">
        <f t="shared" ref="H19:H28" si="12">(B19-F19)/B19</f>
        <v>-0.62568777180179447</v>
      </c>
    </row>
    <row r="20" spans="1:17" x14ac:dyDescent="0.3">
      <c r="A20" s="1">
        <v>5.0000000000000001E-3</v>
      </c>
      <c r="B20" s="8">
        <f t="shared" si="7"/>
        <v>1000000</v>
      </c>
      <c r="D20" s="8">
        <f t="shared" si="8"/>
        <v>478366.50284435513</v>
      </c>
      <c r="E20" s="11">
        <f t="shared" si="10"/>
        <v>91.882254900380218</v>
      </c>
      <c r="F20" s="8">
        <f t="shared" si="9"/>
        <v>1350121.4018700635</v>
      </c>
      <c r="G20" s="8">
        <f t="shared" si="11"/>
        <v>122584996047.45851</v>
      </c>
      <c r="H20" s="17">
        <f t="shared" si="12"/>
        <v>-0.35012140187006352</v>
      </c>
      <c r="N20" t="s">
        <v>22</v>
      </c>
      <c r="O20">
        <v>0</v>
      </c>
      <c r="P20">
        <v>0</v>
      </c>
    </row>
    <row r="21" spans="1:17" x14ac:dyDescent="0.3">
      <c r="A21" s="1">
        <v>7.4999999999999997E-3</v>
      </c>
      <c r="B21" s="8">
        <f t="shared" si="7"/>
        <v>1500000</v>
      </c>
      <c r="D21" s="8">
        <f t="shared" si="8"/>
        <v>962151.64431260305</v>
      </c>
      <c r="E21" s="11">
        <f t="shared" si="10"/>
        <v>160.07594964301737</v>
      </c>
      <c r="F21" s="8">
        <f t="shared" si="9"/>
        <v>1494325.2774586207</v>
      </c>
      <c r="G21" s="8">
        <f t="shared" si="11"/>
        <v>32202475.921638075</v>
      </c>
      <c r="H21" s="17">
        <f t="shared" si="12"/>
        <v>3.7831483609195179E-3</v>
      </c>
      <c r="O21">
        <v>0.1</v>
      </c>
      <c r="P21">
        <v>0.1</v>
      </c>
    </row>
    <row r="22" spans="1:17" x14ac:dyDescent="0.3">
      <c r="A22" s="1">
        <v>0.01</v>
      </c>
      <c r="B22" s="8">
        <f t="shared" si="7"/>
        <v>2000000</v>
      </c>
      <c r="D22" s="8">
        <f t="shared" si="8"/>
        <v>1417023.8889729772</v>
      </c>
      <c r="E22" s="11">
        <f t="shared" si="10"/>
        <v>102.40902035441849</v>
      </c>
      <c r="F22" s="8">
        <f t="shared" si="9"/>
        <v>2784868.1253772918</v>
      </c>
      <c r="G22" s="8">
        <f t="shared" si="11"/>
        <v>616017974233.26428</v>
      </c>
      <c r="H22" s="17">
        <f t="shared" si="12"/>
        <v>-0.39243406268864589</v>
      </c>
      <c r="O22">
        <v>0.2</v>
      </c>
      <c r="P22">
        <v>0.2</v>
      </c>
    </row>
    <row r="23" spans="1:17" x14ac:dyDescent="0.3">
      <c r="A23" s="1">
        <v>1.4999999999999999E-2</v>
      </c>
      <c r="B23" s="8">
        <f t="shared" si="7"/>
        <v>3000000</v>
      </c>
      <c r="D23" s="8">
        <f t="shared" si="8"/>
        <v>2379020.1140257539</v>
      </c>
      <c r="E23" s="14">
        <f t="shared" si="10"/>
        <v>126.35174053229754</v>
      </c>
      <c r="F23" s="8">
        <f t="shared" si="9"/>
        <v>3617201.5599608948</v>
      </c>
      <c r="G23" s="8">
        <f t="shared" si="11"/>
        <v>380937765618.16199</v>
      </c>
      <c r="H23" s="17">
        <f t="shared" si="12"/>
        <v>-0.20573385332029825</v>
      </c>
    </row>
    <row r="24" spans="1:17" x14ac:dyDescent="0.3">
      <c r="A24" s="1">
        <v>2.5000000000000001E-2</v>
      </c>
      <c r="B24" s="8">
        <f t="shared" si="7"/>
        <v>5000000</v>
      </c>
      <c r="D24" s="8">
        <f t="shared" si="8"/>
        <v>4379653.9457888128</v>
      </c>
      <c r="E24" s="11">
        <f t="shared" si="10"/>
        <v>145.39777195615125</v>
      </c>
      <c r="F24" s="8">
        <f t="shared" si="9"/>
        <v>5413695.6101818532</v>
      </c>
      <c r="G24" s="8">
        <f t="shared" si="11"/>
        <v>171144057883.73581</v>
      </c>
      <c r="H24" s="17">
        <f t="shared" si="12"/>
        <v>-8.2739122036370641E-2</v>
      </c>
    </row>
    <row r="25" spans="1:17" x14ac:dyDescent="0.3">
      <c r="A25" s="1">
        <v>3.5000000000000003E-2</v>
      </c>
      <c r="B25" s="8">
        <f t="shared" si="7"/>
        <v>7000000.0000000009</v>
      </c>
      <c r="D25" s="8">
        <f t="shared" si="8"/>
        <v>6380762.8208493069</v>
      </c>
      <c r="E25" s="11">
        <f t="shared" si="10"/>
        <v>186.86956132742682</v>
      </c>
      <c r="F25" s="8">
        <f t="shared" si="9"/>
        <v>6052880.0638334574</v>
      </c>
      <c r="G25" s="8">
        <f t="shared" si="11"/>
        <v>897036173484.11743</v>
      </c>
      <c r="H25" s="17">
        <f t="shared" si="12"/>
        <v>0.13530284802379192</v>
      </c>
    </row>
    <row r="26" spans="1:17" x14ac:dyDescent="0.3">
      <c r="A26" s="1">
        <v>0.05</v>
      </c>
      <c r="B26" s="8">
        <f t="shared" si="7"/>
        <v>10000000</v>
      </c>
      <c r="D26" s="8">
        <f t="shared" si="8"/>
        <v>9384540.3428435456</v>
      </c>
      <c r="E26" s="11">
        <f t="shared" si="10"/>
        <v>183.07330694527695</v>
      </c>
      <c r="F26" s="8">
        <f t="shared" si="9"/>
        <v>8772733.3751962651</v>
      </c>
      <c r="G26" s="8">
        <f t="shared" si="11"/>
        <v>1506183368357.1516</v>
      </c>
      <c r="H26" s="17">
        <f t="shared" si="12"/>
        <v>0.12272666248037349</v>
      </c>
    </row>
    <row r="27" spans="1:17" x14ac:dyDescent="0.3">
      <c r="A27" s="1">
        <v>0.09</v>
      </c>
      <c r="B27" s="8">
        <f t="shared" si="7"/>
        <v>18000000</v>
      </c>
      <c r="D27" s="8">
        <f t="shared" si="8"/>
        <v>17381799.209357679</v>
      </c>
      <c r="E27" s="11">
        <f t="shared" si="10"/>
        <v>170.34253358639819</v>
      </c>
      <c r="F27" s="8">
        <f t="shared" si="9"/>
        <v>16856056.672140252</v>
      </c>
      <c r="G27" s="8">
        <f t="shared" si="11"/>
        <v>1308606337354.8352</v>
      </c>
      <c r="H27" s="17">
        <f t="shared" si="12"/>
        <v>6.3552407103319344E-2</v>
      </c>
    </row>
    <row r="28" spans="1:17" x14ac:dyDescent="0.3">
      <c r="A28" s="1">
        <v>0.15</v>
      </c>
      <c r="B28" s="8">
        <f t="shared" si="7"/>
        <v>30000000</v>
      </c>
      <c r="D28" s="8">
        <f t="shared" si="8"/>
        <v>29377301.475509513</v>
      </c>
      <c r="E28" s="11">
        <f t="shared" si="10"/>
        <v>142.75606357700741</v>
      </c>
      <c r="F28" s="8">
        <f t="shared" si="9"/>
        <v>33369915.118732996</v>
      </c>
      <c r="G28" s="8">
        <f>(F28-B28)^2</f>
        <v>11356327907465.225</v>
      </c>
      <c r="H28" s="17">
        <f t="shared" si="12"/>
        <v>-0.11233050395776654</v>
      </c>
    </row>
    <row r="29" spans="1:17" x14ac:dyDescent="0.3">
      <c r="A29" t="s">
        <v>27</v>
      </c>
      <c r="B29" s="8"/>
      <c r="G29" s="19" t="s">
        <v>31</v>
      </c>
      <c r="H29" s="18" t="s">
        <v>34</v>
      </c>
    </row>
    <row r="30" spans="1:17" x14ac:dyDescent="0.3">
      <c r="A30" s="12">
        <v>89.999999713521106</v>
      </c>
      <c r="D30" t="s">
        <v>28</v>
      </c>
      <c r="E30" s="11">
        <f>AVERAGE(E23:E28)</f>
        <v>159.13182965409302</v>
      </c>
      <c r="G30" s="8">
        <f>AVERAGE(G17:G28)</f>
        <v>1376942894940.0464</v>
      </c>
      <c r="H30" s="17">
        <f>AVERAGE(H17:H28)</f>
        <v>-0.19197813227178781</v>
      </c>
    </row>
    <row r="31" spans="1:17" x14ac:dyDescent="0.3">
      <c r="A31" s="8">
        <f>ATAN(B18/A18)*180/PI()</f>
        <v>89.999999713521106</v>
      </c>
    </row>
    <row r="32" spans="1:17" x14ac:dyDescent="0.3">
      <c r="A32" s="21" t="s">
        <v>40</v>
      </c>
      <c r="B32" s="5"/>
      <c r="C32" s="5"/>
      <c r="D32" s="5"/>
      <c r="E32" s="5"/>
      <c r="F32" s="5"/>
      <c r="G32" s="5"/>
      <c r="H32" s="5"/>
    </row>
    <row r="33" spans="1:11" x14ac:dyDescent="0.3">
      <c r="A33" s="5" t="str">
        <f t="shared" ref="A33:H33" si="13">A16</f>
        <v>trendline</v>
      </c>
      <c r="B33" s="5" t="str">
        <f>B16</f>
        <v>slope:</v>
      </c>
      <c r="C33" s="5">
        <f t="shared" si="13"/>
        <v>200000000</v>
      </c>
      <c r="D33" s="5" t="str">
        <f t="shared" si="13"/>
        <v>delta (slope-CO)</v>
      </c>
      <c r="E33" s="22" t="s">
        <v>30</v>
      </c>
      <c r="F33" s="23" t="s">
        <v>29</v>
      </c>
      <c r="G33" s="5" t="str">
        <f t="shared" si="13"/>
        <v>SSE (Slope vs factor)</v>
      </c>
      <c r="H33" s="5" t="str">
        <f t="shared" si="13"/>
        <v>% +/- over trendline</v>
      </c>
    </row>
    <row r="34" spans="1:11" x14ac:dyDescent="0.3">
      <c r="A34" s="24">
        <v>0</v>
      </c>
      <c r="B34" s="25">
        <f>A2*$C$16</f>
        <v>0</v>
      </c>
      <c r="C34" s="5"/>
      <c r="D34" s="25">
        <f>B34-N2</f>
        <v>0</v>
      </c>
      <c r="E34" s="5">
        <f t="shared" ref="E34" si="14">E17</f>
        <v>0</v>
      </c>
      <c r="F34" s="25">
        <f>F17</f>
        <v>0</v>
      </c>
      <c r="G34" s="5">
        <f>(F34-B34)^2</f>
        <v>0</v>
      </c>
      <c r="H34" s="27">
        <f>H17</f>
        <v>0</v>
      </c>
    </row>
    <row r="35" spans="1:11" x14ac:dyDescent="0.3">
      <c r="A35" s="24">
        <v>1.5E-3</v>
      </c>
      <c r="B35" s="25">
        <f t="shared" ref="B35:B44" si="15">A3*$C$16</f>
        <v>300000</v>
      </c>
      <c r="C35" s="5"/>
      <c r="D35" s="25">
        <f t="shared" ref="D35:D44" si="16">B35-N3</f>
        <v>-69492.705087485898</v>
      </c>
      <c r="E35" s="5">
        <f t="shared" ref="E35:E45" si="17">D18/(O3+P3)</f>
        <v>-58.658297297182926</v>
      </c>
      <c r="F35" s="5">
        <f t="shared" ref="F35:F45" si="18">N3+$E$49*(O3+P3)</f>
        <v>547423.64933491149</v>
      </c>
      <c r="G35" s="5">
        <f t="shared" ref="G35:G47" si="19">(F35-B35)^2</f>
        <v>61218462250.205246</v>
      </c>
      <c r="H35" s="27">
        <f>(F35-B35)/B18</f>
        <v>0.82474549778303829</v>
      </c>
      <c r="I35" t="str">
        <f t="shared" ref="I35:K35" si="20">I18</f>
        <v>vert dotted line</v>
      </c>
      <c r="J35">
        <f t="shared" si="20"/>
        <v>0</v>
      </c>
      <c r="K35">
        <f t="shared" si="20"/>
        <v>650000</v>
      </c>
    </row>
    <row r="36" spans="1:11" x14ac:dyDescent="0.3">
      <c r="A36" s="24">
        <v>2.5000000000000001E-3</v>
      </c>
      <c r="B36" s="25">
        <f t="shared" si="15"/>
        <v>500000</v>
      </c>
      <c r="C36" s="5"/>
      <c r="D36" s="25">
        <f t="shared" si="16"/>
        <v>77763.643853542104</v>
      </c>
      <c r="E36" s="5">
        <f t="shared" si="17"/>
        <v>31.680574449660305</v>
      </c>
      <c r="F36" s="5">
        <f t="shared" si="18"/>
        <v>790895.72320457117</v>
      </c>
      <c r="G36" s="5">
        <f t="shared" si="19"/>
        <v>84620321778.71048</v>
      </c>
      <c r="H36" s="27">
        <f t="shared" ref="H36:H45" si="21">(F36-B36)/B19</f>
        <v>0.58179144640914238</v>
      </c>
    </row>
    <row r="37" spans="1:11" x14ac:dyDescent="0.3">
      <c r="A37" s="24">
        <v>5.0000000000000001E-3</v>
      </c>
      <c r="B37" s="25">
        <f t="shared" si="15"/>
        <v>1000000</v>
      </c>
      <c r="C37" s="5"/>
      <c r="D37" s="25">
        <f t="shared" si="16"/>
        <v>478366.50284435513</v>
      </c>
      <c r="E37" s="5">
        <f t="shared" si="17"/>
        <v>91.882254900380218</v>
      </c>
      <c r="F37" s="5">
        <f t="shared" si="18"/>
        <v>1303568.8243095595</v>
      </c>
      <c r="G37" s="5">
        <f t="shared" si="19"/>
        <v>92154031092.688232</v>
      </c>
      <c r="H37" s="27">
        <f t="shared" si="21"/>
        <v>0.30356882430955956</v>
      </c>
    </row>
    <row r="38" spans="1:11" x14ac:dyDescent="0.3">
      <c r="A38" s="24">
        <v>7.4999999999999997E-3</v>
      </c>
      <c r="B38" s="25">
        <f t="shared" si="15"/>
        <v>1500000</v>
      </c>
      <c r="C38" s="5"/>
      <c r="D38" s="25">
        <f t="shared" si="16"/>
        <v>962151.64431260305</v>
      </c>
      <c r="E38" s="5">
        <f t="shared" si="17"/>
        <v>160.07594964301737</v>
      </c>
      <c r="F38" s="5">
        <f t="shared" si="18"/>
        <v>1440581.0214082738</v>
      </c>
      <c r="G38" s="5">
        <f t="shared" si="19"/>
        <v>3530615016.8840117</v>
      </c>
      <c r="H38" s="27">
        <f t="shared" si="21"/>
        <v>-3.961265239448411E-2</v>
      </c>
    </row>
    <row r="39" spans="1:11" x14ac:dyDescent="0.3">
      <c r="A39" s="24">
        <v>0.01</v>
      </c>
      <c r="B39" s="25">
        <f t="shared" si="15"/>
        <v>2000000</v>
      </c>
      <c r="C39" s="5"/>
      <c r="D39" s="25">
        <f t="shared" si="16"/>
        <v>1417023.8889729772</v>
      </c>
      <c r="E39" s="5">
        <f t="shared" si="17"/>
        <v>102.40902035441849</v>
      </c>
      <c r="F39" s="5">
        <f t="shared" si="18"/>
        <v>2661144.2324941144</v>
      </c>
      <c r="G39" s="5">
        <f t="shared" si="19"/>
        <v>437111696160.23163</v>
      </c>
      <c r="H39" s="27">
        <f t="shared" si="21"/>
        <v>0.33057211624705723</v>
      </c>
    </row>
    <row r="40" spans="1:11" x14ac:dyDescent="0.3">
      <c r="A40" s="24">
        <v>1.4999999999999999E-2</v>
      </c>
      <c r="B40" s="25">
        <f t="shared" si="15"/>
        <v>3000000</v>
      </c>
      <c r="C40" s="5"/>
      <c r="D40" s="25">
        <f t="shared" si="16"/>
        <v>2379020.1140257539</v>
      </c>
      <c r="E40" s="28">
        <f t="shared" si="17"/>
        <v>126.35174053229754</v>
      </c>
      <c r="F40" s="5">
        <f t="shared" si="18"/>
        <v>3448844.434801891</v>
      </c>
      <c r="G40" s="5">
        <f t="shared" si="19"/>
        <v>201461326652.62897</v>
      </c>
      <c r="H40" s="27">
        <f t="shared" si="21"/>
        <v>0.14961481160063034</v>
      </c>
    </row>
    <row r="41" spans="1:11" x14ac:dyDescent="0.3">
      <c r="A41" s="24">
        <v>2.5000000000000001E-2</v>
      </c>
      <c r="B41" s="25">
        <f t="shared" si="15"/>
        <v>5000000</v>
      </c>
      <c r="C41" s="5"/>
      <c r="D41" s="25">
        <f t="shared" si="16"/>
        <v>4379653.9457888128</v>
      </c>
      <c r="E41" s="5">
        <f t="shared" si="17"/>
        <v>145.39777195615125</v>
      </c>
      <c r="F41" s="5">
        <f t="shared" si="18"/>
        <v>5144358.21164029</v>
      </c>
      <c r="G41" s="5">
        <f t="shared" si="19"/>
        <v>20839293267.982754</v>
      </c>
      <c r="H41" s="27">
        <f t="shared" si="21"/>
        <v>2.8871642328057997E-2</v>
      </c>
    </row>
    <row r="42" spans="1:11" x14ac:dyDescent="0.3">
      <c r="A42" s="24">
        <v>3.5000000000000003E-2</v>
      </c>
      <c r="B42" s="25">
        <f t="shared" si="15"/>
        <v>7000000.0000000009</v>
      </c>
      <c r="C42" s="5"/>
      <c r="D42" s="25">
        <f t="shared" si="16"/>
        <v>6380762.8208493069</v>
      </c>
      <c r="E42" s="5">
        <f t="shared" si="17"/>
        <v>186.86956132742682</v>
      </c>
      <c r="F42" s="5">
        <f t="shared" si="18"/>
        <v>5747564.7051107893</v>
      </c>
      <c r="G42" s="5">
        <f t="shared" si="19"/>
        <v>1568594167884.2266</v>
      </c>
      <c r="H42" s="27">
        <f t="shared" si="21"/>
        <v>-0.17891932784131592</v>
      </c>
    </row>
    <row r="43" spans="1:11" x14ac:dyDescent="0.3">
      <c r="A43" s="24">
        <v>0.05</v>
      </c>
      <c r="B43" s="25">
        <f t="shared" si="15"/>
        <v>10000000</v>
      </c>
      <c r="C43" s="5"/>
      <c r="D43" s="25">
        <f t="shared" si="16"/>
        <v>9384540.3428435456</v>
      </c>
      <c r="E43" s="5">
        <f t="shared" si="17"/>
        <v>183.07330694527695</v>
      </c>
      <c r="F43" s="5">
        <f t="shared" si="18"/>
        <v>8314377.7187281055</v>
      </c>
      <c r="G43" s="5">
        <f t="shared" si="19"/>
        <v>2841322475120.2656</v>
      </c>
      <c r="H43" s="27">
        <f t="shared" si="21"/>
        <v>-0.16856222812718943</v>
      </c>
    </row>
    <row r="44" spans="1:11" x14ac:dyDescent="0.3">
      <c r="A44" s="24">
        <v>0.09</v>
      </c>
      <c r="B44" s="25">
        <f t="shared" si="15"/>
        <v>18000000</v>
      </c>
      <c r="C44" s="5"/>
      <c r="D44" s="25">
        <f t="shared" si="16"/>
        <v>17381799.209357679</v>
      </c>
      <c r="E44" s="5">
        <f t="shared" si="17"/>
        <v>170.34253358639819</v>
      </c>
      <c r="F44" s="5">
        <f t="shared" si="18"/>
        <v>15943654.64304813</v>
      </c>
      <c r="G44" s="5">
        <f t="shared" si="19"/>
        <v>4228556227057.5137</v>
      </c>
      <c r="H44" s="27">
        <f t="shared" si="21"/>
        <v>-0.11424140871954834</v>
      </c>
    </row>
    <row r="45" spans="1:11" x14ac:dyDescent="0.3">
      <c r="A45" s="24">
        <v>0.15</v>
      </c>
      <c r="B45" s="25">
        <f>A13*$C$16</f>
        <v>30000000</v>
      </c>
      <c r="C45" s="5"/>
      <c r="D45" s="25">
        <f>B45-N13</f>
        <v>29377301.475509513</v>
      </c>
      <c r="E45" s="5">
        <f t="shared" si="17"/>
        <v>142.75606357700741</v>
      </c>
      <c r="F45" s="5">
        <f t="shared" si="18"/>
        <v>31529855.255795609</v>
      </c>
      <c r="G45" s="5">
        <f t="shared" si="19"/>
        <v>2340457103685.4487</v>
      </c>
      <c r="H45" s="27">
        <f t="shared" si="21"/>
        <v>5.099517519318697E-2</v>
      </c>
    </row>
    <row r="46" spans="1:11" x14ac:dyDescent="0.3">
      <c r="A46" s="29"/>
      <c r="B46" s="30"/>
      <c r="C46" s="31"/>
      <c r="D46" s="30"/>
      <c r="E46" s="31"/>
      <c r="F46" s="31"/>
      <c r="G46" s="31"/>
      <c r="H46" s="30"/>
    </row>
    <row r="47" spans="1:11" x14ac:dyDescent="0.3">
      <c r="A47" s="5" t="str">
        <f t="shared" ref="A47" si="22">A29</f>
        <v>angle</v>
      </c>
      <c r="B47" s="5"/>
      <c r="C47" s="5"/>
      <c r="D47" s="5"/>
      <c r="E47" s="5"/>
      <c r="F47" s="5"/>
      <c r="G47" s="5">
        <f t="shared" si="19"/>
        <v>0</v>
      </c>
      <c r="H47" s="18" t="s">
        <v>34</v>
      </c>
    </row>
    <row r="48" spans="1:11" x14ac:dyDescent="0.3">
      <c r="A48" s="5">
        <f t="shared" ref="A48:D48" si="23">A30</f>
        <v>89.999999713521106</v>
      </c>
      <c r="B48" s="5"/>
      <c r="C48" s="5"/>
      <c r="D48" s="5" t="str">
        <f t="shared" si="23"/>
        <v xml:space="preserve">factor </v>
      </c>
      <c r="E48" s="26">
        <f>AVERAGE(E40:E45)</f>
        <v>159.13182965409302</v>
      </c>
      <c r="F48" s="5"/>
      <c r="G48" s="25">
        <f>AVERAGE(G34:G45)</f>
        <v>989988809997.2323</v>
      </c>
      <c r="H48" s="17">
        <f>AVERAGE(H34:H45)</f>
        <v>0.14740199139901125</v>
      </c>
    </row>
    <row r="49" spans="1:6" x14ac:dyDescent="0.3">
      <c r="D49" t="s">
        <v>35</v>
      </c>
      <c r="E49">
        <v>150.19024245630453</v>
      </c>
    </row>
    <row r="50" spans="1:6" x14ac:dyDescent="0.3">
      <c r="B50" t="s">
        <v>36</v>
      </c>
      <c r="C50" t="s">
        <v>32</v>
      </c>
    </row>
    <row r="51" spans="1:6" x14ac:dyDescent="0.3">
      <c r="A51" s="24">
        <v>0</v>
      </c>
      <c r="B51" s="25">
        <v>0</v>
      </c>
      <c r="C51" s="5">
        <f>(B51-B34)^2</f>
        <v>0</v>
      </c>
      <c r="E51" t="s">
        <v>37</v>
      </c>
      <c r="F51" t="s">
        <v>38</v>
      </c>
    </row>
    <row r="52" spans="1:6" x14ac:dyDescent="0.3">
      <c r="A52" s="24">
        <v>1.5E-3</v>
      </c>
      <c r="B52" s="5">
        <f>N3+$E$52*(O3+P3)</f>
        <v>495995.61158325878</v>
      </c>
      <c r="C52" s="5">
        <f t="shared" ref="C52:C62" si="24">(B52-B35)^2</f>
        <v>38414279759.895645</v>
      </c>
      <c r="E52">
        <v>106.78020216431376</v>
      </c>
      <c r="F52">
        <v>150.38705124096174</v>
      </c>
    </row>
    <row r="53" spans="1:6" x14ac:dyDescent="0.3">
      <c r="A53" s="24">
        <v>2.5000000000000001E-3</v>
      </c>
      <c r="B53" s="5">
        <f>N4+$E$52*(O4+P4)</f>
        <v>684340.7452227727</v>
      </c>
      <c r="C53" s="5">
        <f t="shared" si="24"/>
        <v>33981510349.287197</v>
      </c>
    </row>
    <row r="54" spans="1:6" x14ac:dyDescent="0.3">
      <c r="A54" s="24">
        <v>5.0000000000000001E-3</v>
      </c>
      <c r="B54" s="5">
        <f>N5+$E$52*(O5+P5)</f>
        <v>1077563.1697321136</v>
      </c>
      <c r="C54" s="5">
        <f t="shared" si="24"/>
        <v>6016045298.892664</v>
      </c>
    </row>
    <row r="55" spans="1:6" x14ac:dyDescent="0.3">
      <c r="A55" s="24">
        <v>7.4999999999999997E-3</v>
      </c>
      <c r="B55" s="5">
        <f>N6+$E$52*(O6+P6)</f>
        <v>1179660.8660710154</v>
      </c>
      <c r="C55" s="5">
        <f t="shared" si="24"/>
        <v>102617160726.37196</v>
      </c>
    </row>
    <row r="56" spans="1:6" x14ac:dyDescent="0.3">
      <c r="A56" s="24">
        <v>0.01</v>
      </c>
      <c r="B56" s="5">
        <f>N7+$E$52*(O7+P7)</f>
        <v>2060483.6275772313</v>
      </c>
      <c r="C56" s="5">
        <f t="shared" si="24"/>
        <v>3658269204.9012103</v>
      </c>
    </row>
    <row r="57" spans="1:6" x14ac:dyDescent="0.3">
      <c r="A57" s="24">
        <v>1.4999999999999999E-2</v>
      </c>
      <c r="B57" s="5">
        <f>N8+$F$52*(O8+P8)</f>
        <v>3452550.0589218591</v>
      </c>
      <c r="C57" s="5">
        <f t="shared" si="24"/>
        <v>204801555830.17816</v>
      </c>
    </row>
    <row r="58" spans="1:6" x14ac:dyDescent="0.3">
      <c r="A58" s="24">
        <v>2.5000000000000001E-2</v>
      </c>
      <c r="B58" s="5">
        <f t="shared" ref="B58:B62" si="25">N9+$F$52*(O9+P9)</f>
        <v>5150286.4618376167</v>
      </c>
      <c r="C58" s="5">
        <f t="shared" si="24"/>
        <v>22586020611.669434</v>
      </c>
    </row>
    <row r="59" spans="1:6" x14ac:dyDescent="0.3">
      <c r="A59" s="24">
        <v>3.5000000000000003E-2</v>
      </c>
      <c r="B59" s="5">
        <f t="shared" si="25"/>
        <v>5754284.8481187606</v>
      </c>
      <c r="C59" s="5">
        <f t="shared" si="24"/>
        <v>1551806239626.5017</v>
      </c>
    </row>
    <row r="60" spans="1:6" x14ac:dyDescent="0.3">
      <c r="A60" s="24">
        <v>0.05</v>
      </c>
      <c r="B60" s="5">
        <f t="shared" si="25"/>
        <v>8324466.3548611365</v>
      </c>
      <c r="C60" s="5">
        <f t="shared" si="24"/>
        <v>2807412995992.3267</v>
      </c>
    </row>
    <row r="61" spans="1:6" x14ac:dyDescent="0.3">
      <c r="A61" s="24">
        <v>0.09</v>
      </c>
      <c r="B61" s="5">
        <f t="shared" si="25"/>
        <v>15963737.065831952</v>
      </c>
      <c r="C61" s="5">
        <f t="shared" si="24"/>
        <v>4146366737066.6689</v>
      </c>
    </row>
    <row r="62" spans="1:6" x14ac:dyDescent="0.3">
      <c r="A62" s="24">
        <v>0.15</v>
      </c>
      <c r="B62" s="5">
        <f t="shared" si="25"/>
        <v>31570355.889219034</v>
      </c>
      <c r="C62" s="5">
        <f t="shared" si="24"/>
        <v>2466017618804.9043</v>
      </c>
    </row>
    <row r="64" spans="1:6" x14ac:dyDescent="0.3">
      <c r="B64" t="s">
        <v>39</v>
      </c>
      <c r="C64" s="5">
        <f>AVERAGE(C51:C62)</f>
        <v>948639869439.2998</v>
      </c>
    </row>
  </sheetData>
  <pageMargins left="0.7" right="0.7" top="0.75" bottom="0.75" header="0.3" footer="0.3"/>
  <pageSetup orientation="portrait" horizontalDpi="4294967295" verticalDpi="4294967295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29"/>
  <sheetViews>
    <sheetView zoomScale="90" zoomScaleNormal="90" workbookViewId="0">
      <selection activeCell="I9" sqref="I9"/>
    </sheetView>
  </sheetViews>
  <sheetFormatPr defaultRowHeight="15.05" x14ac:dyDescent="0.3"/>
  <cols>
    <col min="2" max="2" width="13" customWidth="1"/>
    <col min="4" max="4" width="8.33203125" bestFit="1" customWidth="1"/>
    <col min="5" max="5" width="11.6640625" bestFit="1" customWidth="1"/>
    <col min="6" max="6" width="12.33203125" bestFit="1" customWidth="1"/>
    <col min="7" max="7" width="8.6640625" bestFit="1" customWidth="1"/>
    <col min="8" max="8" width="14.109375" bestFit="1" customWidth="1"/>
    <col min="9" max="9" width="13.5546875" bestFit="1" customWidth="1"/>
    <col min="10" max="10" width="17.33203125" bestFit="1" customWidth="1"/>
    <col min="11" max="11" width="9.88671875" bestFit="1" customWidth="1"/>
    <col min="12" max="12" width="12.33203125" bestFit="1" customWidth="1"/>
    <col min="13" max="13" width="13.109375" bestFit="1" customWidth="1"/>
    <col min="15" max="15" width="14.33203125" bestFit="1" customWidth="1"/>
    <col min="16" max="16" width="13.6640625" bestFit="1" customWidth="1"/>
  </cols>
  <sheetData>
    <row r="1" spans="1:17" x14ac:dyDescent="0.3">
      <c r="A1" s="1" t="s">
        <v>0</v>
      </c>
      <c r="B1" s="16" t="s">
        <v>23</v>
      </c>
      <c r="C1" s="16" t="s">
        <v>41</v>
      </c>
      <c r="D1" s="20" t="s">
        <v>9</v>
      </c>
      <c r="E1" s="20" t="s">
        <v>10</v>
      </c>
      <c r="F1" s="20" t="s">
        <v>11</v>
      </c>
      <c r="G1" s="20" t="s">
        <v>4</v>
      </c>
      <c r="H1" s="20" t="s">
        <v>12</v>
      </c>
      <c r="I1" s="20" t="s">
        <v>13</v>
      </c>
      <c r="J1" s="20" t="s">
        <v>21</v>
      </c>
      <c r="K1" s="20" t="s">
        <v>44</v>
      </c>
      <c r="L1" s="20" t="s">
        <v>47</v>
      </c>
      <c r="M1" s="20" t="s">
        <v>53</v>
      </c>
      <c r="N1" s="20" t="s">
        <v>48</v>
      </c>
      <c r="O1" s="20" t="s">
        <v>49</v>
      </c>
      <c r="P1" s="20" t="s">
        <v>50</v>
      </c>
      <c r="Q1" s="20" t="s">
        <v>51</v>
      </c>
    </row>
    <row r="2" spans="1:17" x14ac:dyDescent="0.3">
      <c r="A2" s="1">
        <v>0</v>
      </c>
      <c r="B2" s="25">
        <v>0</v>
      </c>
      <c r="C2" s="25">
        <v>0</v>
      </c>
      <c r="D2" s="7">
        <v>0</v>
      </c>
      <c r="E2" s="7">
        <v>0</v>
      </c>
      <c r="F2" s="7">
        <v>0</v>
      </c>
      <c r="G2" s="7">
        <v>0</v>
      </c>
      <c r="H2" s="7">
        <v>0</v>
      </c>
      <c r="I2" s="7">
        <v>0</v>
      </c>
      <c r="J2" s="7">
        <v>-1.4210854715202004E-14</v>
      </c>
      <c r="K2" s="1">
        <v>0</v>
      </c>
      <c r="L2" s="7">
        <f>F2*$B$15</f>
        <v>0</v>
      </c>
      <c r="M2" s="7">
        <f>L2-Q2</f>
        <v>2.1343317151875074E-12</v>
      </c>
      <c r="N2" s="7">
        <f>G2*$B$15</f>
        <v>0</v>
      </c>
      <c r="O2" s="7">
        <f>H2*$B$15</f>
        <v>0</v>
      </c>
      <c r="P2" s="7">
        <f>I2*$B$15</f>
        <v>0</v>
      </c>
      <c r="Q2" s="7">
        <f>J2*$B$15</f>
        <v>-2.1343317151875074E-12</v>
      </c>
    </row>
    <row r="3" spans="1:17" x14ac:dyDescent="0.3">
      <c r="A3" s="1">
        <v>1.5E-3</v>
      </c>
      <c r="B3" s="25">
        <v>300000</v>
      </c>
      <c r="C3" s="25">
        <v>547423.64933491149</v>
      </c>
      <c r="D3" s="7">
        <v>378316.59492356179</v>
      </c>
      <c r="E3" s="7">
        <v>369492.7050874859</v>
      </c>
      <c r="F3" s="7">
        <v>1123.00137455612</v>
      </c>
      <c r="G3" s="7">
        <v>61.702380744041022</v>
      </c>
      <c r="H3" s="7">
        <v>209.03110248878599</v>
      </c>
      <c r="I3" s="7">
        <v>122.090433262704</v>
      </c>
      <c r="J3" s="7">
        <v>331.12153575149</v>
      </c>
      <c r="K3" s="1">
        <v>1.5E-3</v>
      </c>
      <c r="L3" s="7">
        <f t="shared" ref="L3:L13" si="0">F3*$B$15</f>
        <v>168663.84872334692</v>
      </c>
      <c r="M3" s="7">
        <f t="shared" ref="M3:M13" si="1">L3-Q3</f>
        <v>118932.62498632673</v>
      </c>
      <c r="N3" s="7">
        <f t="shared" ref="N3:N13" si="2">G3*$B$15</f>
        <v>9267.0955240787371</v>
      </c>
      <c r="O3" s="7">
        <f t="shared" ref="O3:O13" si="3">H3*$B$15</f>
        <v>31394.431963699408</v>
      </c>
      <c r="P3" s="7">
        <f t="shared" ref="P3:P13" si="4">I3*$B$15</f>
        <v>18336.79177332078</v>
      </c>
      <c r="Q3" s="7">
        <f t="shared" ref="Q3:Q13" si="5">J3*$B$15</f>
        <v>49731.223737020191</v>
      </c>
    </row>
    <row r="4" spans="1:17" x14ac:dyDescent="0.3">
      <c r="A4" s="1">
        <v>2.5000000000000001E-3</v>
      </c>
      <c r="B4" s="25">
        <v>500000</v>
      </c>
      <c r="C4" s="25">
        <v>790895.72320457117</v>
      </c>
      <c r="D4" s="7">
        <v>456564.08049371984</v>
      </c>
      <c r="E4" s="7">
        <v>422236.3561464579</v>
      </c>
      <c r="F4" s="7">
        <v>2301.12185685962</v>
      </c>
      <c r="G4" s="7">
        <v>153.49410905686699</v>
      </c>
      <c r="H4" s="7">
        <v>752.40722040041396</v>
      </c>
      <c r="I4" s="7">
        <v>238.33380916618302</v>
      </c>
      <c r="J4" s="7">
        <v>990.74102956659692</v>
      </c>
      <c r="K4" s="1">
        <v>2.5000000000000001E-3</v>
      </c>
      <c r="L4" s="7">
        <f t="shared" si="0"/>
        <v>345606.04960324802</v>
      </c>
      <c r="M4" s="7">
        <f t="shared" si="1"/>
        <v>196806.41416123204</v>
      </c>
      <c r="N4" s="7">
        <f t="shared" si="2"/>
        <v>23053.317454865304</v>
      </c>
      <c r="O4" s="7">
        <f t="shared" si="3"/>
        <v>113004.22285781233</v>
      </c>
      <c r="P4" s="7">
        <f t="shared" si="4"/>
        <v>35795.412584203645</v>
      </c>
      <c r="Q4" s="7">
        <f t="shared" si="5"/>
        <v>148799.63544201598</v>
      </c>
    </row>
    <row r="5" spans="1:17" x14ac:dyDescent="0.3">
      <c r="A5" s="1">
        <v>5.0000000000000001E-3</v>
      </c>
      <c r="B5" s="25">
        <v>1000000</v>
      </c>
      <c r="C5" s="25">
        <v>1303568.8243095595</v>
      </c>
      <c r="D5" s="7">
        <v>546424.75885362271</v>
      </c>
      <c r="E5" s="7">
        <v>521633.49715564487</v>
      </c>
      <c r="F5" s="7">
        <v>4976.5685710838397</v>
      </c>
      <c r="G5" s="7">
        <v>229.73054905644801</v>
      </c>
      <c r="H5" s="7">
        <v>1312.705675017982</v>
      </c>
      <c r="I5" s="7">
        <v>364.232361997488</v>
      </c>
      <c r="J5" s="7">
        <v>1676.9380370154699</v>
      </c>
      <c r="K5" s="1">
        <v>5.0000000000000001E-3</v>
      </c>
      <c r="L5" s="7">
        <f t="shared" si="0"/>
        <v>747432.04029150691</v>
      </c>
      <c r="M5" s="7">
        <f t="shared" si="1"/>
        <v>495572.30992795411</v>
      </c>
      <c r="N5" s="7">
        <f t="shared" si="2"/>
        <v>34503.286862407891</v>
      </c>
      <c r="O5" s="7">
        <f t="shared" si="3"/>
        <v>197155.58360471763</v>
      </c>
      <c r="P5" s="7">
        <f t="shared" si="4"/>
        <v>54704.146758835202</v>
      </c>
      <c r="Q5" s="7">
        <f t="shared" si="5"/>
        <v>251859.73036355281</v>
      </c>
    </row>
    <row r="6" spans="1:17" x14ac:dyDescent="0.3">
      <c r="A6" s="1">
        <v>7.4999999999999997E-3</v>
      </c>
      <c r="B6" s="25">
        <v>1500000</v>
      </c>
      <c r="C6" s="25">
        <v>1440581.0214082738</v>
      </c>
      <c r="D6" s="7">
        <v>582993.19896917476</v>
      </c>
      <c r="E6" s="7">
        <v>537848.35568739695</v>
      </c>
      <c r="F6" s="7">
        <v>5667.7215864543805</v>
      </c>
      <c r="G6" s="7">
        <v>342.87304976849401</v>
      </c>
      <c r="H6" s="7">
        <v>1473.8052772607921</v>
      </c>
      <c r="I6" s="7">
        <v>293.85917548387204</v>
      </c>
      <c r="J6" s="7">
        <v>1767.6644527446642</v>
      </c>
      <c r="K6" s="1">
        <v>7.4999999999999997E-3</v>
      </c>
      <c r="L6" s="7">
        <f t="shared" si="0"/>
        <v>851236.47924441437</v>
      </c>
      <c r="M6" s="7">
        <f t="shared" si="1"/>
        <v>585750.5265053024</v>
      </c>
      <c r="N6" s="7">
        <f t="shared" si="2"/>
        <v>51496.186476462688</v>
      </c>
      <c r="O6" s="7">
        <f t="shared" si="3"/>
        <v>221351.17192517949</v>
      </c>
      <c r="P6" s="7">
        <f t="shared" si="4"/>
        <v>44134.780813932484</v>
      </c>
      <c r="Q6" s="7">
        <f t="shared" si="5"/>
        <v>265485.95273911196</v>
      </c>
    </row>
    <row r="7" spans="1:17" x14ac:dyDescent="0.3">
      <c r="A7" s="1">
        <v>0.01</v>
      </c>
      <c r="B7" s="25">
        <v>2000000</v>
      </c>
      <c r="C7" s="25">
        <v>2661144.2324941144</v>
      </c>
      <c r="D7" s="7">
        <v>655850.01726366673</v>
      </c>
      <c r="E7" s="7">
        <v>582976.11102702294</v>
      </c>
      <c r="F7" s="7">
        <v>13289.14960999677</v>
      </c>
      <c r="G7" s="7">
        <v>547.75542111203504</v>
      </c>
      <c r="H7" s="7">
        <v>2666.8549778959418</v>
      </c>
      <c r="I7" s="7">
        <v>545.60205098435301</v>
      </c>
      <c r="J7" s="7">
        <v>3212.4570288802947</v>
      </c>
      <c r="K7" s="1">
        <v>0.01</v>
      </c>
      <c r="L7" s="7">
        <f t="shared" si="0"/>
        <v>1995900.6019635196</v>
      </c>
      <c r="M7" s="7">
        <f t="shared" si="1"/>
        <v>1513420.9019155283</v>
      </c>
      <c r="N7" s="7">
        <f t="shared" si="2"/>
        <v>82267.519503571733</v>
      </c>
      <c r="O7" s="7">
        <f t="shared" si="3"/>
        <v>400535.59572599415</v>
      </c>
      <c r="P7" s="7">
        <f t="shared" si="4"/>
        <v>81944.104321997002</v>
      </c>
      <c r="Q7" s="7">
        <f t="shared" si="5"/>
        <v>482479.70004799118</v>
      </c>
    </row>
    <row r="8" spans="1:17" x14ac:dyDescent="0.3">
      <c r="A8" s="1">
        <v>1.4999999999999999E-2</v>
      </c>
      <c r="B8" s="25">
        <v>3000000</v>
      </c>
      <c r="C8" s="25">
        <v>3448844.434801891</v>
      </c>
      <c r="D8" s="7">
        <v>692757.66112320474</v>
      </c>
      <c r="E8" s="7">
        <v>620979.88597424596</v>
      </c>
      <c r="F8" s="7">
        <v>18131.69995798697</v>
      </c>
      <c r="G8" s="7">
        <v>696.85043635950103</v>
      </c>
      <c r="H8" s="7">
        <v>3674.6650334621322</v>
      </c>
      <c r="I8" s="7">
        <v>670.46492434112997</v>
      </c>
      <c r="J8" s="7">
        <v>4345.1299578032622</v>
      </c>
      <c r="K8" s="1">
        <v>1.4999999999999999E-2</v>
      </c>
      <c r="L8" s="7">
        <f t="shared" si="0"/>
        <v>2723204.4128350299</v>
      </c>
      <c r="M8" s="7">
        <f t="shared" si="1"/>
        <v>2070608.2909684055</v>
      </c>
      <c r="N8" s="7">
        <f t="shared" si="2"/>
        <v>104660.13599261508</v>
      </c>
      <c r="O8" s="7">
        <f t="shared" si="3"/>
        <v>551898.83232138201</v>
      </c>
      <c r="P8" s="7">
        <f t="shared" si="4"/>
        <v>100697.28954524218</v>
      </c>
      <c r="Q8" s="7">
        <f t="shared" si="5"/>
        <v>652596.12186662422</v>
      </c>
    </row>
    <row r="9" spans="1:17" x14ac:dyDescent="0.3">
      <c r="A9" s="1">
        <v>2.5000000000000001E-2</v>
      </c>
      <c r="B9" s="25">
        <v>5000000</v>
      </c>
      <c r="C9" s="25">
        <v>5144358.21164029</v>
      </c>
      <c r="D9" s="7">
        <v>688569.2073738958</v>
      </c>
      <c r="E9" s="7">
        <v>620346.05421118694</v>
      </c>
      <c r="F9" s="7">
        <v>29211.944885514167</v>
      </c>
      <c r="G9" s="7">
        <v>909.93309697389407</v>
      </c>
      <c r="H9" s="7">
        <v>4564.3454663684124</v>
      </c>
      <c r="I9" s="7">
        <v>671.41150871733191</v>
      </c>
      <c r="J9" s="7">
        <v>5235.7569750857438</v>
      </c>
      <c r="K9" s="1">
        <v>2.5000000000000001E-2</v>
      </c>
      <c r="L9" s="7">
        <f t="shared" si="0"/>
        <v>4387349.0849755779</v>
      </c>
      <c r="M9" s="7">
        <f t="shared" si="1"/>
        <v>3600989.4754451625</v>
      </c>
      <c r="N9" s="7">
        <f t="shared" si="2"/>
        <v>136663.07245352521</v>
      </c>
      <c r="O9" s="7">
        <f t="shared" si="3"/>
        <v>685520.1522482062</v>
      </c>
      <c r="P9" s="7">
        <f t="shared" si="4"/>
        <v>100839.4572822093</v>
      </c>
      <c r="Q9" s="7">
        <f t="shared" si="5"/>
        <v>786359.6095304155</v>
      </c>
    </row>
    <row r="10" spans="1:17" x14ac:dyDescent="0.3">
      <c r="A10" s="1">
        <v>3.5000000000000003E-2</v>
      </c>
      <c r="B10" s="25">
        <v>7000000.0000000009</v>
      </c>
      <c r="C10" s="25">
        <v>5747564.7051107893</v>
      </c>
      <c r="D10" s="7">
        <v>689095.27819479071</v>
      </c>
      <c r="E10" s="7">
        <v>619237.17915069393</v>
      </c>
      <c r="F10" s="7">
        <v>33242.740827981273</v>
      </c>
      <c r="G10" s="7">
        <v>902.80313072230399</v>
      </c>
      <c r="H10" s="7">
        <v>4940.4494235946422</v>
      </c>
      <c r="I10" s="7">
        <v>836.89631799756091</v>
      </c>
      <c r="J10" s="7">
        <v>5777.345741592203</v>
      </c>
      <c r="K10" s="1">
        <v>3.5000000000000003E-2</v>
      </c>
      <c r="L10" s="7">
        <f t="shared" si="0"/>
        <v>4992735.3048666008</v>
      </c>
      <c r="M10" s="7">
        <f t="shared" si="1"/>
        <v>4125034.3471829696</v>
      </c>
      <c r="N10" s="7">
        <f t="shared" si="2"/>
        <v>135592.22109349363</v>
      </c>
      <c r="O10" s="7">
        <f t="shared" si="3"/>
        <v>742007.29677278933</v>
      </c>
      <c r="P10" s="7">
        <f t="shared" si="4"/>
        <v>125693.66091084221</v>
      </c>
      <c r="Q10" s="7">
        <f t="shared" si="5"/>
        <v>867700.95768363145</v>
      </c>
    </row>
    <row r="11" spans="1:17" x14ac:dyDescent="0.3">
      <c r="A11" s="1">
        <v>0.05</v>
      </c>
      <c r="B11" s="25">
        <v>10000000</v>
      </c>
      <c r="C11" s="25">
        <v>8314377.7187281055</v>
      </c>
      <c r="D11" s="7">
        <v>697897.10451467172</v>
      </c>
      <c r="E11" s="7">
        <v>615459.65715645498</v>
      </c>
      <c r="F11" s="7">
        <v>50241.094344269375</v>
      </c>
      <c r="G11" s="7">
        <v>1020.0124737153441</v>
      </c>
      <c r="H11" s="7">
        <v>5216.3827338111523</v>
      </c>
      <c r="I11" s="7">
        <v>650.43070740915994</v>
      </c>
      <c r="J11" s="7">
        <v>5866.8134412203117</v>
      </c>
      <c r="K11" s="1">
        <v>0.05</v>
      </c>
      <c r="L11" s="7">
        <f t="shared" si="0"/>
        <v>7545722.1408358878</v>
      </c>
      <c r="M11" s="7">
        <f t="shared" si="1"/>
        <v>6664584.0076531032</v>
      </c>
      <c r="N11" s="7">
        <f t="shared" si="2"/>
        <v>153195.92073576248</v>
      </c>
      <c r="O11" s="7">
        <f t="shared" si="3"/>
        <v>783449.78753597767</v>
      </c>
      <c r="P11" s="7">
        <f t="shared" si="4"/>
        <v>97688.3456468074</v>
      </c>
      <c r="Q11" s="7">
        <f t="shared" si="5"/>
        <v>881138.13318278489</v>
      </c>
    </row>
    <row r="12" spans="1:17" x14ac:dyDescent="0.3">
      <c r="A12" s="1">
        <v>0.09</v>
      </c>
      <c r="B12" s="25">
        <v>18000000</v>
      </c>
      <c r="C12" s="25">
        <v>15943654.64304813</v>
      </c>
      <c r="D12" s="7">
        <v>684252.72730500577</v>
      </c>
      <c r="E12" s="7">
        <v>618200.79064232192</v>
      </c>
      <c r="F12" s="7">
        <v>100968.93317280397</v>
      </c>
      <c r="G12" s="7">
        <v>1071.3432244094338</v>
      </c>
      <c r="H12" s="7">
        <v>5565.0095271128121</v>
      </c>
      <c r="I12" s="7">
        <v>602.59686992670095</v>
      </c>
      <c r="J12" s="7">
        <v>6167.6063970395126</v>
      </c>
      <c r="K12" s="1">
        <v>0.09</v>
      </c>
      <c r="L12" s="7">
        <f t="shared" si="0"/>
        <v>15164548.553777838</v>
      </c>
      <c r="M12" s="7">
        <f t="shared" si="1"/>
        <v>14238234.253631419</v>
      </c>
      <c r="N12" s="7">
        <f t="shared" si="2"/>
        <v>160905.29862797193</v>
      </c>
      <c r="O12" s="7">
        <f t="shared" si="3"/>
        <v>835810.1301487179</v>
      </c>
      <c r="P12" s="7">
        <f t="shared" si="4"/>
        <v>90504.169997701421</v>
      </c>
      <c r="Q12" s="7">
        <f t="shared" si="5"/>
        <v>926314.30014641921</v>
      </c>
    </row>
    <row r="13" spans="1:17" x14ac:dyDescent="0.3">
      <c r="A13" s="1">
        <v>0.15</v>
      </c>
      <c r="B13" s="25">
        <v>30000000</v>
      </c>
      <c r="C13" s="25">
        <v>31529855.255795609</v>
      </c>
      <c r="D13" s="7">
        <v>703130.31549126573</v>
      </c>
      <c r="E13" s="7">
        <v>622698.5244904859</v>
      </c>
      <c r="F13" s="7">
        <v>204764.89592210797</v>
      </c>
      <c r="G13" s="7">
        <v>1021.8198180778239</v>
      </c>
      <c r="H13" s="7">
        <v>4782.9518331509516</v>
      </c>
      <c r="I13" s="7">
        <v>940.88175836498101</v>
      </c>
      <c r="J13" s="7">
        <v>5723.8335915159323</v>
      </c>
      <c r="K13" s="1">
        <v>0.15</v>
      </c>
      <c r="L13" s="7">
        <f t="shared" si="0"/>
        <v>30753689.365081359</v>
      </c>
      <c r="M13" s="7">
        <f t="shared" si="1"/>
        <v>29894025.410192039</v>
      </c>
      <c r="N13" s="7">
        <f t="shared" si="2"/>
        <v>153467.36622376536</v>
      </c>
      <c r="O13" s="7">
        <f t="shared" si="3"/>
        <v>718352.69547776761</v>
      </c>
      <c r="P13" s="7">
        <f t="shared" si="4"/>
        <v>141311.25941155062</v>
      </c>
      <c r="Q13" s="7">
        <f t="shared" si="5"/>
        <v>859663.95488931821</v>
      </c>
    </row>
    <row r="14" spans="1:17" x14ac:dyDescent="0.3">
      <c r="A14" t="s">
        <v>43</v>
      </c>
      <c r="M14" s="7"/>
    </row>
    <row r="15" spans="1:17" x14ac:dyDescent="0.3">
      <c r="A15" t="s">
        <v>42</v>
      </c>
      <c r="B15">
        <v>150.19024245630453</v>
      </c>
      <c r="M15" s="7"/>
    </row>
    <row r="16" spans="1:17" x14ac:dyDescent="0.3">
      <c r="B16" t="s">
        <v>46</v>
      </c>
      <c r="M16" s="7"/>
    </row>
    <row r="17" spans="1:13" x14ac:dyDescent="0.3">
      <c r="A17" s="1" t="s">
        <v>0</v>
      </c>
      <c r="B17" s="32" t="s">
        <v>45</v>
      </c>
      <c r="D17" s="1" t="s">
        <v>0</v>
      </c>
      <c r="E17" t="s">
        <v>56</v>
      </c>
      <c r="F17" t="s">
        <v>55</v>
      </c>
      <c r="G17" t="s">
        <v>54</v>
      </c>
      <c r="M17" s="7"/>
    </row>
    <row r="18" spans="1:13" x14ac:dyDescent="0.3">
      <c r="A18" s="1">
        <v>0</v>
      </c>
      <c r="B18" s="7">
        <f>SUM(E2,L2,N2)</f>
        <v>0</v>
      </c>
      <c r="D18" s="1">
        <v>0</v>
      </c>
      <c r="E18" s="17">
        <f t="shared" ref="E18:E29" si="6">P2/$M$13</f>
        <v>0</v>
      </c>
      <c r="F18" s="17">
        <f t="shared" ref="F18:F29" si="7">O2/$M$13</f>
        <v>0</v>
      </c>
      <c r="G18" s="17">
        <f t="shared" ref="G18:G29" si="8">M2/$M$13</f>
        <v>7.1396598012518938E-20</v>
      </c>
      <c r="M18" s="7"/>
    </row>
    <row r="19" spans="1:13" x14ac:dyDescent="0.3">
      <c r="A19" s="1">
        <v>1.5E-3</v>
      </c>
      <c r="B19" s="7">
        <f t="shared" ref="B19:B29" si="9">SUM(E3,L3,N3)</f>
        <v>547423.64933491149</v>
      </c>
      <c r="D19" s="1">
        <v>1.5E-3</v>
      </c>
      <c r="E19" s="17">
        <f t="shared" si="6"/>
        <v>6.1339319552023439E-4</v>
      </c>
      <c r="F19" s="17">
        <f t="shared" si="7"/>
        <v>1.0501908502759158E-3</v>
      </c>
      <c r="G19" s="17">
        <f t="shared" si="8"/>
        <v>3.9784747405004197E-3</v>
      </c>
      <c r="M19" s="7"/>
    </row>
    <row r="20" spans="1:13" x14ac:dyDescent="0.3">
      <c r="A20" s="1">
        <v>2.5000000000000001E-3</v>
      </c>
      <c r="B20" s="7">
        <f t="shared" si="9"/>
        <v>790895.72320457117</v>
      </c>
      <c r="D20" s="1">
        <v>2.5000000000000001E-3</v>
      </c>
      <c r="E20" s="17">
        <f t="shared" si="6"/>
        <v>1.1974102548263572E-3</v>
      </c>
      <c r="F20" s="17">
        <f t="shared" si="7"/>
        <v>3.7801607949153877E-3</v>
      </c>
      <c r="G20" s="17">
        <f t="shared" si="8"/>
        <v>6.5834698225061741E-3</v>
      </c>
      <c r="M20" s="7"/>
    </row>
    <row r="21" spans="1:13" x14ac:dyDescent="0.3">
      <c r="A21" s="1">
        <v>5.0000000000000001E-3</v>
      </c>
      <c r="B21" s="7">
        <f t="shared" si="9"/>
        <v>1303568.8243095595</v>
      </c>
      <c r="D21" s="1">
        <v>5.0000000000000001E-3</v>
      </c>
      <c r="E21" s="17">
        <f t="shared" si="6"/>
        <v>1.829935781756057E-3</v>
      </c>
      <c r="F21" s="17">
        <f t="shared" si="7"/>
        <v>6.5951500642499484E-3</v>
      </c>
      <c r="G21" s="17">
        <f t="shared" si="8"/>
        <v>1.6577637274603846E-2</v>
      </c>
      <c r="M21" s="7"/>
    </row>
    <row r="22" spans="1:13" x14ac:dyDescent="0.3">
      <c r="A22" s="1">
        <v>7.4999999999999997E-3</v>
      </c>
      <c r="B22" s="7">
        <f t="shared" si="9"/>
        <v>1440581.0214082741</v>
      </c>
      <c r="D22" s="1">
        <v>7.4999999999999997E-3</v>
      </c>
      <c r="E22" s="17">
        <f t="shared" si="6"/>
        <v>1.4763746336712892E-3</v>
      </c>
      <c r="F22" s="17">
        <f t="shared" si="7"/>
        <v>7.4045287942289713E-3</v>
      </c>
      <c r="G22" s="17">
        <f t="shared" si="8"/>
        <v>1.9594233913563117E-2</v>
      </c>
      <c r="M22" s="7"/>
    </row>
    <row r="23" spans="1:13" x14ac:dyDescent="0.3">
      <c r="A23" s="1">
        <v>0.01</v>
      </c>
      <c r="B23" s="7">
        <f t="shared" si="9"/>
        <v>2661144.232494114</v>
      </c>
      <c r="D23" s="1">
        <v>0.01</v>
      </c>
      <c r="E23" s="17">
        <f t="shared" si="6"/>
        <v>2.7411532303728845E-3</v>
      </c>
      <c r="F23" s="17">
        <f t="shared" si="7"/>
        <v>1.3398516600893634E-2</v>
      </c>
      <c r="G23" s="17">
        <f t="shared" si="8"/>
        <v>5.0626199755605485E-2</v>
      </c>
      <c r="M23" s="7"/>
    </row>
    <row r="24" spans="1:13" x14ac:dyDescent="0.3">
      <c r="A24" s="1">
        <v>1.4999999999999999E-2</v>
      </c>
      <c r="B24" s="7">
        <f t="shared" si="9"/>
        <v>3448844.434801891</v>
      </c>
      <c r="D24" s="1">
        <v>1.4999999999999999E-2</v>
      </c>
      <c r="E24" s="17">
        <f t="shared" si="6"/>
        <v>3.3684754115084997E-3</v>
      </c>
      <c r="F24" s="17">
        <f t="shared" si="7"/>
        <v>1.846184395538843E-2</v>
      </c>
      <c r="G24" s="17">
        <f t="shared" si="8"/>
        <v>6.9264953868088119E-2</v>
      </c>
      <c r="M24" s="7"/>
    </row>
    <row r="25" spans="1:13" x14ac:dyDescent="0.3">
      <c r="A25" s="1">
        <v>2.5000000000000001E-2</v>
      </c>
      <c r="B25" s="7">
        <f t="shared" si="9"/>
        <v>5144358.21164029</v>
      </c>
      <c r="D25" s="1">
        <v>2.5000000000000001E-2</v>
      </c>
      <c r="E25" s="17">
        <f t="shared" si="6"/>
        <v>3.373231135604414E-3</v>
      </c>
      <c r="F25" s="17">
        <f t="shared" si="7"/>
        <v>2.2931677579108689E-2</v>
      </c>
      <c r="G25" s="17">
        <f t="shared" si="8"/>
        <v>0.12045850052089153</v>
      </c>
      <c r="M25" s="7"/>
    </row>
    <row r="26" spans="1:13" x14ac:dyDescent="0.3">
      <c r="A26" s="1">
        <v>3.5000000000000003E-2</v>
      </c>
      <c r="B26" s="7">
        <f t="shared" si="9"/>
        <v>5747564.7051107883</v>
      </c>
      <c r="D26" s="1">
        <v>3.5000000000000003E-2</v>
      </c>
      <c r="E26" s="17">
        <f t="shared" si="6"/>
        <v>4.2046415357628068E-3</v>
      </c>
      <c r="F26" s="17">
        <f t="shared" si="7"/>
        <v>2.4821257311161918E-2</v>
      </c>
      <c r="G26" s="17">
        <f t="shared" si="8"/>
        <v>0.13798858770544112</v>
      </c>
      <c r="M26" s="7"/>
    </row>
    <row r="27" spans="1:13" x14ac:dyDescent="0.3">
      <c r="A27" s="1">
        <v>0.05</v>
      </c>
      <c r="B27" s="7">
        <f t="shared" si="9"/>
        <v>8314377.7187281055</v>
      </c>
      <c r="D27" s="1">
        <v>0.05</v>
      </c>
      <c r="E27" s="17">
        <f t="shared" si="6"/>
        <v>3.2678217237850356E-3</v>
      </c>
      <c r="F27" s="17">
        <f t="shared" si="7"/>
        <v>2.6207570803391003E-2</v>
      </c>
      <c r="G27" s="17">
        <f t="shared" si="8"/>
        <v>0.22294033393645563</v>
      </c>
      <c r="M27" s="7"/>
    </row>
    <row r="28" spans="1:13" x14ac:dyDescent="0.3">
      <c r="A28" s="1">
        <v>0.09</v>
      </c>
      <c r="B28" s="7">
        <f t="shared" si="9"/>
        <v>15943654.643048132</v>
      </c>
      <c r="D28" s="1">
        <v>0.09</v>
      </c>
      <c r="E28" s="17">
        <f t="shared" si="6"/>
        <v>3.0275002698982459E-3</v>
      </c>
      <c r="F28" s="17">
        <f t="shared" si="7"/>
        <v>2.7959102820049039E-2</v>
      </c>
      <c r="G28" s="17">
        <f t="shared" si="8"/>
        <v>0.47629029741765888</v>
      </c>
      <c r="M28" s="7"/>
    </row>
    <row r="29" spans="1:13" x14ac:dyDescent="0.3">
      <c r="A29" s="1">
        <v>0.15</v>
      </c>
      <c r="B29" s="7">
        <f t="shared" si="9"/>
        <v>31529855.255795609</v>
      </c>
      <c r="D29" s="1">
        <v>0.15</v>
      </c>
      <c r="E29" s="17">
        <f t="shared" si="6"/>
        <v>4.7270736367064203E-3</v>
      </c>
      <c r="F29" s="17">
        <f t="shared" si="7"/>
        <v>2.4029975408827117E-2</v>
      </c>
      <c r="G29" s="17">
        <f t="shared" si="8"/>
        <v>1</v>
      </c>
      <c r="M29" s="7"/>
    </row>
  </sheetData>
  <pageMargins left="0.7" right="0.7" top="0.75" bottom="0.75" header="0.3" footer="0.3"/>
  <pageSetup orientation="portrait" horizontalDpi="4294967295" verticalDpi="4294967295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1"/>
  <sheetViews>
    <sheetView tabSelected="1" zoomScale="90" zoomScaleNormal="90" workbookViewId="0">
      <selection activeCell="C17" sqref="C17"/>
    </sheetView>
  </sheetViews>
  <sheetFormatPr defaultRowHeight="15.05" x14ac:dyDescent="0.3"/>
  <cols>
    <col min="1" max="4" width="8.5546875" customWidth="1"/>
    <col min="5" max="5" width="12" bestFit="1" customWidth="1"/>
    <col min="6" max="11" width="8.5546875" customWidth="1"/>
    <col min="12" max="12" width="10.6640625" bestFit="1" customWidth="1"/>
    <col min="13" max="14" width="9.6640625" bestFit="1" customWidth="1"/>
    <col min="15" max="15" width="12.33203125" customWidth="1"/>
    <col min="16" max="16" width="14.109375" bestFit="1" customWidth="1"/>
    <col min="17" max="17" width="13.5546875" bestFit="1" customWidth="1"/>
    <col min="18" max="1025" width="8.5546875" customWidth="1"/>
  </cols>
  <sheetData>
    <row r="1" spans="1:18" x14ac:dyDescent="0.3">
      <c r="A1" s="1" t="s">
        <v>0</v>
      </c>
      <c r="B1" s="1" t="s">
        <v>1</v>
      </c>
      <c r="C1" s="1" t="s">
        <v>2</v>
      </c>
      <c r="D1" s="1" t="s">
        <v>8</v>
      </c>
      <c r="E1" s="1" t="s">
        <v>4</v>
      </c>
      <c r="F1" s="1" t="s">
        <v>5</v>
      </c>
      <c r="H1" s="1" t="s">
        <v>3</v>
      </c>
      <c r="I1" t="s">
        <v>7</v>
      </c>
      <c r="K1" s="2" t="s">
        <v>3</v>
      </c>
      <c r="L1" t="s">
        <v>20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21</v>
      </c>
    </row>
    <row r="2" spans="1:18" x14ac:dyDescent="0.3">
      <c r="A2" s="1">
        <v>0</v>
      </c>
      <c r="B2">
        <v>-1</v>
      </c>
      <c r="C2">
        <v>96904.452850423098</v>
      </c>
      <c r="D2">
        <v>313.72282387402998</v>
      </c>
      <c r="E2">
        <v>130.45697328901599</v>
      </c>
      <c r="F2">
        <v>42232.1926429702</v>
      </c>
      <c r="H2">
        <v>29.194070346638</v>
      </c>
      <c r="K2">
        <v>100.943872666519</v>
      </c>
      <c r="M2" s="4">
        <f>((F2-$F$2)/$M$16)*$M$17</f>
        <v>0</v>
      </c>
      <c r="N2" s="4">
        <f>((C2-$C$2)/$N$16)*$N$17</f>
        <v>0</v>
      </c>
      <c r="O2" s="4">
        <f>((D2-$D$2)/$O$16)*$O$17</f>
        <v>0</v>
      </c>
      <c r="P2" s="4">
        <f>((H2-$H$2)/$O$16)*$O$17</f>
        <v>0</v>
      </c>
      <c r="Q2" s="4">
        <f>((K2-$K$2)/$O$16)*$O$17</f>
        <v>0</v>
      </c>
      <c r="R2" s="4">
        <f>((H2+K2-$H$2-$K$2)/$O$16)*$O$17</f>
        <v>-1.8268072920264571E-19</v>
      </c>
    </row>
    <row r="3" spans="1:18" x14ac:dyDescent="0.3">
      <c r="A3" s="1">
        <v>1.5E-3</v>
      </c>
      <c r="B3">
        <v>-1</v>
      </c>
      <c r="C3">
        <v>466397.15793790901</v>
      </c>
      <c r="D3">
        <v>1436.72419843015</v>
      </c>
      <c r="E3">
        <v>192.15935403305701</v>
      </c>
      <c r="F3">
        <v>420548.78756653197</v>
      </c>
      <c r="H3">
        <v>238.22517283542399</v>
      </c>
      <c r="K3">
        <v>223.034305929223</v>
      </c>
      <c r="M3" s="3">
        <f>((F3-$F$2)/$M$16)*$M$17</f>
        <v>0.4287588075800367</v>
      </c>
      <c r="N3" s="3">
        <f t="shared" ref="N3:N13" si="0">((C3-$C$2)/$N$16)*$N$17</f>
        <v>0.12625603209564973</v>
      </c>
      <c r="O3" s="3">
        <f t="shared" ref="O3:O13" si="1">((D3-$D$2)/$O$16)*$O$17</f>
        <v>1.4436197829819928E-2</v>
      </c>
      <c r="P3" s="3">
        <f t="shared" ref="P3:P13" si="2">((H3-$H$2)/$O$16)*$O$17</f>
        <v>2.6870976442982791E-3</v>
      </c>
      <c r="Q3" s="3">
        <f t="shared" ref="Q3:Q13" si="3">((K3-$K$2)/$O$16)*$O$17</f>
        <v>1.5694741677457699E-3</v>
      </c>
      <c r="R3" s="3">
        <f t="shared" ref="R3:R13" si="4">((H3+K3-$H$2-$K$2)/$O$16)*$O$17</f>
        <v>4.256571812044049E-3</v>
      </c>
    </row>
    <row r="4" spans="1:18" x14ac:dyDescent="0.3">
      <c r="A4" s="1">
        <v>2.5000000000000001E-3</v>
      </c>
      <c r="B4">
        <v>-1</v>
      </c>
      <c r="C4">
        <v>519140.80899688101</v>
      </c>
      <c r="D4">
        <v>2614.84468073365</v>
      </c>
      <c r="E4">
        <v>283.95108234588298</v>
      </c>
      <c r="F4">
        <v>498796.27313669003</v>
      </c>
      <c r="H4">
        <v>781.60129074705196</v>
      </c>
      <c r="K4">
        <v>339.277681832702</v>
      </c>
      <c r="M4" s="3">
        <f t="shared" ref="M4:M13" si="5">((F4-$F$2)/$M$16)*$M$17</f>
        <v>0.51743929122621579</v>
      </c>
      <c r="N4" s="3">
        <f t="shared" si="0"/>
        <v>0.14427859115907318</v>
      </c>
      <c r="O4" s="3">
        <f t="shared" si="1"/>
        <v>2.958095253381007E-2</v>
      </c>
      <c r="P4" s="3">
        <f t="shared" si="2"/>
        <v>9.6722049753310401E-3</v>
      </c>
      <c r="Q4" s="3">
        <f t="shared" si="3"/>
        <v>3.0637843342066441E-3</v>
      </c>
      <c r="R4" s="3">
        <f t="shared" si="4"/>
        <v>1.2735989309537683E-2</v>
      </c>
    </row>
    <row r="5" spans="1:18" x14ac:dyDescent="0.3">
      <c r="A5" s="1">
        <v>5.0000000000000001E-3</v>
      </c>
      <c r="B5">
        <v>-1</v>
      </c>
      <c r="C5">
        <v>618537.95000606799</v>
      </c>
      <c r="D5">
        <v>5290.2913949578697</v>
      </c>
      <c r="E5">
        <v>360.187522345464</v>
      </c>
      <c r="F5">
        <v>588656.95149659296</v>
      </c>
      <c r="H5">
        <v>1341.89974536462</v>
      </c>
      <c r="K5">
        <v>465.17623466400698</v>
      </c>
      <c r="M5" s="3">
        <f t="shared" si="5"/>
        <v>0.61928139336743904</v>
      </c>
      <c r="N5" s="3">
        <f t="shared" si="0"/>
        <v>0.17824269505795895</v>
      </c>
      <c r="O5" s="3">
        <f t="shared" si="1"/>
        <v>6.3973856162221801E-2</v>
      </c>
      <c r="P5" s="3">
        <f t="shared" si="2"/>
        <v>1.68748491731609E-2</v>
      </c>
      <c r="Q5" s="3">
        <f t="shared" si="3"/>
        <v>4.6822119304142998E-3</v>
      </c>
      <c r="R5" s="3">
        <f t="shared" si="4"/>
        <v>2.1557061103575199E-2</v>
      </c>
    </row>
    <row r="6" spans="1:18" x14ac:dyDescent="0.3">
      <c r="A6" s="1">
        <v>7.4999999999999997E-3</v>
      </c>
      <c r="B6">
        <v>-1</v>
      </c>
      <c r="C6">
        <v>634752.80853782</v>
      </c>
      <c r="D6">
        <v>5981.4444103284104</v>
      </c>
      <c r="E6">
        <v>473.33002305751</v>
      </c>
      <c r="F6">
        <v>625225.391612145</v>
      </c>
      <c r="H6">
        <v>1502.9993476074301</v>
      </c>
      <c r="K6">
        <v>394.80304815039102</v>
      </c>
      <c r="M6" s="3">
        <f t="shared" si="5"/>
        <v>0.66072562549839797</v>
      </c>
      <c r="N6" s="3">
        <f t="shared" si="0"/>
        <v>0.18378332866458613</v>
      </c>
      <c r="O6" s="3">
        <f t="shared" si="1"/>
        <v>7.2858637504995744E-2</v>
      </c>
      <c r="P6" s="3">
        <f t="shared" si="2"/>
        <v>1.8945786734748265E-2</v>
      </c>
      <c r="Q6" s="3">
        <f t="shared" si="3"/>
        <v>3.7775636677824477E-3</v>
      </c>
      <c r="R6" s="3">
        <f t="shared" si="4"/>
        <v>2.2723350402530713E-2</v>
      </c>
    </row>
    <row r="7" spans="1:18" x14ac:dyDescent="0.3">
      <c r="A7" s="1">
        <v>0.01</v>
      </c>
      <c r="B7">
        <v>-1</v>
      </c>
      <c r="C7">
        <v>679880.56387744599</v>
      </c>
      <c r="D7">
        <v>13602.8724338708</v>
      </c>
      <c r="E7">
        <v>678.21239440105103</v>
      </c>
      <c r="F7">
        <v>698082.20990663697</v>
      </c>
      <c r="H7">
        <v>2696.0490482425798</v>
      </c>
      <c r="K7">
        <v>646.54592365087206</v>
      </c>
      <c r="M7" s="3">
        <f t="shared" si="5"/>
        <v>0.74329668623215561</v>
      </c>
      <c r="N7" s="3">
        <f t="shared" si="0"/>
        <v>0.19920352843609554</v>
      </c>
      <c r="O7" s="3">
        <f t="shared" si="1"/>
        <v>0.17083219763272037</v>
      </c>
      <c r="P7" s="3">
        <f t="shared" si="2"/>
        <v>3.4282456741928001E-2</v>
      </c>
      <c r="Q7" s="3">
        <f t="shared" si="3"/>
        <v>7.013721730731514E-3</v>
      </c>
      <c r="R7" s="3">
        <f t="shared" si="4"/>
        <v>4.1296178472659512E-2</v>
      </c>
    </row>
    <row r="8" spans="1:18" x14ac:dyDescent="0.3">
      <c r="A8" s="1">
        <v>1.4999999999999999E-2</v>
      </c>
      <c r="B8">
        <v>-1</v>
      </c>
      <c r="C8">
        <v>717884.33882466902</v>
      </c>
      <c r="D8">
        <v>18445.422781861002</v>
      </c>
      <c r="E8">
        <v>827.30740964851702</v>
      </c>
      <c r="F8">
        <v>734989.85376617499</v>
      </c>
      <c r="H8">
        <v>3703.8591038087702</v>
      </c>
      <c r="K8">
        <v>771.40879700764901</v>
      </c>
      <c r="M8" s="3">
        <f t="shared" si="5"/>
        <v>0.78512534927296529</v>
      </c>
      <c r="N8" s="3">
        <f t="shared" si="0"/>
        <v>0.21218945688184485</v>
      </c>
      <c r="O8" s="3">
        <f t="shared" si="1"/>
        <v>0.23308324772790112</v>
      </c>
      <c r="P8" s="3">
        <f t="shared" si="2"/>
        <v>4.7237868611112926E-2</v>
      </c>
      <c r="Q8" s="3">
        <f t="shared" si="3"/>
        <v>8.6188356533130079E-3</v>
      </c>
      <c r="R8" s="3">
        <f t="shared" si="4"/>
        <v>5.5856704264425933E-2</v>
      </c>
    </row>
    <row r="9" spans="1:18" x14ac:dyDescent="0.3">
      <c r="A9" s="1">
        <v>2.5000000000000001E-2</v>
      </c>
      <c r="B9">
        <v>-1</v>
      </c>
      <c r="C9">
        <v>717250.50706161</v>
      </c>
      <c r="D9">
        <v>29525.667709388199</v>
      </c>
      <c r="E9">
        <v>1040.3900702629101</v>
      </c>
      <c r="F9">
        <v>730801.40001686604</v>
      </c>
      <c r="H9" s="5">
        <v>4593.5395367150504</v>
      </c>
      <c r="K9" s="5">
        <v>772.35538138385095</v>
      </c>
      <c r="M9" s="3">
        <f>((F9-$F$2)/$M$16)*$M$17</f>
        <v>0.7803784350237486</v>
      </c>
      <c r="N9" s="3">
        <f t="shared" si="0"/>
        <v>0.21197287592552777</v>
      </c>
      <c r="O9" s="3">
        <f t="shared" si="1"/>
        <v>0.37551994584847659</v>
      </c>
      <c r="P9" s="3">
        <f t="shared" si="2"/>
        <v>5.8674722586319755E-2</v>
      </c>
      <c r="Q9" s="3">
        <f t="shared" si="3"/>
        <v>8.6310040082474525E-3</v>
      </c>
      <c r="R9" s="3">
        <f t="shared" si="4"/>
        <v>6.7305726594567197E-2</v>
      </c>
    </row>
    <row r="10" spans="1:18" x14ac:dyDescent="0.3">
      <c r="A10" s="1">
        <v>3.5000000000000003E-2</v>
      </c>
      <c r="B10">
        <v>-1</v>
      </c>
      <c r="C10">
        <v>716141.63200111699</v>
      </c>
      <c r="D10">
        <v>33556.463651855302</v>
      </c>
      <c r="E10">
        <v>1033.26010401132</v>
      </c>
      <c r="F10">
        <v>731327.47083776095</v>
      </c>
      <c r="H10" s="5">
        <v>4969.6434939412802</v>
      </c>
      <c r="K10" s="5">
        <v>937.84019066407996</v>
      </c>
      <c r="M10" s="3">
        <f t="shared" si="5"/>
        <v>0.78097464862076282</v>
      </c>
      <c r="N10" s="3">
        <f t="shared" si="0"/>
        <v>0.21159397219265294</v>
      </c>
      <c r="O10" s="3">
        <f t="shared" si="1"/>
        <v>0.42733588210241991</v>
      </c>
      <c r="P10" s="3">
        <f t="shared" si="2"/>
        <v>6.3509544033659535E-2</v>
      </c>
      <c r="Q10" s="3">
        <f t="shared" si="3"/>
        <v>1.0758313465498721E-2</v>
      </c>
      <c r="R10" s="3">
        <f t="shared" si="4"/>
        <v>7.4267857499158249E-2</v>
      </c>
    </row>
    <row r="11" spans="1:18" x14ac:dyDescent="0.3">
      <c r="A11" s="1">
        <v>0.05</v>
      </c>
      <c r="B11">
        <v>-1</v>
      </c>
      <c r="C11">
        <v>712364.11000687804</v>
      </c>
      <c r="D11">
        <v>50554.817168143403</v>
      </c>
      <c r="E11">
        <v>1150.4694470043601</v>
      </c>
      <c r="F11">
        <v>740129.29715764197</v>
      </c>
      <c r="H11" s="5">
        <v>5245.5768041577903</v>
      </c>
      <c r="K11" s="5">
        <v>751.37458007567898</v>
      </c>
      <c r="M11" s="3">
        <f t="shared" si="5"/>
        <v>0.79095005178329458</v>
      </c>
      <c r="N11" s="3">
        <f t="shared" si="0"/>
        <v>0.21030318909577497</v>
      </c>
      <c r="O11" s="3">
        <f t="shared" si="1"/>
        <v>0.64584994602272838</v>
      </c>
      <c r="P11" s="3">
        <f t="shared" si="2"/>
        <v>6.7056670461440718E-2</v>
      </c>
      <c r="Q11" s="3">
        <f t="shared" si="3"/>
        <v>8.3612955242016226E-3</v>
      </c>
      <c r="R11" s="3">
        <f t="shared" si="4"/>
        <v>7.5417965985642335E-2</v>
      </c>
    </row>
    <row r="12" spans="1:18" x14ac:dyDescent="0.3">
      <c r="A12" s="1">
        <v>0.09</v>
      </c>
      <c r="B12">
        <v>-1</v>
      </c>
      <c r="C12">
        <v>715105.24349274498</v>
      </c>
      <c r="D12">
        <v>101282.655996678</v>
      </c>
      <c r="E12">
        <v>1201.8001976984499</v>
      </c>
      <c r="F12">
        <v>726484.91994797601</v>
      </c>
      <c r="H12" s="5">
        <v>5594.2035974594501</v>
      </c>
      <c r="K12" s="5">
        <v>703.54074259321999</v>
      </c>
      <c r="M12" s="3">
        <f t="shared" si="5"/>
        <v>0.77548642427900649</v>
      </c>
      <c r="N12" s="3">
        <f t="shared" si="0"/>
        <v>0.21123983718815917</v>
      </c>
      <c r="O12" s="3">
        <f t="shared" si="1"/>
        <v>1.2979569989614688</v>
      </c>
      <c r="P12" s="3">
        <f t="shared" si="2"/>
        <v>7.1538272595603553E-2</v>
      </c>
      <c r="Q12" s="3">
        <f t="shared" si="3"/>
        <v>7.74639089763411E-3</v>
      </c>
      <c r="R12" s="3">
        <f t="shared" si="4"/>
        <v>7.928466349323765E-2</v>
      </c>
    </row>
    <row r="13" spans="1:18" x14ac:dyDescent="0.3">
      <c r="A13" s="1">
        <v>0.15</v>
      </c>
      <c r="B13">
        <v>-1</v>
      </c>
      <c r="C13">
        <v>719602.97734090895</v>
      </c>
      <c r="D13">
        <v>205078.61874598201</v>
      </c>
      <c r="E13">
        <v>1152.2767913668399</v>
      </c>
      <c r="F13">
        <v>745362.50813423598</v>
      </c>
      <c r="H13" s="5">
        <v>4812.1459034975896</v>
      </c>
      <c r="K13">
        <v>1041.8256310315001</v>
      </c>
      <c r="M13" s="3">
        <f>((F13-$F$2)/$M$16)*$M$17</f>
        <v>0.79688102422343443</v>
      </c>
      <c r="N13" s="3">
        <f t="shared" si="0"/>
        <v>0.21277671740601634</v>
      </c>
      <c r="O13" s="3">
        <f t="shared" si="1"/>
        <v>2.6322555012921907</v>
      </c>
      <c r="P13" s="3">
        <f t="shared" si="2"/>
        <v>6.1484910382375031E-2</v>
      </c>
      <c r="Q13" s="3">
        <f>((K13-$K$2)/$O$16)*$O$17</f>
        <v>1.2095047705168168E-2</v>
      </c>
      <c r="R13" s="3">
        <f t="shared" si="4"/>
        <v>7.3579958087543196E-2</v>
      </c>
    </row>
    <row r="15" spans="1:18" x14ac:dyDescent="0.3">
      <c r="G15" t="s">
        <v>19</v>
      </c>
      <c r="H15">
        <f>AVERAGE(H9:H13)</f>
        <v>5043.0218671542325</v>
      </c>
      <c r="J15" t="s">
        <v>19</v>
      </c>
      <c r="K15">
        <f>AVERAGE(K9:K12)</f>
        <v>791.27772367920738</v>
      </c>
      <c r="M15" t="s">
        <v>15</v>
      </c>
      <c r="N15" t="s">
        <v>16</v>
      </c>
      <c r="O15" t="s">
        <v>17</v>
      </c>
    </row>
    <row r="16" spans="1:18" x14ac:dyDescent="0.3">
      <c r="L16" t="s">
        <v>14</v>
      </c>
      <c r="M16">
        <v>750000</v>
      </c>
      <c r="N16">
        <v>2253432</v>
      </c>
      <c r="O16">
        <f>SUM(H15,K15)</f>
        <v>5834.2995908334397</v>
      </c>
    </row>
    <row r="17" spans="3:15" x14ac:dyDescent="0.3">
      <c r="C17">
        <f>K9/D9</f>
        <v>2.615877781277973E-2</v>
      </c>
      <c r="L17" t="s">
        <v>18</v>
      </c>
      <c r="M17">
        <v>0.85</v>
      </c>
      <c r="N17">
        <v>0.77</v>
      </c>
      <c r="O17">
        <v>7.4999999999999997E-2</v>
      </c>
    </row>
    <row r="19" spans="3:15" x14ac:dyDescent="0.3">
      <c r="L19" t="s">
        <v>22</v>
      </c>
      <c r="M19">
        <v>0</v>
      </c>
      <c r="N19">
        <v>0</v>
      </c>
    </row>
    <row r="20" spans="3:15" x14ac:dyDescent="0.3">
      <c r="M20">
        <v>0.1</v>
      </c>
      <c r="N20">
        <v>0.1</v>
      </c>
    </row>
    <row r="21" spans="3:15" x14ac:dyDescent="0.3">
      <c r="M21">
        <v>0.2</v>
      </c>
      <c r="N21">
        <v>0.2</v>
      </c>
    </row>
  </sheetData>
  <pageMargins left="0.7" right="0.7" top="0.75" bottom="0.75" header="0.3" footer="0.3"/>
  <pageSetup orientation="portrait" horizontalDpi="4294967295" verticalDpi="4294967295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D5658-95D9-452B-9C87-7CE505A65620}">
  <dimension ref="A1:W49"/>
  <sheetViews>
    <sheetView topLeftCell="G1" zoomScaleNormal="100" workbookViewId="0">
      <selection activeCell="O2" sqref="O2:O12"/>
    </sheetView>
  </sheetViews>
  <sheetFormatPr defaultRowHeight="15.05" x14ac:dyDescent="0.3"/>
  <cols>
    <col min="2" max="2" width="6.6640625" hidden="1" customWidth="1"/>
    <col min="3" max="6" width="0" hidden="1" customWidth="1"/>
    <col min="7" max="7" width="12.33203125" bestFit="1" customWidth="1"/>
    <col min="8" max="8" width="14.109375" customWidth="1"/>
    <col min="10" max="10" width="23.77734375" bestFit="1" customWidth="1"/>
    <col min="11" max="11" width="10" bestFit="1" customWidth="1"/>
    <col min="12" max="12" width="10.33203125" bestFit="1" customWidth="1"/>
    <col min="15" max="15" width="12.33203125" bestFit="1" customWidth="1"/>
    <col min="17" max="17" width="9.77734375" bestFit="1" customWidth="1"/>
  </cols>
  <sheetData>
    <row r="1" spans="1:17" x14ac:dyDescent="0.3">
      <c r="A1" s="1" t="s">
        <v>0</v>
      </c>
      <c r="B1" s="33" t="s">
        <v>57</v>
      </c>
      <c r="C1" s="33" t="s">
        <v>58</v>
      </c>
      <c r="D1" s="33" t="s">
        <v>6</v>
      </c>
      <c r="E1" s="33" t="s">
        <v>59</v>
      </c>
      <c r="F1" s="33" t="s">
        <v>72</v>
      </c>
      <c r="G1" s="34" t="s">
        <v>9</v>
      </c>
      <c r="H1" s="34" t="s">
        <v>10</v>
      </c>
      <c r="I1" s="34" t="s">
        <v>4</v>
      </c>
      <c r="J1" s="35" t="s">
        <v>58</v>
      </c>
      <c r="K1" s="35" t="s">
        <v>6</v>
      </c>
      <c r="L1" s="35" t="s">
        <v>59</v>
      </c>
      <c r="M1" s="35" t="s">
        <v>72</v>
      </c>
      <c r="O1" s="36" t="s">
        <v>73</v>
      </c>
      <c r="Q1" s="37" t="s">
        <v>81</v>
      </c>
    </row>
    <row r="2" spans="1:17" x14ac:dyDescent="0.3">
      <c r="A2" s="1">
        <v>0</v>
      </c>
      <c r="B2" t="s">
        <v>60</v>
      </c>
      <c r="C2" s="7">
        <v>252.3857320188813</v>
      </c>
      <c r="D2" s="7">
        <v>220.80765152564291</v>
      </c>
      <c r="E2" s="7">
        <v>166.77353836177019</v>
      </c>
      <c r="F2" s="7">
        <v>660.8230616695173</v>
      </c>
      <c r="G2" s="9">
        <v>0</v>
      </c>
      <c r="H2" s="9">
        <v>0</v>
      </c>
      <c r="I2" s="9">
        <v>0</v>
      </c>
      <c r="J2" s="9">
        <f>C2-C$2</f>
        <v>0</v>
      </c>
      <c r="K2" s="9">
        <f t="shared" ref="K2:L2" si="0">D2-D$2</f>
        <v>0</v>
      </c>
      <c r="L2" s="9">
        <f t="shared" si="0"/>
        <v>0</v>
      </c>
      <c r="M2" s="9">
        <f>F2-F$2</f>
        <v>0</v>
      </c>
      <c r="O2" s="7">
        <f>M2+H2</f>
        <v>0</v>
      </c>
      <c r="Q2">
        <f t="shared" ref="Q2:Q13" si="1">(H2/$Q$18)*$Q$19</f>
        <v>0</v>
      </c>
    </row>
    <row r="3" spans="1:17" x14ac:dyDescent="0.3">
      <c r="A3" s="1">
        <v>1.5E-3</v>
      </c>
      <c r="B3" t="s">
        <v>61</v>
      </c>
      <c r="C3" s="7">
        <v>340.82929272100529</v>
      </c>
      <c r="D3" s="7">
        <v>1157.6264313329521</v>
      </c>
      <c r="E3" s="7">
        <v>831.16373679311062</v>
      </c>
      <c r="F3" s="7">
        <v>2387.5405958202768</v>
      </c>
      <c r="G3" s="9">
        <v>378316.59492356179</v>
      </c>
      <c r="H3" s="9">
        <v>369492.7050874859</v>
      </c>
      <c r="I3" s="9">
        <v>61.702380744041022</v>
      </c>
      <c r="J3" s="9">
        <f t="shared" ref="J3:J13" si="2">C3-C$2</f>
        <v>88.443560702123989</v>
      </c>
      <c r="K3" s="9">
        <f t="shared" ref="K3:K13" si="3">D3-D$2</f>
        <v>936.81877980730917</v>
      </c>
      <c r="L3" s="9">
        <f t="shared" ref="L3:L13" si="4">E3-E$2</f>
        <v>664.39019843134042</v>
      </c>
      <c r="M3" s="9">
        <f t="shared" ref="M3:M13" si="5">F3-F$2</f>
        <v>1726.7175341507595</v>
      </c>
      <c r="O3" s="7">
        <f t="shared" ref="O3:O13" si="6">M3+H3</f>
        <v>371219.42262163665</v>
      </c>
      <c r="Q3">
        <f t="shared" si="1"/>
        <v>0.12625603209564973</v>
      </c>
    </row>
    <row r="4" spans="1:17" x14ac:dyDescent="0.3">
      <c r="A4" s="1">
        <v>2.5000000000000001E-3</v>
      </c>
      <c r="B4" t="s">
        <v>62</v>
      </c>
      <c r="C4" s="7">
        <v>351.70541423146659</v>
      </c>
      <c r="D4" s="7">
        <v>1539.327850300328</v>
      </c>
      <c r="E4" s="7">
        <v>1672.71834975656</v>
      </c>
      <c r="F4" s="7">
        <v>3640.352712170652</v>
      </c>
      <c r="G4" s="9">
        <v>456564.08049371984</v>
      </c>
      <c r="H4" s="9">
        <v>422236.3561464579</v>
      </c>
      <c r="I4" s="9">
        <v>153.49410905686699</v>
      </c>
      <c r="J4" s="9">
        <f t="shared" si="2"/>
        <v>99.319682212585292</v>
      </c>
      <c r="K4" s="9">
        <f t="shared" si="3"/>
        <v>1318.520198774685</v>
      </c>
      <c r="L4" s="9">
        <f t="shared" si="4"/>
        <v>1505.9448113947897</v>
      </c>
      <c r="M4" s="9">
        <f t="shared" si="5"/>
        <v>2979.5296505011347</v>
      </c>
      <c r="O4" s="7">
        <f t="shared" si="6"/>
        <v>425215.88579695905</v>
      </c>
      <c r="Q4">
        <f t="shared" si="1"/>
        <v>0.14427859115907318</v>
      </c>
    </row>
    <row r="5" spans="1:17" x14ac:dyDescent="0.3">
      <c r="A5" s="1">
        <v>5.0000000000000001E-3</v>
      </c>
      <c r="B5" t="s">
        <v>63</v>
      </c>
      <c r="C5" s="7">
        <v>767.76667404377417</v>
      </c>
      <c r="D5" s="7">
        <v>2134.0914404311288</v>
      </c>
      <c r="E5" s="7">
        <v>3354.101845221754</v>
      </c>
      <c r="F5" s="7">
        <v>6461.8230942424252</v>
      </c>
      <c r="G5" s="9">
        <v>546424.75885362271</v>
      </c>
      <c r="H5" s="9">
        <v>521633.49715564487</v>
      </c>
      <c r="I5" s="9">
        <v>229.73054905644801</v>
      </c>
      <c r="J5" s="9">
        <f t="shared" si="2"/>
        <v>515.38094202489287</v>
      </c>
      <c r="K5" s="9">
        <f t="shared" si="3"/>
        <v>1913.2837889054858</v>
      </c>
      <c r="L5" s="9">
        <f t="shared" si="4"/>
        <v>3187.328306859984</v>
      </c>
      <c r="M5" s="9">
        <f t="shared" si="5"/>
        <v>5801.0000325729079</v>
      </c>
      <c r="O5" s="7">
        <f t="shared" si="6"/>
        <v>527434.49718821782</v>
      </c>
      <c r="Q5">
        <f t="shared" si="1"/>
        <v>0.17824269505795895</v>
      </c>
    </row>
    <row r="6" spans="1:17" x14ac:dyDescent="0.3">
      <c r="A6" s="1">
        <v>7.4999999999999997E-3</v>
      </c>
      <c r="B6" t="s">
        <v>64</v>
      </c>
      <c r="C6" s="7">
        <v>1031.1338306673299</v>
      </c>
      <c r="D6" s="7">
        <v>2220.1486223785241</v>
      </c>
      <c r="E6" s="7">
        <v>3722.0785959990412</v>
      </c>
      <c r="F6" s="7">
        <v>7198.9550122437549</v>
      </c>
      <c r="G6" s="9">
        <v>582993.19896917476</v>
      </c>
      <c r="H6" s="9">
        <v>537848.35568739695</v>
      </c>
      <c r="I6" s="9">
        <v>342.87304976849401</v>
      </c>
      <c r="J6" s="9">
        <f t="shared" si="2"/>
        <v>778.7480986484486</v>
      </c>
      <c r="K6" s="9">
        <f t="shared" si="3"/>
        <v>1999.3409708528811</v>
      </c>
      <c r="L6" s="9">
        <f t="shared" si="4"/>
        <v>3555.3050576372711</v>
      </c>
      <c r="M6" s="9">
        <f t="shared" si="5"/>
        <v>6538.1319505742376</v>
      </c>
      <c r="O6" s="7">
        <f t="shared" si="6"/>
        <v>544386.48763797118</v>
      </c>
      <c r="Q6">
        <f t="shared" si="1"/>
        <v>0.18378332866458613</v>
      </c>
    </row>
    <row r="7" spans="1:17" x14ac:dyDescent="0.3">
      <c r="A7" s="1">
        <v>0.01</v>
      </c>
      <c r="B7" t="s">
        <v>65</v>
      </c>
      <c r="C7" s="7">
        <v>3865.3269434738472</v>
      </c>
      <c r="D7" s="7">
        <v>3413.8150720510589</v>
      </c>
      <c r="E7" s="7">
        <v>7400.6222605185421</v>
      </c>
      <c r="F7" s="7">
        <v>15193.587919613879</v>
      </c>
      <c r="G7" s="9">
        <v>655850.01726366673</v>
      </c>
      <c r="H7" s="9">
        <v>582976.11102702294</v>
      </c>
      <c r="I7" s="9">
        <v>547.75542111203504</v>
      </c>
      <c r="J7" s="9">
        <f t="shared" si="2"/>
        <v>3612.9412114549659</v>
      </c>
      <c r="K7" s="9">
        <f t="shared" si="3"/>
        <v>3193.0074205254159</v>
      </c>
      <c r="L7" s="9">
        <f t="shared" si="4"/>
        <v>7233.8487221567721</v>
      </c>
      <c r="M7" s="9">
        <f t="shared" si="5"/>
        <v>14532.764857944363</v>
      </c>
      <c r="O7" s="7">
        <f t="shared" si="6"/>
        <v>597508.87588496727</v>
      </c>
      <c r="Q7">
        <f t="shared" si="1"/>
        <v>0.19920352843609554</v>
      </c>
    </row>
    <row r="8" spans="1:17" x14ac:dyDescent="0.3">
      <c r="A8" s="1">
        <v>1.4999999999999999E-2</v>
      </c>
      <c r="B8" t="s">
        <v>66</v>
      </c>
      <c r="C8" s="7">
        <v>5849.1510935015231</v>
      </c>
      <c r="D8" s="7">
        <v>5171.9690907046834</v>
      </c>
      <c r="E8" s="7">
        <v>10137.222657999861</v>
      </c>
      <c r="F8" s="7">
        <v>21861.90205265626</v>
      </c>
      <c r="G8" s="9">
        <v>692757.66112320474</v>
      </c>
      <c r="H8" s="9">
        <v>620979.88597424596</v>
      </c>
      <c r="I8" s="9">
        <v>696.85043635950103</v>
      </c>
      <c r="J8" s="9">
        <f t="shared" si="2"/>
        <v>5596.7653614826413</v>
      </c>
      <c r="K8" s="9">
        <f t="shared" si="3"/>
        <v>4951.1614391790408</v>
      </c>
      <c r="L8" s="9">
        <f t="shared" si="4"/>
        <v>9970.4491196380895</v>
      </c>
      <c r="M8" s="9">
        <f t="shared" si="5"/>
        <v>21201.078990986742</v>
      </c>
      <c r="O8" s="7">
        <f t="shared" si="6"/>
        <v>642180.96496523265</v>
      </c>
      <c r="Q8">
        <f t="shared" si="1"/>
        <v>0.21218945688184485</v>
      </c>
    </row>
    <row r="9" spans="1:17" x14ac:dyDescent="0.3">
      <c r="A9" s="1">
        <v>2.5000000000000001E-2</v>
      </c>
      <c r="B9" t="s">
        <v>67</v>
      </c>
      <c r="C9" s="7">
        <v>11453.004496459331</v>
      </c>
      <c r="D9" s="7">
        <v>6545.432172362388</v>
      </c>
      <c r="E9" s="7">
        <v>14435.33367447891</v>
      </c>
      <c r="F9" s="7">
        <v>33445.660438652762</v>
      </c>
      <c r="G9" s="9">
        <v>688569.2073738958</v>
      </c>
      <c r="H9" s="9">
        <v>620346.05421118694</v>
      </c>
      <c r="I9" s="9">
        <v>909.93309697389407</v>
      </c>
      <c r="J9" s="9">
        <f t="shared" si="2"/>
        <v>11200.618764440449</v>
      </c>
      <c r="K9" s="9">
        <f t="shared" si="3"/>
        <v>6324.6245208367454</v>
      </c>
      <c r="L9" s="9">
        <f t="shared" si="4"/>
        <v>14268.560136117139</v>
      </c>
      <c r="M9" s="9">
        <f t="shared" si="5"/>
        <v>32784.837376983247</v>
      </c>
      <c r="O9" s="7">
        <f t="shared" si="6"/>
        <v>653130.8915881702</v>
      </c>
      <c r="Q9">
        <f t="shared" si="1"/>
        <v>0.21197287592552777</v>
      </c>
    </row>
    <row r="10" spans="1:17" x14ac:dyDescent="0.3">
      <c r="A10" s="1">
        <v>3.5000000000000003E-2</v>
      </c>
      <c r="B10" t="s">
        <v>68</v>
      </c>
      <c r="C10" s="7">
        <v>12899.153196990541</v>
      </c>
      <c r="D10" s="7">
        <v>7722.990841543824</v>
      </c>
      <c r="E10" s="7">
        <v>16322.077622862491</v>
      </c>
      <c r="F10" s="7">
        <v>38210.032601345512</v>
      </c>
      <c r="G10" s="9">
        <v>689095.27819479071</v>
      </c>
      <c r="H10" s="9">
        <v>619237.17915069393</v>
      </c>
      <c r="I10" s="9">
        <v>902.80313072230399</v>
      </c>
      <c r="J10" s="9">
        <f>C10-C$2</f>
        <v>12646.767464971659</v>
      </c>
      <c r="K10" s="9">
        <f>D10-D$2</f>
        <v>7502.1831900181814</v>
      </c>
      <c r="L10" s="9">
        <f>E10-E$2</f>
        <v>16155.30408450072</v>
      </c>
      <c r="M10" s="9">
        <f t="shared" si="5"/>
        <v>37549.209539675998</v>
      </c>
      <c r="O10" s="7">
        <f t="shared" si="6"/>
        <v>656786.3886903699</v>
      </c>
      <c r="Q10">
        <f t="shared" si="1"/>
        <v>0.21159397219265294</v>
      </c>
    </row>
    <row r="11" spans="1:17" x14ac:dyDescent="0.3">
      <c r="A11" s="1">
        <v>0.05</v>
      </c>
      <c r="B11" t="s">
        <v>69</v>
      </c>
      <c r="C11" s="7">
        <v>24240.866535235109</v>
      </c>
      <c r="D11" s="7">
        <v>10745.84696373654</v>
      </c>
      <c r="E11" s="7">
        <v>21673.84438068953</v>
      </c>
      <c r="F11" s="7">
        <v>58539.349126612673</v>
      </c>
      <c r="G11" s="9">
        <v>697897.10451467172</v>
      </c>
      <c r="H11" s="9">
        <v>615459.65715645498</v>
      </c>
      <c r="I11" s="9">
        <v>1020.0124737153441</v>
      </c>
      <c r="J11" s="9">
        <f t="shared" si="2"/>
        <v>23988.480803216229</v>
      </c>
      <c r="K11" s="9">
        <f t="shared" si="3"/>
        <v>10525.039312210896</v>
      </c>
      <c r="L11" s="9">
        <f t="shared" si="4"/>
        <v>21507.070842327761</v>
      </c>
      <c r="M11" s="9">
        <f>F11-F$2</f>
        <v>57878.526064943158</v>
      </c>
      <c r="O11" s="7">
        <f t="shared" si="6"/>
        <v>673338.18322139815</v>
      </c>
      <c r="Q11">
        <f t="shared" si="1"/>
        <v>0.21030318909577497</v>
      </c>
    </row>
    <row r="12" spans="1:17" x14ac:dyDescent="0.3">
      <c r="A12" s="1">
        <v>0.09</v>
      </c>
      <c r="B12" t="s">
        <v>70</v>
      </c>
      <c r="C12" s="7">
        <v>56280.06865356808</v>
      </c>
      <c r="D12" s="7">
        <v>16096.602359957889</v>
      </c>
      <c r="E12" s="7">
        <v>35169.371473700063</v>
      </c>
      <c r="F12" s="7">
        <v>110794.17802289181</v>
      </c>
      <c r="G12" s="9">
        <v>684252.72730500577</v>
      </c>
      <c r="H12" s="9">
        <v>618200.79064232192</v>
      </c>
      <c r="I12" s="9">
        <v>1071.3432244094338</v>
      </c>
      <c r="J12" s="9">
        <f t="shared" si="2"/>
        <v>56027.682921549196</v>
      </c>
      <c r="K12" s="9">
        <f t="shared" si="3"/>
        <v>15875.794708432246</v>
      </c>
      <c r="L12" s="9">
        <f t="shared" si="4"/>
        <v>35002.597935338294</v>
      </c>
      <c r="M12" s="9">
        <f t="shared" si="5"/>
        <v>110133.35496122229</v>
      </c>
      <c r="O12" s="7">
        <f t="shared" si="6"/>
        <v>728334.1456035442</v>
      </c>
      <c r="Q12">
        <f t="shared" si="1"/>
        <v>0.21123983718815917</v>
      </c>
    </row>
    <row r="13" spans="1:17" x14ac:dyDescent="0.3">
      <c r="A13" s="1">
        <v>0.15</v>
      </c>
      <c r="B13" t="s">
        <v>71</v>
      </c>
      <c r="C13" s="7">
        <v>124473.8125170038</v>
      </c>
      <c r="D13" s="7">
        <v>29920.601645409592</v>
      </c>
      <c r="E13" s="7">
        <v>63010.646739575634</v>
      </c>
      <c r="F13" s="7">
        <v>225803.68455997121</v>
      </c>
      <c r="G13" s="9">
        <v>703130.31549126573</v>
      </c>
      <c r="H13" s="9">
        <v>622698.5244904859</v>
      </c>
      <c r="I13" s="9">
        <v>1021.8198180778239</v>
      </c>
      <c r="J13" s="9">
        <f t="shared" si="2"/>
        <v>124221.42678498491</v>
      </c>
      <c r="K13" s="9">
        <f t="shared" si="3"/>
        <v>29699.793993883948</v>
      </c>
      <c r="L13" s="9">
        <f t="shared" si="4"/>
        <v>62843.873201213864</v>
      </c>
      <c r="M13" s="9">
        <f t="shared" si="5"/>
        <v>225142.8614983017</v>
      </c>
      <c r="O13" s="7">
        <f t="shared" si="6"/>
        <v>847841.38598878763</v>
      </c>
      <c r="Q13">
        <f t="shared" si="1"/>
        <v>0.21277671740601634</v>
      </c>
    </row>
    <row r="15" spans="1:17" x14ac:dyDescent="0.3">
      <c r="A15" t="s">
        <v>74</v>
      </c>
      <c r="G15" s="8">
        <v>40000000</v>
      </c>
      <c r="H15">
        <v>309552</v>
      </c>
      <c r="P15" t="s">
        <v>82</v>
      </c>
      <c r="Q15" s="3">
        <f>AVERAGE(Q8:Q13)</f>
        <v>0.21167934144832934</v>
      </c>
    </row>
    <row r="16" spans="1:17" x14ac:dyDescent="0.3">
      <c r="A16" s="1" t="s">
        <v>0</v>
      </c>
      <c r="G16" s="36" t="s">
        <v>73</v>
      </c>
      <c r="H16" s="15" t="s">
        <v>75</v>
      </c>
      <c r="I16" t="s">
        <v>42</v>
      </c>
      <c r="J16" s="15" t="s">
        <v>78</v>
      </c>
      <c r="K16" t="s">
        <v>80</v>
      </c>
    </row>
    <row r="17" spans="1:23" x14ac:dyDescent="0.3">
      <c r="A17" s="1">
        <v>0</v>
      </c>
      <c r="G17" s="8">
        <f>A17*$G$15+$H$15</f>
        <v>309552</v>
      </c>
      <c r="H17" s="8">
        <f>G17-O2</f>
        <v>309552</v>
      </c>
      <c r="I17">
        <f>0</f>
        <v>0</v>
      </c>
      <c r="J17">
        <f>(G17-(H2+$I$31*M2))^2</f>
        <v>95822440704</v>
      </c>
      <c r="K17" s="7">
        <f>H2+$I$31*M2</f>
        <v>0</v>
      </c>
      <c r="Q17" t="s">
        <v>16</v>
      </c>
    </row>
    <row r="18" spans="1:23" x14ac:dyDescent="0.3">
      <c r="A18" s="1">
        <v>1.5E-3</v>
      </c>
      <c r="G18" s="8">
        <f t="shared" ref="G18:G28" si="7">A18*$G$15+$H$15</f>
        <v>369552</v>
      </c>
      <c r="H18" s="8">
        <f t="shared" ref="H18:H28" si="8">G18-O3</f>
        <v>-1667.4226216366515</v>
      </c>
      <c r="I18">
        <f>H18/(M3)</f>
        <v>-0.96566032872118213</v>
      </c>
      <c r="J18">
        <f t="shared" ref="J18:J28" si="9">(G18-(H3+$I$31*M3))^2</f>
        <v>2028742040.8376517</v>
      </c>
      <c r="K18" s="7">
        <f t="shared" ref="K18:K28" si="10">H3+$I$31*M3</f>
        <v>414593.55904093076</v>
      </c>
      <c r="P18" t="s">
        <v>14</v>
      </c>
      <c r="Q18">
        <v>2253432</v>
      </c>
    </row>
    <row r="19" spans="1:23" x14ac:dyDescent="0.3">
      <c r="A19" s="1">
        <v>2.5000000000000001E-3</v>
      </c>
      <c r="G19" s="8">
        <f t="shared" si="7"/>
        <v>409552</v>
      </c>
      <c r="H19" s="8">
        <f t="shared" si="8"/>
        <v>-15663.885796959046</v>
      </c>
      <c r="I19">
        <f t="shared" ref="I19:I28" si="11">H19/(M4)</f>
        <v>-5.2571672828711398</v>
      </c>
      <c r="J19">
        <f t="shared" si="9"/>
        <v>8191685610.3095627</v>
      </c>
      <c r="K19" s="7">
        <f t="shared" si="10"/>
        <v>500059.93120113597</v>
      </c>
      <c r="P19" t="s">
        <v>18</v>
      </c>
      <c r="Q19">
        <v>0.77</v>
      </c>
    </row>
    <row r="20" spans="1:23" x14ac:dyDescent="0.3">
      <c r="A20" s="1">
        <v>5.0000000000000001E-3</v>
      </c>
      <c r="G20" s="8">
        <f t="shared" si="7"/>
        <v>509552</v>
      </c>
      <c r="H20" s="8">
        <f t="shared" si="8"/>
        <v>-17882.497188217822</v>
      </c>
      <c r="I20">
        <f t="shared" si="11"/>
        <v>-3.0826576603700566</v>
      </c>
      <c r="J20">
        <f>(G20-(H5+$I$31*M5))^2</f>
        <v>26765035729.471573</v>
      </c>
      <c r="K20" s="7">
        <f t="shared" si="10"/>
        <v>673152.23144687654</v>
      </c>
    </row>
    <row r="21" spans="1:23" x14ac:dyDescent="0.3">
      <c r="A21" s="1">
        <v>7.4999999999999997E-3</v>
      </c>
      <c r="G21" s="8">
        <f t="shared" si="7"/>
        <v>609552</v>
      </c>
      <c r="H21" s="8">
        <f t="shared" si="8"/>
        <v>65165.512362028821</v>
      </c>
      <c r="I21">
        <f t="shared" si="11"/>
        <v>9.9669925377240816</v>
      </c>
      <c r="J21">
        <f t="shared" si="9"/>
        <v>9814576677.2445927</v>
      </c>
      <c r="K21" s="7">
        <f t="shared" si="10"/>
        <v>708620.54534737347</v>
      </c>
    </row>
    <row r="22" spans="1:23" x14ac:dyDescent="0.3">
      <c r="A22" s="1">
        <v>0.01</v>
      </c>
      <c r="G22" s="8">
        <f t="shared" si="7"/>
        <v>709552</v>
      </c>
      <c r="H22" s="8">
        <f t="shared" si="8"/>
        <v>112043.12411503273</v>
      </c>
      <c r="I22">
        <f t="shared" si="11"/>
        <v>7.7096908406788227</v>
      </c>
      <c r="J22">
        <f t="shared" si="9"/>
        <v>64014791325.963631</v>
      </c>
      <c r="K22" s="7">
        <f t="shared" si="10"/>
        <v>962563.44504935667</v>
      </c>
    </row>
    <row r="23" spans="1:23" x14ac:dyDescent="0.3">
      <c r="A23" s="1">
        <v>1.4999999999999999E-2</v>
      </c>
      <c r="G23" s="8">
        <f t="shared" si="7"/>
        <v>909552</v>
      </c>
      <c r="H23" s="8">
        <f t="shared" si="8"/>
        <v>267371.03503476735</v>
      </c>
      <c r="I23">
        <f t="shared" si="11"/>
        <v>12.611199418125622</v>
      </c>
      <c r="J23">
        <f t="shared" si="9"/>
        <v>70324512128.150833</v>
      </c>
      <c r="K23" s="7">
        <f t="shared" si="10"/>
        <v>1174739.6922637075</v>
      </c>
    </row>
    <row r="24" spans="1:23" x14ac:dyDescent="0.3">
      <c r="A24" s="1">
        <v>2.5000000000000001E-2</v>
      </c>
      <c r="G24" s="8">
        <f t="shared" si="7"/>
        <v>1309552</v>
      </c>
      <c r="H24" s="8">
        <f t="shared" si="8"/>
        <v>656421.1084118298</v>
      </c>
      <c r="I24">
        <f t="shared" si="11"/>
        <v>20.022094386616462</v>
      </c>
      <c r="J24">
        <f t="shared" si="9"/>
        <v>27927378796.833912</v>
      </c>
      <c r="K24" s="7">
        <f t="shared" si="10"/>
        <v>1476666.8670730223</v>
      </c>
    </row>
    <row r="25" spans="1:23" x14ac:dyDescent="0.3">
      <c r="A25" s="1">
        <v>3.5000000000000003E-2</v>
      </c>
      <c r="G25" s="8">
        <f t="shared" si="7"/>
        <v>1709552.0000000002</v>
      </c>
      <c r="H25" s="8">
        <f t="shared" si="8"/>
        <v>1052765.6113096303</v>
      </c>
      <c r="I25">
        <f t="shared" si="11"/>
        <v>28.036958013649688</v>
      </c>
      <c r="J25">
        <f t="shared" si="9"/>
        <v>12001506719.131424</v>
      </c>
      <c r="K25" s="7">
        <f t="shared" si="10"/>
        <v>1600000.6115143611</v>
      </c>
      <c r="V25" t="s">
        <v>83</v>
      </c>
      <c r="W25">
        <v>0.2</v>
      </c>
    </row>
    <row r="26" spans="1:23" x14ac:dyDescent="0.3">
      <c r="A26" s="1">
        <v>0.05</v>
      </c>
      <c r="G26" s="8">
        <f t="shared" si="7"/>
        <v>2309552</v>
      </c>
      <c r="H26" s="8">
        <f t="shared" si="8"/>
        <v>1636213.8167786018</v>
      </c>
      <c r="I26">
        <f t="shared" si="11"/>
        <v>28.269790680962959</v>
      </c>
      <c r="J26">
        <f t="shared" si="9"/>
        <v>33247522178.515678</v>
      </c>
      <c r="K26" s="7">
        <f t="shared" si="10"/>
        <v>2127212.9691302609</v>
      </c>
      <c r="U26">
        <v>1.4999999999999999E-2</v>
      </c>
    </row>
    <row r="27" spans="1:23" x14ac:dyDescent="0.3">
      <c r="A27" s="1">
        <v>0.09</v>
      </c>
      <c r="G27" s="8">
        <f t="shared" si="7"/>
        <v>3909552</v>
      </c>
      <c r="H27" s="8">
        <f t="shared" si="8"/>
        <v>3181217.8543964559</v>
      </c>
      <c r="I27">
        <f t="shared" si="11"/>
        <v>28.885144337213333</v>
      </c>
      <c r="J27">
        <f t="shared" si="9"/>
        <v>172002857772.92615</v>
      </c>
      <c r="K27" s="7">
        <f t="shared" si="10"/>
        <v>3494819.727596554</v>
      </c>
      <c r="V27" t="s">
        <v>84</v>
      </c>
      <c r="W27">
        <v>0.1</v>
      </c>
    </row>
    <row r="28" spans="1:23" x14ac:dyDescent="0.3">
      <c r="A28" s="1">
        <v>0.15</v>
      </c>
      <c r="G28" s="8">
        <f t="shared" si="7"/>
        <v>6309552</v>
      </c>
      <c r="H28" s="8">
        <f t="shared" si="8"/>
        <v>5461710.6140112123</v>
      </c>
      <c r="I28">
        <f t="shared" si="11"/>
        <v>24.258866471111325</v>
      </c>
      <c r="J28">
        <f t="shared" si="9"/>
        <v>37537756991.708298</v>
      </c>
      <c r="K28" s="7">
        <f t="shared" si="10"/>
        <v>6503298.6309170518</v>
      </c>
    </row>
    <row r="29" spans="1:23" x14ac:dyDescent="0.3">
      <c r="U29">
        <f>5000000/620000</f>
        <v>8.064516129032258</v>
      </c>
    </row>
    <row r="30" spans="1:23" x14ac:dyDescent="0.3">
      <c r="H30" t="s">
        <v>76</v>
      </c>
      <c r="I30">
        <f>AVERAGE(I23:I28)</f>
        <v>23.680675551279901</v>
      </c>
      <c r="J30" t="s">
        <v>77</v>
      </c>
      <c r="U30" t="s">
        <v>85</v>
      </c>
    </row>
    <row r="31" spans="1:23" x14ac:dyDescent="0.3">
      <c r="H31" t="s">
        <v>79</v>
      </c>
      <c r="I31" s="5">
        <v>26.119416211075048</v>
      </c>
      <c r="J31">
        <f>SUM(J17:J28)</f>
        <v>559678806675.09326</v>
      </c>
      <c r="T31" t="s">
        <v>86</v>
      </c>
      <c r="U31">
        <f>0.8/0.075</f>
        <v>10.666666666666668</v>
      </c>
    </row>
    <row r="33" spans="1:21" x14ac:dyDescent="0.3">
      <c r="A33" t="s">
        <v>74</v>
      </c>
      <c r="G33" s="8">
        <v>200000000</v>
      </c>
    </row>
    <row r="34" spans="1:21" x14ac:dyDescent="0.3">
      <c r="A34" s="1" t="s">
        <v>0</v>
      </c>
      <c r="G34" s="36" t="s">
        <v>73</v>
      </c>
      <c r="H34" s="15" t="s">
        <v>75</v>
      </c>
      <c r="I34" t="s">
        <v>42</v>
      </c>
      <c r="J34" s="15" t="s">
        <v>78</v>
      </c>
      <c r="K34" t="s">
        <v>80</v>
      </c>
      <c r="U34">
        <f>0.1/0.075</f>
        <v>1.3333333333333335</v>
      </c>
    </row>
    <row r="35" spans="1:21" x14ac:dyDescent="0.3">
      <c r="A35" s="1">
        <v>0</v>
      </c>
      <c r="G35" s="8">
        <f>A35*$G$33</f>
        <v>0</v>
      </c>
      <c r="H35" s="8">
        <f>G35-O2</f>
        <v>0</v>
      </c>
      <c r="I35">
        <f>0</f>
        <v>0</v>
      </c>
      <c r="J35">
        <f>(G35-(H2+$I$49*M2))^2</f>
        <v>0</v>
      </c>
      <c r="K35" s="7">
        <f>H2+$I$49*M2</f>
        <v>0</v>
      </c>
    </row>
    <row r="36" spans="1:21" x14ac:dyDescent="0.3">
      <c r="A36" s="1">
        <v>1.5E-3</v>
      </c>
      <c r="G36" s="8">
        <f t="shared" ref="G36:G46" si="12">A36*$G$33</f>
        <v>300000</v>
      </c>
      <c r="H36" s="8">
        <f t="shared" ref="H36:H46" si="13">G36-O3</f>
        <v>-71219.422621636651</v>
      </c>
      <c r="I36">
        <f>H36/(M3)</f>
        <v>-41.245554766816014</v>
      </c>
      <c r="J36">
        <f t="shared" ref="J36:J46" si="14">(G36-(H3+$I$49*M3))^2</f>
        <v>79172294166.790878</v>
      </c>
      <c r="K36" s="7">
        <f t="shared" ref="K36:K46" si="15">H3+$I$49*M3</f>
        <v>581375.7170880083</v>
      </c>
    </row>
    <row r="37" spans="1:21" x14ac:dyDescent="0.3">
      <c r="A37" s="1">
        <v>2.5000000000000001E-3</v>
      </c>
      <c r="G37" s="8">
        <f t="shared" si="12"/>
        <v>500000</v>
      </c>
      <c r="H37" s="8">
        <f t="shared" si="13"/>
        <v>74784.114203040954</v>
      </c>
      <c r="I37">
        <f t="shared" ref="I37:I46" si="16">H37/(M4)</f>
        <v>25.099301895003066</v>
      </c>
      <c r="J37">
        <f t="shared" si="14"/>
        <v>82857698225.580658</v>
      </c>
      <c r="K37" s="7">
        <f>H4+$I$49*M4</f>
        <v>787850.13153650053</v>
      </c>
    </row>
    <row r="38" spans="1:21" x14ac:dyDescent="0.3">
      <c r="A38" s="1">
        <v>5.0000000000000001E-3</v>
      </c>
      <c r="G38" s="8">
        <f t="shared" si="12"/>
        <v>1000000</v>
      </c>
      <c r="H38" s="8">
        <f t="shared" si="13"/>
        <v>472565.50281178218</v>
      </c>
      <c r="I38">
        <f t="shared" si="16"/>
        <v>81.462765067799182</v>
      </c>
      <c r="J38">
        <f>(G38-(H5+$I$49*M5))^2</f>
        <v>54506290808.123222</v>
      </c>
      <c r="K38" s="7">
        <f t="shared" si="15"/>
        <v>1233465.8236404704</v>
      </c>
    </row>
    <row r="39" spans="1:21" x14ac:dyDescent="0.3">
      <c r="A39" s="1">
        <v>7.4999999999999997E-3</v>
      </c>
      <c r="G39" s="8">
        <f t="shared" si="12"/>
        <v>1500000</v>
      </c>
      <c r="H39" s="8">
        <f t="shared" si="13"/>
        <v>955613.51236202882</v>
      </c>
      <c r="I39">
        <f t="shared" si="16"/>
        <v>146.16002240182661</v>
      </c>
      <c r="J39">
        <f t="shared" si="14"/>
        <v>25557434018.885662</v>
      </c>
      <c r="K39" s="7">
        <f t="shared" si="15"/>
        <v>1340133.0740306624</v>
      </c>
    </row>
    <row r="40" spans="1:21" x14ac:dyDescent="0.3">
      <c r="A40" s="1">
        <v>0.01</v>
      </c>
      <c r="G40" s="8">
        <f t="shared" si="12"/>
        <v>2000000</v>
      </c>
      <c r="H40" s="8">
        <f t="shared" si="13"/>
        <v>1402491.1241150326</v>
      </c>
      <c r="I40">
        <f t="shared" si="16"/>
        <v>96.505457689859909</v>
      </c>
      <c r="J40">
        <f t="shared" si="14"/>
        <v>134154206783.20578</v>
      </c>
      <c r="K40" s="7">
        <f t="shared" si="15"/>
        <v>2366270.6742058471</v>
      </c>
    </row>
    <row r="41" spans="1:21" x14ac:dyDescent="0.3">
      <c r="A41" s="1">
        <v>1.4999999999999999E-2</v>
      </c>
      <c r="G41" s="8">
        <f t="shared" si="12"/>
        <v>3000000</v>
      </c>
      <c r="H41" s="8">
        <f t="shared" si="13"/>
        <v>2357819.0350347674</v>
      </c>
      <c r="I41">
        <f t="shared" si="16"/>
        <v>111.21221877608926</v>
      </c>
      <c r="J41">
        <f t="shared" si="14"/>
        <v>49521218652.920395</v>
      </c>
      <c r="K41" s="7">
        <f t="shared" si="15"/>
        <v>3222533.6348800343</v>
      </c>
    </row>
    <row r="42" spans="1:21" x14ac:dyDescent="0.3">
      <c r="A42" s="1">
        <v>2.5000000000000001E-2</v>
      </c>
      <c r="G42" s="8">
        <f t="shared" si="12"/>
        <v>5000000</v>
      </c>
      <c r="H42" s="8">
        <f t="shared" si="13"/>
        <v>4346869.1084118299</v>
      </c>
      <c r="I42">
        <f t="shared" si="16"/>
        <v>132.58778924014339</v>
      </c>
      <c r="J42">
        <f t="shared" si="14"/>
        <v>127216309452.45322</v>
      </c>
      <c r="K42" s="7">
        <f t="shared" si="15"/>
        <v>4643326.0460133748</v>
      </c>
    </row>
    <row r="43" spans="1:21" x14ac:dyDescent="0.3">
      <c r="A43" s="1">
        <v>3.5000000000000003E-2</v>
      </c>
      <c r="G43" s="8">
        <f t="shared" si="12"/>
        <v>7000000.0000000009</v>
      </c>
      <c r="H43" s="8">
        <f t="shared" si="13"/>
        <v>6343213.6113096308</v>
      </c>
      <c r="I43">
        <f t="shared" si="16"/>
        <v>168.93068293773635</v>
      </c>
      <c r="J43">
        <f t="shared" si="14"/>
        <v>3144073723388.3198</v>
      </c>
      <c r="K43" s="7">
        <f t="shared" si="15"/>
        <v>5226846.3903574748</v>
      </c>
    </row>
    <row r="44" spans="1:21" x14ac:dyDescent="0.3">
      <c r="A44" s="1">
        <v>0.05</v>
      </c>
      <c r="G44" s="8">
        <f t="shared" si="12"/>
        <v>10000000</v>
      </c>
      <c r="H44" s="8">
        <f t="shared" si="13"/>
        <v>9326661.8167786021</v>
      </c>
      <c r="I44">
        <f t="shared" si="16"/>
        <v>161.14200638616006</v>
      </c>
      <c r="J44">
        <f t="shared" si="14"/>
        <v>5209121953595.668</v>
      </c>
      <c r="K44" s="7">
        <f t="shared" si="15"/>
        <v>7717649.905558819</v>
      </c>
    </row>
    <row r="45" spans="1:21" x14ac:dyDescent="0.3">
      <c r="A45" s="1">
        <v>0.09</v>
      </c>
      <c r="G45" s="8">
        <f t="shared" si="12"/>
        <v>18000000</v>
      </c>
      <c r="H45" s="8">
        <f t="shared" si="13"/>
        <v>17271665.854396455</v>
      </c>
      <c r="I45">
        <f t="shared" si="16"/>
        <v>156.82502236019025</v>
      </c>
      <c r="J45">
        <f t="shared" si="14"/>
        <v>14957513405595.201</v>
      </c>
      <c r="K45" s="7">
        <f t="shared" si="15"/>
        <v>14132505.539034968</v>
      </c>
    </row>
    <row r="46" spans="1:21" x14ac:dyDescent="0.3">
      <c r="A46" s="1">
        <v>0.15</v>
      </c>
      <c r="G46" s="8">
        <f t="shared" si="12"/>
        <v>30000000</v>
      </c>
      <c r="H46" s="8">
        <f t="shared" si="13"/>
        <v>29152158.614011213</v>
      </c>
      <c r="I46">
        <f t="shared" si="16"/>
        <v>129.48293550151539</v>
      </c>
      <c r="J46">
        <f t="shared" si="14"/>
        <v>3063712762062.7656</v>
      </c>
      <c r="K46" s="7">
        <f t="shared" si="15"/>
        <v>28249653.530850887</v>
      </c>
    </row>
    <row r="48" spans="1:21" x14ac:dyDescent="0.3">
      <c r="H48" t="s">
        <v>76</v>
      </c>
      <c r="I48">
        <f>AVERAGE(I41:I46)</f>
        <v>143.3634425336391</v>
      </c>
      <c r="J48" t="s">
        <v>77</v>
      </c>
    </row>
    <row r="49" spans="8:10" x14ac:dyDescent="0.3">
      <c r="H49" t="s">
        <v>79</v>
      </c>
      <c r="I49" s="5">
        <v>122.70855412650423</v>
      </c>
      <c r="J49" s="5">
        <v>122.70855412650423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DA03A-D901-4E93-9092-92428B426BE7}">
  <dimension ref="A1:X52"/>
  <sheetViews>
    <sheetView topLeftCell="A18" zoomScaleNormal="100" workbookViewId="0">
      <selection activeCell="J38" sqref="J38"/>
    </sheetView>
  </sheetViews>
  <sheetFormatPr defaultRowHeight="15.05" x14ac:dyDescent="0.3"/>
  <cols>
    <col min="1" max="1" width="11.21875" bestFit="1" customWidth="1"/>
    <col min="2" max="3" width="8.33203125" bestFit="1" customWidth="1"/>
    <col min="4" max="4" width="17.88671875" bestFit="1" customWidth="1"/>
    <col min="5" max="5" width="26.44140625" customWidth="1"/>
    <col min="6" max="6" width="8.77734375" bestFit="1" customWidth="1"/>
    <col min="7" max="7" width="14.21875" bestFit="1" customWidth="1"/>
    <col min="8" max="8" width="20.109375" customWidth="1"/>
    <col min="9" max="9" width="20" customWidth="1"/>
    <col min="10" max="10" width="17.33203125" bestFit="1" customWidth="1"/>
    <col min="11" max="11" width="13.109375" customWidth="1"/>
    <col min="12" max="12" width="11.88671875" bestFit="1" customWidth="1"/>
    <col min="13" max="13" width="12" bestFit="1" customWidth="1"/>
    <col min="14" max="14" width="7" bestFit="1" customWidth="1"/>
    <col min="15" max="15" width="12" bestFit="1" customWidth="1"/>
    <col min="16" max="16" width="8" bestFit="1" customWidth="1"/>
    <col min="17" max="17" width="8" customWidth="1"/>
    <col min="18" max="18" width="9.77734375" bestFit="1" customWidth="1"/>
    <col min="19" max="19" width="11.44140625" bestFit="1" customWidth="1"/>
    <col min="20" max="20" width="21.5546875" bestFit="1" customWidth="1"/>
    <col min="21" max="21" width="12.33203125" bestFit="1" customWidth="1"/>
    <col min="22" max="22" width="10.5546875" bestFit="1" customWidth="1"/>
    <col min="23" max="23" width="10.109375" bestFit="1" customWidth="1"/>
    <col min="24" max="24" width="12.33203125" bestFit="1" customWidth="1"/>
  </cols>
  <sheetData>
    <row r="1" spans="1:20" x14ac:dyDescent="0.3">
      <c r="A1" s="1" t="s">
        <v>0</v>
      </c>
      <c r="B1" s="38" t="str">
        <f>'uptake area'!M1</f>
        <v>H2 corr</v>
      </c>
      <c r="C1" s="39" t="str">
        <f>'uptake area'!N1</f>
        <v>CO corr</v>
      </c>
      <c r="D1" s="39" t="str">
        <f>'uptake area'!P1</f>
        <v>Benzene</v>
      </c>
      <c r="E1" s="39" t="str">
        <f>'verti intg uptk'!J1</f>
        <v>multilayer</v>
      </c>
      <c r="F1" s="39"/>
      <c r="G1" s="39" t="str">
        <f>'uptake area'!Q1</f>
        <v>GUA second corr</v>
      </c>
      <c r="H1" s="39" t="str">
        <f>'uptake area'!R1</f>
        <v>GUA recom corr</v>
      </c>
      <c r="I1" s="39" t="str">
        <f>'uptake area'!S1</f>
        <v>GUA second + recom</v>
      </c>
      <c r="J1" s="39" t="s">
        <v>87</v>
      </c>
      <c r="K1" s="20" t="s">
        <v>91</v>
      </c>
      <c r="R1" t="s">
        <v>15</v>
      </c>
      <c r="S1" t="s">
        <v>16</v>
      </c>
      <c r="T1" t="s">
        <v>17</v>
      </c>
    </row>
    <row r="2" spans="1:20" x14ac:dyDescent="0.3">
      <c r="A2" s="1">
        <v>0</v>
      </c>
      <c r="B2" s="7">
        <f>'uptake area'!M2</f>
        <v>0</v>
      </c>
      <c r="C2" s="7">
        <f>'uptake area'!N2</f>
        <v>0</v>
      </c>
      <c r="D2" s="7">
        <f>'uptake area'!P2</f>
        <v>0</v>
      </c>
      <c r="E2" s="7">
        <f>'verti intg uptk'!J2</f>
        <v>0</v>
      </c>
      <c r="F2" s="7"/>
      <c r="G2" s="7">
        <f>'uptake area'!Q2</f>
        <v>0</v>
      </c>
      <c r="H2" s="7">
        <f>'uptake area'!R2</f>
        <v>0</v>
      </c>
      <c r="I2" s="7">
        <f>'uptake area'!S2</f>
        <v>-1.4210854715202004E-14</v>
      </c>
      <c r="J2" s="7">
        <f t="shared" ref="J2:J13" si="0">SUM(E2,G2,H2)</f>
        <v>0</v>
      </c>
      <c r="K2" s="7">
        <f>C2+J2</f>
        <v>0</v>
      </c>
      <c r="M2" s="60">
        <f t="shared" ref="M2:M6" si="1">E2/I2</f>
        <v>0</v>
      </c>
      <c r="Q2" t="s">
        <v>14</v>
      </c>
      <c r="R2" s="7">
        <v>750000</v>
      </c>
      <c r="S2" s="7">
        <v>2253432</v>
      </c>
      <c r="T2" s="7">
        <f>SUM(J14,M14)</f>
        <v>0</v>
      </c>
    </row>
    <row r="3" spans="1:20" x14ac:dyDescent="0.3">
      <c r="A3" s="1">
        <v>1.5E-3</v>
      </c>
      <c r="B3" s="7">
        <f>'uptake area'!M3</f>
        <v>378316.59492356179</v>
      </c>
      <c r="C3" s="7">
        <f>'uptake area'!N3</f>
        <v>369492.7050874859</v>
      </c>
      <c r="D3" s="7">
        <f>'uptake area'!P3</f>
        <v>61.702380744041022</v>
      </c>
      <c r="E3" s="7">
        <f>'verti intg uptk'!J3</f>
        <v>88.443560702123989</v>
      </c>
      <c r="F3" s="7"/>
      <c r="G3" s="7">
        <f>'uptake area'!Q3</f>
        <v>209.03110248878599</v>
      </c>
      <c r="H3" s="7">
        <f>'uptake area'!R3</f>
        <v>122.090433262704</v>
      </c>
      <c r="I3" s="7">
        <f>'uptake area'!S3</f>
        <v>331.12153575149</v>
      </c>
      <c r="J3" s="7">
        <f t="shared" si="0"/>
        <v>419.56509645361393</v>
      </c>
      <c r="K3" s="7">
        <f t="shared" ref="K3:K13" si="2">C3+J3</f>
        <v>369912.27018393949</v>
      </c>
      <c r="M3" s="60">
        <f t="shared" si="1"/>
        <v>0.26710301551784826</v>
      </c>
      <c r="Q3" t="s">
        <v>18</v>
      </c>
      <c r="R3">
        <v>0.85</v>
      </c>
      <c r="S3">
        <v>0.77</v>
      </c>
      <c r="T3">
        <v>0.10199999999999999</v>
      </c>
    </row>
    <row r="4" spans="1:20" x14ac:dyDescent="0.3">
      <c r="A4" s="1">
        <v>2.5000000000000001E-3</v>
      </c>
      <c r="B4" s="7">
        <f>'uptake area'!M4</f>
        <v>456564.08049371984</v>
      </c>
      <c r="C4" s="7">
        <f>'uptake area'!N4</f>
        <v>422236.3561464579</v>
      </c>
      <c r="D4" s="7">
        <f>'uptake area'!P4</f>
        <v>153.49410905686699</v>
      </c>
      <c r="E4" s="7">
        <f>'verti intg uptk'!J4</f>
        <v>99.319682212585292</v>
      </c>
      <c r="F4" s="7"/>
      <c r="G4" s="7">
        <f>'uptake area'!Q4</f>
        <v>752.40722040041396</v>
      </c>
      <c r="H4" s="7">
        <f>'uptake area'!R4</f>
        <v>238.33380916618302</v>
      </c>
      <c r="I4" s="7">
        <f>'uptake area'!S4</f>
        <v>990.74102956659692</v>
      </c>
      <c r="J4" s="7">
        <f>SUM(E4,G4,H4)</f>
        <v>1090.0607117791824</v>
      </c>
      <c r="K4" s="7">
        <f t="shared" si="2"/>
        <v>423326.41685823706</v>
      </c>
      <c r="M4" s="60">
        <f t="shared" si="1"/>
        <v>0.10024787431689695</v>
      </c>
    </row>
    <row r="5" spans="1:20" x14ac:dyDescent="0.3">
      <c r="A5" s="1">
        <v>5.0000000000000001E-3</v>
      </c>
      <c r="B5" s="7">
        <f>'uptake area'!M5</f>
        <v>546424.75885362271</v>
      </c>
      <c r="C5" s="7">
        <f>'uptake area'!N5</f>
        <v>521633.49715564487</v>
      </c>
      <c r="D5" s="7">
        <f>'uptake area'!P5</f>
        <v>229.73054905644801</v>
      </c>
      <c r="E5" s="7">
        <f>'verti intg uptk'!J5</f>
        <v>515.38094202489287</v>
      </c>
      <c r="F5" s="7"/>
      <c r="G5" s="7">
        <f>'uptake area'!Q5</f>
        <v>1312.705675017982</v>
      </c>
      <c r="H5" s="7">
        <f>'uptake area'!R5</f>
        <v>364.232361997488</v>
      </c>
      <c r="I5" s="7">
        <f>'uptake area'!S5</f>
        <v>1676.9380370154699</v>
      </c>
      <c r="J5" s="7">
        <f t="shared" si="0"/>
        <v>2192.318979040363</v>
      </c>
      <c r="K5" s="7">
        <f t="shared" si="2"/>
        <v>523825.81613468524</v>
      </c>
      <c r="M5" s="60">
        <f t="shared" si="1"/>
        <v>0.30733451722649335</v>
      </c>
      <c r="R5" s="8">
        <v>7000000</v>
      </c>
      <c r="S5" s="68">
        <f>R5*S3/S2</f>
        <v>2.3919070999258021</v>
      </c>
    </row>
    <row r="6" spans="1:20" x14ac:dyDescent="0.3">
      <c r="A6" s="1">
        <v>7.4999999999999997E-3</v>
      </c>
      <c r="B6" s="7">
        <f>'uptake area'!M6</f>
        <v>582993.19896917476</v>
      </c>
      <c r="C6" s="7">
        <f>'uptake area'!N6</f>
        <v>537848.35568739695</v>
      </c>
      <c r="D6" s="7">
        <f>'uptake area'!P6</f>
        <v>342.87304976849401</v>
      </c>
      <c r="E6" s="7">
        <f>'verti intg uptk'!J6</f>
        <v>778.7480986484486</v>
      </c>
      <c r="F6" s="7"/>
      <c r="G6" s="7">
        <f>'uptake area'!Q6</f>
        <v>1473.8052772607921</v>
      </c>
      <c r="H6" s="7">
        <f>'uptake area'!R6</f>
        <v>293.85917548387204</v>
      </c>
      <c r="I6" s="7">
        <f>'uptake area'!S6</f>
        <v>1767.6644527446642</v>
      </c>
      <c r="J6" s="7">
        <f t="shared" si="0"/>
        <v>2546.4125513931126</v>
      </c>
      <c r="K6" s="7">
        <f t="shared" si="2"/>
        <v>540394.7682387901</v>
      </c>
      <c r="M6" s="60">
        <f t="shared" si="1"/>
        <v>0.4405519935863853</v>
      </c>
    </row>
    <row r="7" spans="1:20" x14ac:dyDescent="0.3">
      <c r="A7" s="1">
        <v>0.01</v>
      </c>
      <c r="B7" s="7">
        <f>'uptake area'!M7</f>
        <v>655850.01726366673</v>
      </c>
      <c r="C7" s="7">
        <f>'uptake area'!N7</f>
        <v>582976.11102702294</v>
      </c>
      <c r="D7" s="7">
        <f>'uptake area'!P7</f>
        <v>547.75542111203504</v>
      </c>
      <c r="E7" s="7">
        <f>'verti intg uptk'!J7</f>
        <v>3612.9412114549659</v>
      </c>
      <c r="F7" s="7"/>
      <c r="G7" s="7">
        <f>'uptake area'!Q7</f>
        <v>2666.8549778959418</v>
      </c>
      <c r="H7" s="7">
        <f>'uptake area'!R7</f>
        <v>545.60205098435301</v>
      </c>
      <c r="I7" s="7">
        <f>'uptake area'!S7</f>
        <v>3212.4570288802947</v>
      </c>
      <c r="J7" s="7">
        <f t="shared" si="0"/>
        <v>6825.3982403352602</v>
      </c>
      <c r="K7" s="7">
        <f t="shared" si="2"/>
        <v>589801.50926735823</v>
      </c>
      <c r="M7" s="60">
        <f>E7/I7</f>
        <v>1.1246660045486305</v>
      </c>
    </row>
    <row r="8" spans="1:20" x14ac:dyDescent="0.3">
      <c r="A8" s="1">
        <v>1.4999999999999999E-2</v>
      </c>
      <c r="B8" s="7">
        <f>'uptake area'!M8</f>
        <v>692757.66112320474</v>
      </c>
      <c r="C8" s="7">
        <f>'uptake area'!N8</f>
        <v>620979.88597424596</v>
      </c>
      <c r="D8" s="7">
        <f>'uptake area'!P8</f>
        <v>696.85043635950103</v>
      </c>
      <c r="E8" s="7">
        <f>'verti intg uptk'!J8</f>
        <v>5596.7653614826413</v>
      </c>
      <c r="F8" s="7"/>
      <c r="G8" s="7">
        <f>'uptake area'!Q8</f>
        <v>3674.6650334621322</v>
      </c>
      <c r="H8" s="7">
        <f>'uptake area'!R8</f>
        <v>670.46492434112997</v>
      </c>
      <c r="I8" s="7">
        <f>'uptake area'!S8</f>
        <v>4345.1299578032622</v>
      </c>
      <c r="J8" s="7">
        <f t="shared" si="0"/>
        <v>9941.8953192859026</v>
      </c>
      <c r="K8" s="7">
        <f t="shared" si="2"/>
        <v>630921.78129353188</v>
      </c>
      <c r="M8" s="60">
        <f>E8/I8</f>
        <v>1.2880547684037877</v>
      </c>
      <c r="N8" s="60">
        <f>(M8-(J42-1))/M8</f>
        <v>0.51292502894473602</v>
      </c>
      <c r="O8">
        <f>(E8+G8)/H8</f>
        <v>13.828360080217269</v>
      </c>
    </row>
    <row r="9" spans="1:20" x14ac:dyDescent="0.3">
      <c r="A9" s="1">
        <v>2.5000000000000001E-2</v>
      </c>
      <c r="B9" s="7">
        <f>'uptake area'!M9</f>
        <v>688569.2073738958</v>
      </c>
      <c r="C9" s="7">
        <f>'uptake area'!N9</f>
        <v>620346.05421118694</v>
      </c>
      <c r="D9" s="7">
        <f>'uptake area'!P9</f>
        <v>909.93309697389407</v>
      </c>
      <c r="E9" s="7">
        <f>'verti intg uptk'!J9</f>
        <v>11200.618764440449</v>
      </c>
      <c r="F9" s="7"/>
      <c r="G9" s="7">
        <f>'uptake area'!Q9</f>
        <v>4564.3454663684124</v>
      </c>
      <c r="H9" s="7">
        <f>'uptake area'!R9</f>
        <v>671.41150871733191</v>
      </c>
      <c r="I9" s="7">
        <f>'uptake area'!S9</f>
        <v>5235.7569750857438</v>
      </c>
      <c r="J9" s="7">
        <f t="shared" si="0"/>
        <v>16436.375739526193</v>
      </c>
      <c r="K9" s="7">
        <f t="shared" si="2"/>
        <v>636782.42995071318</v>
      </c>
      <c r="M9" s="60">
        <f t="shared" ref="M9:M13" si="3">E9/I9</f>
        <v>2.1392549000533054</v>
      </c>
    </row>
    <row r="10" spans="1:20" x14ac:dyDescent="0.3">
      <c r="A10" s="1">
        <v>3.5000000000000003E-2</v>
      </c>
      <c r="B10" s="7">
        <f>'uptake area'!M10</f>
        <v>689095.27819479071</v>
      </c>
      <c r="C10" s="7">
        <f>'uptake area'!N10</f>
        <v>619237.17915069393</v>
      </c>
      <c r="D10" s="7">
        <f>'uptake area'!P10</f>
        <v>902.80313072230399</v>
      </c>
      <c r="E10" s="7">
        <f>'verti intg uptk'!J10</f>
        <v>12646.767464971659</v>
      </c>
      <c r="F10" s="7"/>
      <c r="G10" s="7">
        <f>'uptake area'!Q10</f>
        <v>4940.4494235946422</v>
      </c>
      <c r="H10" s="7">
        <f>'uptake area'!R10</f>
        <v>836.89631799756091</v>
      </c>
      <c r="I10" s="7">
        <f>'uptake area'!S10</f>
        <v>5777.345741592203</v>
      </c>
      <c r="J10" s="7">
        <f t="shared" si="0"/>
        <v>18424.113206563863</v>
      </c>
      <c r="K10" s="7">
        <f t="shared" si="2"/>
        <v>637661.2923572578</v>
      </c>
      <c r="M10" s="60">
        <f t="shared" si="3"/>
        <v>2.189027285302521</v>
      </c>
    </row>
    <row r="11" spans="1:20" x14ac:dyDescent="0.3">
      <c r="A11" s="1">
        <v>0.05</v>
      </c>
      <c r="B11" s="7">
        <f>'uptake area'!M11</f>
        <v>697897.10451467172</v>
      </c>
      <c r="C11" s="7">
        <f>'uptake area'!N11</f>
        <v>615459.65715645498</v>
      </c>
      <c r="D11" s="7">
        <f>'uptake area'!P11</f>
        <v>1020.0124737153441</v>
      </c>
      <c r="E11" s="7">
        <f>'verti intg uptk'!J11</f>
        <v>23988.480803216229</v>
      </c>
      <c r="F11" s="7"/>
      <c r="G11" s="7">
        <f>'uptake area'!Q11</f>
        <v>5216.3827338111523</v>
      </c>
      <c r="H11" s="7">
        <f>'uptake area'!R11</f>
        <v>650.43070740915994</v>
      </c>
      <c r="I11" s="7">
        <f>'uptake area'!S11</f>
        <v>5866.8134412203117</v>
      </c>
      <c r="J11" s="7">
        <f t="shared" si="0"/>
        <v>29855.29424443654</v>
      </c>
      <c r="K11" s="7">
        <f t="shared" si="2"/>
        <v>645314.95140089153</v>
      </c>
      <c r="M11" s="60">
        <f t="shared" si="3"/>
        <v>4.0888432951818157</v>
      </c>
    </row>
    <row r="12" spans="1:20" x14ac:dyDescent="0.3">
      <c r="A12" s="1">
        <v>0.09</v>
      </c>
      <c r="B12" s="7">
        <f>'uptake area'!M12</f>
        <v>684252.72730500577</v>
      </c>
      <c r="C12" s="7">
        <f>'uptake area'!N12</f>
        <v>618200.79064232192</v>
      </c>
      <c r="D12" s="7">
        <f>'uptake area'!P12</f>
        <v>1071.3432244094338</v>
      </c>
      <c r="E12" s="7">
        <f>'verti intg uptk'!J12</f>
        <v>56027.682921549196</v>
      </c>
      <c r="F12" s="7"/>
      <c r="G12" s="7">
        <f>'uptake area'!Q12</f>
        <v>5565.0095271128121</v>
      </c>
      <c r="H12" s="7">
        <f>'uptake area'!R12</f>
        <v>602.59686992670095</v>
      </c>
      <c r="I12" s="7">
        <f>'uptake area'!S12</f>
        <v>6167.6063970395126</v>
      </c>
      <c r="J12" s="7">
        <f t="shared" si="0"/>
        <v>62195.289318588715</v>
      </c>
      <c r="K12" s="7">
        <f t="shared" si="2"/>
        <v>680396.0799609106</v>
      </c>
      <c r="M12" s="60">
        <f t="shared" si="3"/>
        <v>9.0841858761354839</v>
      </c>
    </row>
    <row r="13" spans="1:20" x14ac:dyDescent="0.3">
      <c r="A13" s="1">
        <v>0.15</v>
      </c>
      <c r="B13" s="7">
        <f>'uptake area'!M13</f>
        <v>703130.31549126573</v>
      </c>
      <c r="C13" s="7">
        <f>'uptake area'!N13</f>
        <v>622698.5244904859</v>
      </c>
      <c r="D13" s="7">
        <f>'uptake area'!P13</f>
        <v>1021.8198180778239</v>
      </c>
      <c r="E13" s="7">
        <f>'verti intg uptk'!J13</f>
        <v>124221.42678498491</v>
      </c>
      <c r="F13" s="7"/>
      <c r="G13" s="7">
        <f>'uptake area'!Q13</f>
        <v>4782.9518331509516</v>
      </c>
      <c r="H13" s="7">
        <f>'uptake area'!R13</f>
        <v>940.88175836498101</v>
      </c>
      <c r="I13" s="7">
        <f>'uptake area'!S13</f>
        <v>5723.8335915159323</v>
      </c>
      <c r="J13" s="7">
        <f t="shared" si="0"/>
        <v>129945.26037650084</v>
      </c>
      <c r="K13" s="7">
        <f t="shared" si="2"/>
        <v>752643.7848669868</v>
      </c>
      <c r="M13" s="60">
        <f t="shared" si="3"/>
        <v>21.70248746733488</v>
      </c>
    </row>
    <row r="14" spans="1:20" x14ac:dyDescent="0.3">
      <c r="A14" s="16"/>
      <c r="D14" s="7"/>
      <c r="E14" s="7"/>
      <c r="F14" s="7"/>
      <c r="G14" s="7"/>
      <c r="H14" s="7"/>
      <c r="I14" s="7"/>
      <c r="J14" s="7"/>
      <c r="K14" s="7"/>
    </row>
    <row r="16" spans="1:20" x14ac:dyDescent="0.3">
      <c r="A16" s="20" t="s">
        <v>90</v>
      </c>
      <c r="B16">
        <v>0</v>
      </c>
      <c r="C16">
        <v>309521</v>
      </c>
    </row>
    <row r="17" spans="1:24" x14ac:dyDescent="0.3">
      <c r="A17" s="20" t="s">
        <v>24</v>
      </c>
      <c r="B17" s="8">
        <v>200000000</v>
      </c>
      <c r="C17" s="8">
        <v>40000000</v>
      </c>
      <c r="H17" s="53" t="s">
        <v>115</v>
      </c>
      <c r="I17" s="53" t="s">
        <v>114</v>
      </c>
      <c r="J17" s="54" t="s">
        <v>116</v>
      </c>
      <c r="K17" s="54" t="s">
        <v>117</v>
      </c>
      <c r="L17" s="54" t="s">
        <v>118</v>
      </c>
      <c r="M17" s="54" t="s">
        <v>119</v>
      </c>
      <c r="N17" s="54" t="s">
        <v>116</v>
      </c>
      <c r="O17" s="54" t="s">
        <v>139</v>
      </c>
      <c r="S17" s="69" t="s">
        <v>116</v>
      </c>
      <c r="T17" s="70"/>
      <c r="U17" s="70"/>
      <c r="V17" s="71" t="s">
        <v>118</v>
      </c>
      <c r="W17" s="72"/>
      <c r="X17" s="72"/>
    </row>
    <row r="18" spans="1:24" x14ac:dyDescent="0.3">
      <c r="A18" s="1" t="s">
        <v>0</v>
      </c>
      <c r="B18" s="20" t="s">
        <v>88</v>
      </c>
      <c r="C18" s="20" t="s">
        <v>89</v>
      </c>
      <c r="D18" s="40" t="s">
        <v>92</v>
      </c>
      <c r="E18" s="40" t="s">
        <v>93</v>
      </c>
      <c r="F18" s="40" t="s">
        <v>97</v>
      </c>
      <c r="G18" s="40" t="s">
        <v>96</v>
      </c>
      <c r="H18" s="15" t="s">
        <v>94</v>
      </c>
      <c r="I18" s="15" t="s">
        <v>95</v>
      </c>
      <c r="J18" s="5" t="s">
        <v>103</v>
      </c>
      <c r="K18" s="5" t="s">
        <v>104</v>
      </c>
      <c r="L18" s="5" t="s">
        <v>105</v>
      </c>
      <c r="M18" s="5" t="s">
        <v>106</v>
      </c>
      <c r="N18" t="s">
        <v>138</v>
      </c>
      <c r="O18" t="s">
        <v>138</v>
      </c>
      <c r="P18" t="s">
        <v>81</v>
      </c>
      <c r="Q18" t="s">
        <v>147</v>
      </c>
      <c r="R18" s="1" t="s">
        <v>0</v>
      </c>
      <c r="S18" s="70" t="s">
        <v>140</v>
      </c>
      <c r="T18" s="70" t="s">
        <v>141</v>
      </c>
      <c r="U18" s="70" t="s">
        <v>142</v>
      </c>
      <c r="V18" s="72" t="s">
        <v>140</v>
      </c>
      <c r="W18" s="72" t="s">
        <v>143</v>
      </c>
      <c r="X18" s="72" t="s">
        <v>142</v>
      </c>
    </row>
    <row r="19" spans="1:24" x14ac:dyDescent="0.3">
      <c r="A19" s="1">
        <v>0</v>
      </c>
      <c r="B19" s="41">
        <f t="shared" ref="B19:B30" si="4">A19*$B$17</f>
        <v>0</v>
      </c>
      <c r="C19" s="42">
        <f t="shared" ref="C19:C30" si="5">A19*$C$17+$C$16</f>
        <v>309521</v>
      </c>
      <c r="D19" s="42">
        <f>B19-K2</f>
        <v>0</v>
      </c>
      <c r="E19" s="42">
        <f t="shared" ref="E19:E30" si="6">C19-K2</f>
        <v>309521</v>
      </c>
      <c r="F19" s="42">
        <v>0</v>
      </c>
      <c r="G19" s="42">
        <v>0</v>
      </c>
      <c r="H19" s="43">
        <f>(B19-(C2+$F$32*J2))^2</f>
        <v>0</v>
      </c>
      <c r="I19" s="44">
        <f>(C19-(C2+$F$35*J2))^2</f>
        <v>95803249441</v>
      </c>
      <c r="J19" s="9">
        <f t="shared" ref="J19:J21" si="7">C2+($F$32*J2)</f>
        <v>0</v>
      </c>
      <c r="K19" s="9">
        <f>C2+$F$33*J2</f>
        <v>0</v>
      </c>
      <c r="L19" s="9">
        <f>C2+$F$34*J2</f>
        <v>0</v>
      </c>
      <c r="M19" s="9">
        <f>C2+$F$35*J2</f>
        <v>0</v>
      </c>
      <c r="N19" s="3">
        <v>0</v>
      </c>
      <c r="O19" s="3">
        <v>0</v>
      </c>
      <c r="P19" s="3">
        <f>(C2/$S$2)*$S$3</f>
        <v>0</v>
      </c>
      <c r="Q19" s="3">
        <f>(B2/$R$2)*$R$3</f>
        <v>0</v>
      </c>
      <c r="R19" s="1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</row>
    <row r="20" spans="1:24" x14ac:dyDescent="0.3">
      <c r="A20" s="1">
        <v>1.5E-3</v>
      </c>
      <c r="B20" s="45">
        <f t="shared" si="4"/>
        <v>300000</v>
      </c>
      <c r="C20" s="46">
        <f t="shared" si="5"/>
        <v>369521</v>
      </c>
      <c r="D20" s="46">
        <f t="shared" ref="D20:D30" si="8">B20-K3</f>
        <v>-69912.270183939487</v>
      </c>
      <c r="E20" s="46">
        <f t="shared" si="6"/>
        <v>-391.27018393948674</v>
      </c>
      <c r="F20" s="46">
        <f>D20/J3</f>
        <v>-166.6303292978252</v>
      </c>
      <c r="G20" s="46">
        <f>E20/J3</f>
        <v>-0.93256132897304678</v>
      </c>
      <c r="H20" s="43">
        <f t="shared" ref="H20:H30" si="9">(B20-(C3+$F$32*J3))^2</f>
        <v>31029540985.676144</v>
      </c>
      <c r="I20" s="44">
        <f t="shared" ref="I20:I29" si="10">(C20-(C3+$F$35*J3))^2</f>
        <v>370350242.04066366</v>
      </c>
      <c r="J20" s="9">
        <f t="shared" si="7"/>
        <v>476152.03940254607</v>
      </c>
      <c r="K20" s="9">
        <f t="shared" ref="K20:K30" si="11">C3+$F$33*J3</f>
        <v>470674.61869295326</v>
      </c>
      <c r="L20" s="9">
        <f t="shared" ref="L20:L30" si="12">C3+$F$34*J3</f>
        <v>384386.88498789747</v>
      </c>
      <c r="M20" s="9">
        <f t="shared" ref="M20:M30" si="13">C3+$F$35*J3</f>
        <v>388765.48601653636</v>
      </c>
      <c r="N20" s="3">
        <f>(J20/C3)*(P20/2)</f>
        <v>8.1350817406507167E-2</v>
      </c>
      <c r="O20" s="3">
        <f>(L20/C3)*(P20/2)</f>
        <v>6.5672694237208201E-2</v>
      </c>
      <c r="P20" s="3">
        <f t="shared" ref="P20:P30" si="14">(C3/$S$2)*$S$3</f>
        <v>0.12625603209564973</v>
      </c>
      <c r="Q20" s="3">
        <f t="shared" ref="Q20:Q30" si="15">(B3/$R$2)*$R$3</f>
        <v>0.4287588075800367</v>
      </c>
      <c r="R20" s="1">
        <v>1.5E-3</v>
      </c>
      <c r="S20" s="3">
        <f>(($F$32*E3)/C3)*$P20/2</f>
        <v>3.8413334468291502E-3</v>
      </c>
      <c r="T20" s="3">
        <f>(($F$32*G3)/C3)*P20/2</f>
        <v>9.0787634401343405E-3</v>
      </c>
      <c r="U20" s="3">
        <f>(($F$32*H3)/C3)*P20/2</f>
        <v>5.3027044717188117E-3</v>
      </c>
      <c r="V20" s="3">
        <f>(($F$34*E3)/C3)*P20/2</f>
        <v>5.3641354300542439E-4</v>
      </c>
      <c r="W20" s="3">
        <f>(($F$34*G3)/C3)*P20/2</f>
        <v>1.2677815478504013E-3</v>
      </c>
      <c r="X20" s="3">
        <f>(($F$34*H3)/C3)*P20/2</f>
        <v>7.4048309852750636E-4</v>
      </c>
    </row>
    <row r="21" spans="1:24" x14ac:dyDescent="0.3">
      <c r="A21" s="1">
        <v>2.5000000000000001E-3</v>
      </c>
      <c r="B21" s="45">
        <f t="shared" si="4"/>
        <v>500000</v>
      </c>
      <c r="C21" s="46">
        <f t="shared" si="5"/>
        <v>409521</v>
      </c>
      <c r="D21" s="46">
        <f t="shared" si="8"/>
        <v>76673.583141762938</v>
      </c>
      <c r="E21" s="46">
        <f t="shared" si="6"/>
        <v>-13805.416858237062</v>
      </c>
      <c r="F21" s="46">
        <f t="shared" ref="F21:F30" si="16">D21/J4</f>
        <v>70.338819033865875</v>
      </c>
      <c r="G21" s="46">
        <f t="shared" ref="G21:G30" si="17">E21/J4</f>
        <v>-12.664814637437988</v>
      </c>
      <c r="H21" s="43">
        <f t="shared" si="9"/>
        <v>39738462278.696556</v>
      </c>
      <c r="I21" s="44">
        <f t="shared" si="10"/>
        <v>3942263401.6756787</v>
      </c>
      <c r="J21" s="9">
        <f t="shared" si="7"/>
        <v>699345.08340738318</v>
      </c>
      <c r="K21" s="9">
        <f t="shared" si="11"/>
        <v>685114.3450359588</v>
      </c>
      <c r="L21" s="9">
        <f t="shared" si="12"/>
        <v>460932.52148728672</v>
      </c>
      <c r="M21" s="9">
        <f t="shared" si="13"/>
        <v>472308.44621081254</v>
      </c>
      <c r="N21" s="3">
        <f>(J21/C4)*(P21/2)</f>
        <v>0.11948346216430872</v>
      </c>
      <c r="O21" s="3">
        <f t="shared" ref="O21:O30" si="18">(L21/C4)*(P21/2)</f>
        <v>7.8750555052295959E-2</v>
      </c>
      <c r="P21" s="3">
        <f t="shared" si="14"/>
        <v>0.14427859115907318</v>
      </c>
      <c r="Q21" s="3">
        <f t="shared" si="15"/>
        <v>0.51743929122621579</v>
      </c>
      <c r="R21" s="1">
        <v>2.5000000000000001E-3</v>
      </c>
      <c r="S21" s="3">
        <f>(($F$32*E4)/C4)*$P21/2</f>
        <v>4.3137116391841947E-3</v>
      </c>
      <c r="T21" s="3">
        <f>(($F$32*G4)/C4)*P21/2</f>
        <v>3.2678998882622462E-2</v>
      </c>
      <c r="U21" s="3">
        <f t="shared" ref="U21:U30" si="19">(($F$32*H4)/C4)*P21/2</f>
        <v>1.0351456062965456E-2</v>
      </c>
      <c r="V21" s="3">
        <f t="shared" ref="V21:V30" si="20">(($F$34*E4)/C4)*P21/2</f>
        <v>6.0237763159784528E-4</v>
      </c>
      <c r="W21" s="3">
        <f>(($F$34*G4)/C4)*P21/2</f>
        <v>4.5633782682853556E-3</v>
      </c>
      <c r="X21" s="3">
        <f t="shared" ref="X21:X30" si="21">(($F$34*H4)/C4)*P21/2</f>
        <v>1.445503572876173E-3</v>
      </c>
    </row>
    <row r="22" spans="1:24" x14ac:dyDescent="0.3">
      <c r="A22" s="1">
        <v>5.0000000000000001E-3</v>
      </c>
      <c r="B22" s="45">
        <f t="shared" si="4"/>
        <v>1000000</v>
      </c>
      <c r="C22" s="46">
        <f t="shared" si="5"/>
        <v>509521</v>
      </c>
      <c r="D22" s="46">
        <f t="shared" si="8"/>
        <v>476174.18386531476</v>
      </c>
      <c r="E22" s="46">
        <f t="shared" si="6"/>
        <v>-14304.816134685243</v>
      </c>
      <c r="F22" s="46">
        <f t="shared" si="16"/>
        <v>217.20114108292262</v>
      </c>
      <c r="G22" s="46">
        <f t="shared" si="17"/>
        <v>-6.5249702581815194</v>
      </c>
      <c r="H22" s="43">
        <f t="shared" si="9"/>
        <v>6233377473.4705591</v>
      </c>
      <c r="I22" s="44">
        <f t="shared" si="10"/>
        <v>12727669552.138348</v>
      </c>
      <c r="J22" s="9">
        <f>C5+($F$32*J5)</f>
        <v>1078951.7414213934</v>
      </c>
      <c r="K22" s="9">
        <f t="shared" si="11"/>
        <v>1050331.0256389577</v>
      </c>
      <c r="L22" s="9">
        <f t="shared" si="12"/>
        <v>599458.82997982996</v>
      </c>
      <c r="M22" s="9">
        <f t="shared" si="13"/>
        <v>622337.97368808626</v>
      </c>
      <c r="N22" s="3">
        <f>(J22/C5)*(P22/2)</f>
        <v>0.18433945219879563</v>
      </c>
      <c r="O22" s="3">
        <f t="shared" si="18"/>
        <v>0.10241784511014068</v>
      </c>
      <c r="P22" s="3">
        <f t="shared" si="14"/>
        <v>0.17824269505795895</v>
      </c>
      <c r="Q22" s="3">
        <f t="shared" si="15"/>
        <v>0.61928139336743904</v>
      </c>
      <c r="R22" s="1">
        <v>5.0000000000000001E-3</v>
      </c>
      <c r="S22" s="3">
        <f>(($F$32*E5)/C5)*$P22/2</f>
        <v>2.2384332276334865E-2</v>
      </c>
      <c r="T22" s="3">
        <f t="shared" ref="T22:T30" si="22">(($F$32*G5)/C5)*P22/2</f>
        <v>5.7014215339793679E-2</v>
      </c>
      <c r="U22" s="3">
        <f t="shared" si="19"/>
        <v>1.5819557053687601E-2</v>
      </c>
      <c r="V22" s="3">
        <f t="shared" si="20"/>
        <v>3.1258049191410136E-3</v>
      </c>
      <c r="W22" s="3">
        <f t="shared" ref="W22:W30" si="23">(($F$34*G5)/C5)*P22/2</f>
        <v>7.961609601306029E-3</v>
      </c>
      <c r="X22" s="3">
        <f t="shared" si="21"/>
        <v>2.2090830607141617E-3</v>
      </c>
    </row>
    <row r="23" spans="1:24" x14ac:dyDescent="0.3">
      <c r="A23" s="1">
        <v>7.4999999999999997E-3</v>
      </c>
      <c r="B23" s="45">
        <f t="shared" si="4"/>
        <v>1500000</v>
      </c>
      <c r="C23" s="46">
        <f t="shared" si="5"/>
        <v>609521</v>
      </c>
      <c r="D23" s="46">
        <f t="shared" si="8"/>
        <v>959605.2317612099</v>
      </c>
      <c r="E23" s="46">
        <f t="shared" si="6"/>
        <v>69126.2317612099</v>
      </c>
      <c r="F23" s="46">
        <f t="shared" si="16"/>
        <v>376.8459400799847</v>
      </c>
      <c r="G23" s="46">
        <f t="shared" si="17"/>
        <v>27.146517057258354</v>
      </c>
      <c r="H23" s="43">
        <f t="shared" si="9"/>
        <v>99110276015.425797</v>
      </c>
      <c r="I23" s="44">
        <f t="shared" si="10"/>
        <v>2051833574.1126113</v>
      </c>
      <c r="J23" s="9">
        <f>C6+($F$32*J6)</f>
        <v>1185182.1542297422</v>
      </c>
      <c r="K23" s="9">
        <f t="shared" si="11"/>
        <v>1151938.7482313367</v>
      </c>
      <c r="L23" s="9">
        <f t="shared" si="12"/>
        <v>628243.68876369868</v>
      </c>
      <c r="M23" s="9">
        <f t="shared" si="13"/>
        <v>654818.16960376897</v>
      </c>
      <c r="N23" s="3">
        <f>(J23/C6)*(P23/2)</f>
        <v>0.2024889721005341</v>
      </c>
      <c r="O23" s="3">
        <f t="shared" si="18"/>
        <v>0.10733575283124762</v>
      </c>
      <c r="P23" s="3">
        <f t="shared" si="14"/>
        <v>0.18378332866458613</v>
      </c>
      <c r="Q23" s="3">
        <f t="shared" si="15"/>
        <v>0.66072562549839797</v>
      </c>
      <c r="R23" s="1">
        <v>7.4999999999999997E-3</v>
      </c>
      <c r="S23" s="3">
        <f t="shared" ref="S23:S30" si="24">(($F$32*E6)/C6)*$P23/2</f>
        <v>3.3823051607657084E-2</v>
      </c>
      <c r="T23" s="3">
        <f t="shared" si="22"/>
        <v>6.4011189290790624E-2</v>
      </c>
      <c r="U23" s="3">
        <f t="shared" si="19"/>
        <v>1.2763066869793333E-2</v>
      </c>
      <c r="V23" s="3">
        <f t="shared" si="20"/>
        <v>4.7231366917899328E-3</v>
      </c>
      <c r="W23" s="3">
        <f t="shared" si="23"/>
        <v>8.9386847860883061E-3</v>
      </c>
      <c r="X23" s="3">
        <f t="shared" si="21"/>
        <v>1.7822670210763127E-3</v>
      </c>
    </row>
    <row r="24" spans="1:24" x14ac:dyDescent="0.3">
      <c r="A24" s="1">
        <v>0.01</v>
      </c>
      <c r="B24" s="45">
        <f t="shared" si="4"/>
        <v>2000000</v>
      </c>
      <c r="C24" s="46">
        <f t="shared" si="5"/>
        <v>709521</v>
      </c>
      <c r="D24" s="46">
        <f t="shared" si="8"/>
        <v>1410198.4907326419</v>
      </c>
      <c r="E24" s="46">
        <f t="shared" si="6"/>
        <v>119719.49073264177</v>
      </c>
      <c r="F24" s="46">
        <f t="shared" si="16"/>
        <v>206.61043371783882</v>
      </c>
      <c r="G24" s="46">
        <f t="shared" si="17"/>
        <v>17.540293843244115</v>
      </c>
      <c r="H24" s="43">
        <f t="shared" si="9"/>
        <v>101180045029.55783</v>
      </c>
      <c r="I24" s="44">
        <f t="shared" si="10"/>
        <v>34961792031.58284</v>
      </c>
      <c r="J24" s="9">
        <f t="shared" ref="J24:J30" si="25">C7+($F$32*J7)</f>
        <v>2318088.1089093992</v>
      </c>
      <c r="K24" s="9">
        <f t="shared" si="11"/>
        <v>2228982.561310628</v>
      </c>
      <c r="L24" s="9">
        <f t="shared" si="12"/>
        <v>825271.55014428799</v>
      </c>
      <c r="M24" s="9">
        <f t="shared" si="13"/>
        <v>896501.72636392992</v>
      </c>
      <c r="N24" s="3">
        <f t="shared" ref="N24:N30" si="26">(J24/C7)*(P24/2)</f>
        <v>0.396046528996712</v>
      </c>
      <c r="O24" s="3">
        <f t="shared" si="18"/>
        <v>0.14099806286834962</v>
      </c>
      <c r="P24" s="3">
        <f t="shared" si="14"/>
        <v>0.19920352843609554</v>
      </c>
      <c r="Q24" s="3">
        <f t="shared" si="15"/>
        <v>0.74329668623215561</v>
      </c>
      <c r="R24" s="1">
        <v>0.01</v>
      </c>
      <c r="S24" s="3">
        <f t="shared" si="24"/>
        <v>0.15691941625611297</v>
      </c>
      <c r="T24" s="3">
        <f t="shared" si="22"/>
        <v>0.11582843502804017</v>
      </c>
      <c r="U24" s="3">
        <f t="shared" si="19"/>
        <v>2.3696913494511151E-2</v>
      </c>
      <c r="V24" s="3">
        <f t="shared" si="20"/>
        <v>2.1912625187424484E-2</v>
      </c>
      <c r="W24" s="3">
        <f t="shared" si="23"/>
        <v>1.6174576374110867E-2</v>
      </c>
      <c r="X24" s="3">
        <f t="shared" si="21"/>
        <v>3.3090970887665145E-3</v>
      </c>
    </row>
    <row r="25" spans="1:24" x14ac:dyDescent="0.3">
      <c r="A25" s="1">
        <v>1.4999999999999999E-2</v>
      </c>
      <c r="B25" s="45">
        <f t="shared" si="4"/>
        <v>3000000</v>
      </c>
      <c r="C25" s="46">
        <f t="shared" si="5"/>
        <v>909521</v>
      </c>
      <c r="D25" s="46">
        <f t="shared" si="8"/>
        <v>2369078.2187064681</v>
      </c>
      <c r="E25" s="46">
        <f t="shared" si="6"/>
        <v>278599.21870646812</v>
      </c>
      <c r="F25" s="46">
        <f t="shared" si="16"/>
        <v>238.29241232411528</v>
      </c>
      <c r="G25" s="46">
        <f t="shared" si="17"/>
        <v>28.022747148224759</v>
      </c>
      <c r="H25" s="43">
        <f t="shared" si="9"/>
        <v>22007475644.885487</v>
      </c>
      <c r="I25" s="44">
        <f t="shared" si="10"/>
        <v>28271472254.749557</v>
      </c>
      <c r="J25" s="9">
        <f t="shared" si="25"/>
        <v>3148349.1679952587</v>
      </c>
      <c r="K25" s="9">
        <f t="shared" si="11"/>
        <v>3018557.7630982576</v>
      </c>
      <c r="L25" s="9">
        <f t="shared" si="12"/>
        <v>973908.14117975277</v>
      </c>
      <c r="M25" s="9">
        <f t="shared" si="13"/>
        <v>1077662.2271120606</v>
      </c>
      <c r="N25" s="3">
        <f t="shared" si="26"/>
        <v>0.53789705199809645</v>
      </c>
      <c r="O25" s="3">
        <f>(L25/C8)*(P25/2)</f>
        <v>0.1663926998259565</v>
      </c>
      <c r="P25" s="3">
        <f t="shared" si="14"/>
        <v>0.21218945688184485</v>
      </c>
      <c r="Q25" s="3">
        <f t="shared" si="15"/>
        <v>0.78512534927296529</v>
      </c>
      <c r="R25" s="1">
        <v>1.4999999999999999E-2</v>
      </c>
      <c r="S25" s="3">
        <f t="shared" si="24"/>
        <v>0.24308204923506438</v>
      </c>
      <c r="T25" s="3">
        <f t="shared" si="22"/>
        <v>0.15960024208514997</v>
      </c>
      <c r="U25" s="3">
        <f t="shared" si="19"/>
        <v>2.9120032236959761E-2</v>
      </c>
      <c r="V25" s="3">
        <f t="shared" si="20"/>
        <v>3.3944593739664311E-2</v>
      </c>
      <c r="W25" s="3">
        <f t="shared" si="23"/>
        <v>2.2286982503975906E-2</v>
      </c>
      <c r="X25" s="3">
        <f t="shared" si="21"/>
        <v>4.0663951413938528E-3</v>
      </c>
    </row>
    <row r="26" spans="1:24" x14ac:dyDescent="0.3">
      <c r="A26" s="1">
        <v>2.5000000000000001E-2</v>
      </c>
      <c r="B26" s="45">
        <f t="shared" si="4"/>
        <v>5000000</v>
      </c>
      <c r="C26" s="46">
        <f t="shared" si="5"/>
        <v>1309521</v>
      </c>
      <c r="D26" s="46">
        <f t="shared" si="8"/>
        <v>4363217.5700492868</v>
      </c>
      <c r="E26" s="46">
        <f t="shared" si="6"/>
        <v>672738.57004928682</v>
      </c>
      <c r="F26" s="46">
        <f t="shared" si="16"/>
        <v>265.46105048916729</v>
      </c>
      <c r="G26" s="46">
        <f t="shared" si="17"/>
        <v>40.929860737576426</v>
      </c>
      <c r="H26" s="43">
        <f t="shared" si="9"/>
        <v>40520328726.549553</v>
      </c>
      <c r="I26" s="44">
        <f t="shared" si="10"/>
        <v>4333885758.6303024</v>
      </c>
      <c r="J26" s="9">
        <f t="shared" si="25"/>
        <v>4798703.3812341858</v>
      </c>
      <c r="K26" s="9">
        <f t="shared" si="11"/>
        <v>4584126.5595983975</v>
      </c>
      <c r="L26" s="9">
        <f t="shared" si="12"/>
        <v>1203822.4664401743</v>
      </c>
      <c r="M26" s="9">
        <f t="shared" si="13"/>
        <v>1375353.2546980605</v>
      </c>
      <c r="N26" s="3">
        <f t="shared" si="26"/>
        <v>0.81986090628657138</v>
      </c>
      <c r="O26" s="3">
        <f>(L26/C9)*(P26/2)</f>
        <v>0.20567367889488877</v>
      </c>
      <c r="P26" s="3">
        <f t="shared" si="14"/>
        <v>0.21197287592552777</v>
      </c>
      <c r="Q26" s="3">
        <f t="shared" si="15"/>
        <v>0.7803784350237486</v>
      </c>
      <c r="R26" s="1">
        <v>2.5000000000000001E-2</v>
      </c>
      <c r="S26" s="3">
        <f t="shared" si="24"/>
        <v>0.4864719505124358</v>
      </c>
      <c r="T26" s="3">
        <f t="shared" si="22"/>
        <v>0.19824137295755564</v>
      </c>
      <c r="U26" s="3">
        <f t="shared" si="19"/>
        <v>2.9161144853816021E-2</v>
      </c>
      <c r="V26" s="3">
        <f t="shared" si="20"/>
        <v>6.7932176719138496E-2</v>
      </c>
      <c r="W26" s="3">
        <f t="shared" si="23"/>
        <v>2.7682928001525241E-2</v>
      </c>
      <c r="X26" s="3">
        <f t="shared" si="21"/>
        <v>4.0721362114611494E-3</v>
      </c>
    </row>
    <row r="27" spans="1:24" s="5" customFormat="1" x14ac:dyDescent="0.3">
      <c r="A27" s="24">
        <v>3.5000000000000003E-2</v>
      </c>
      <c r="B27" s="77">
        <f t="shared" si="4"/>
        <v>7000000.0000000009</v>
      </c>
      <c r="C27" s="78">
        <f t="shared" si="5"/>
        <v>1709521.0000000002</v>
      </c>
      <c r="D27" s="78">
        <f t="shared" si="8"/>
        <v>6362338.7076427434</v>
      </c>
      <c r="E27" s="78">
        <f t="shared" si="6"/>
        <v>1071859.7076427424</v>
      </c>
      <c r="F27" s="78">
        <f t="shared" si="16"/>
        <v>345.32672679063143</v>
      </c>
      <c r="G27" s="78">
        <f t="shared" si="17"/>
        <v>58.177003996093369</v>
      </c>
      <c r="H27" s="79">
        <f t="shared" si="9"/>
        <v>2880130557675.0469</v>
      </c>
      <c r="I27" s="80">
        <f t="shared" si="10"/>
        <v>59521177421.921738</v>
      </c>
      <c r="J27" s="9">
        <f t="shared" si="25"/>
        <v>5302905.2596643157</v>
      </c>
      <c r="K27" s="9">
        <f t="shared" si="11"/>
        <v>5062378.5330931218</v>
      </c>
      <c r="L27" s="9">
        <f t="shared" si="12"/>
        <v>1273276.4663163493</v>
      </c>
      <c r="M27" s="9">
        <f t="shared" si="13"/>
        <v>1465551.3760261913</v>
      </c>
      <c r="N27" s="81">
        <f t="shared" si="26"/>
        <v>0.90600405291606823</v>
      </c>
      <c r="O27" s="81">
        <f t="shared" si="18"/>
        <v>0.21753992999646515</v>
      </c>
      <c r="P27" s="81">
        <f t="shared" si="14"/>
        <v>0.21159397219265294</v>
      </c>
      <c r="Q27" s="81">
        <f t="shared" si="15"/>
        <v>0.78097464862076282</v>
      </c>
      <c r="R27" s="24">
        <v>3.5000000000000003E-2</v>
      </c>
      <c r="S27" s="81">
        <f t="shared" si="24"/>
        <v>0.54928194287749499</v>
      </c>
      <c r="T27" s="81">
        <f t="shared" si="22"/>
        <v>0.2145765442115011</v>
      </c>
      <c r="U27" s="81">
        <f t="shared" si="19"/>
        <v>3.634857973074563E-2</v>
      </c>
      <c r="V27" s="81">
        <f t="shared" si="20"/>
        <v>7.6703123320636044E-2</v>
      </c>
      <c r="W27" s="81">
        <f t="shared" si="23"/>
        <v>2.9964012736609161E-2</v>
      </c>
      <c r="X27" s="81">
        <f t="shared" si="21"/>
        <v>5.0758078428934728E-3</v>
      </c>
    </row>
    <row r="28" spans="1:24" x14ac:dyDescent="0.3">
      <c r="A28" s="1">
        <v>0.05</v>
      </c>
      <c r="B28" s="45">
        <f t="shared" si="4"/>
        <v>10000000</v>
      </c>
      <c r="C28" s="46">
        <f t="shared" si="5"/>
        <v>2309521</v>
      </c>
      <c r="D28" s="46">
        <f t="shared" si="8"/>
        <v>9354685.0485991091</v>
      </c>
      <c r="E28" s="46">
        <f t="shared" si="6"/>
        <v>1664206.0485991086</v>
      </c>
      <c r="F28" s="46">
        <f t="shared" si="16"/>
        <v>313.33421040867256</v>
      </c>
      <c r="G28" s="46">
        <f t="shared" si="17"/>
        <v>55.742409871215031</v>
      </c>
      <c r="H28" s="43">
        <f t="shared" si="9"/>
        <v>3221686310016.6226</v>
      </c>
      <c r="I28" s="44">
        <f t="shared" si="10"/>
        <v>104105770642.6185</v>
      </c>
      <c r="J28" s="9">
        <f t="shared" si="25"/>
        <v>8205094.3450931404</v>
      </c>
      <c r="K28" s="9">
        <f t="shared" si="11"/>
        <v>7815333.5943354974</v>
      </c>
      <c r="L28" s="9">
        <f t="shared" si="12"/>
        <v>1675295.4900580654</v>
      </c>
      <c r="M28" s="9">
        <f t="shared" si="13"/>
        <v>1986866.7413226683</v>
      </c>
      <c r="N28" s="3">
        <f t="shared" si="26"/>
        <v>1.4018445299706668</v>
      </c>
      <c r="O28" s="3">
        <f t="shared" si="18"/>
        <v>0.28622508408168307</v>
      </c>
      <c r="P28" s="3">
        <f t="shared" si="14"/>
        <v>0.21030318909577497</v>
      </c>
      <c r="Q28" s="3">
        <f t="shared" si="15"/>
        <v>0.79095005178329458</v>
      </c>
      <c r="R28" s="1">
        <v>0.05</v>
      </c>
      <c r="S28" s="3">
        <f t="shared" si="24"/>
        <v>1.0418819970214128</v>
      </c>
      <c r="T28" s="3">
        <f t="shared" si="22"/>
        <v>0.22656104421596004</v>
      </c>
      <c r="U28" s="3">
        <f t="shared" si="19"/>
        <v>2.8249894185406181E-2</v>
      </c>
      <c r="V28" s="3">
        <f t="shared" si="20"/>
        <v>0.14549104396994056</v>
      </c>
      <c r="W28" s="3">
        <f t="shared" si="23"/>
        <v>3.1637558706393919E-2</v>
      </c>
      <c r="X28" s="3">
        <f t="shared" si="21"/>
        <v>3.9448868574611011E-3</v>
      </c>
    </row>
    <row r="29" spans="1:24" x14ac:dyDescent="0.3">
      <c r="A29" s="1">
        <v>0.09</v>
      </c>
      <c r="B29" s="45">
        <f t="shared" si="4"/>
        <v>18000000</v>
      </c>
      <c r="C29" s="46">
        <f t="shared" si="5"/>
        <v>3909521</v>
      </c>
      <c r="D29" s="46">
        <f t="shared" si="8"/>
        <v>17319603.920039088</v>
      </c>
      <c r="E29" s="46">
        <f t="shared" si="6"/>
        <v>3229124.9200390894</v>
      </c>
      <c r="F29" s="46">
        <f t="shared" si="16"/>
        <v>278.47131366044891</v>
      </c>
      <c r="G29" s="46">
        <f t="shared" si="17"/>
        <v>51.919123705627328</v>
      </c>
      <c r="H29" s="43">
        <f t="shared" si="9"/>
        <v>2467676605710.5039</v>
      </c>
      <c r="I29" s="44">
        <f t="shared" si="10"/>
        <v>188678134025.68134</v>
      </c>
      <c r="J29" s="9">
        <f t="shared" si="25"/>
        <v>16429115.979548298</v>
      </c>
      <c r="K29" s="9">
        <f t="shared" si="11"/>
        <v>15617156.71832215</v>
      </c>
      <c r="L29" s="9">
        <f t="shared" si="12"/>
        <v>2826077.0794451539</v>
      </c>
      <c r="M29" s="9">
        <f t="shared" si="13"/>
        <v>3475150.0363920704</v>
      </c>
      <c r="N29" s="3">
        <f t="shared" si="26"/>
        <v>2.806922796927573</v>
      </c>
      <c r="O29" s="3">
        <f t="shared" si="18"/>
        <v>0.48283670223303132</v>
      </c>
      <c r="P29" s="3">
        <f t="shared" si="14"/>
        <v>0.21123983718815917</v>
      </c>
      <c r="Q29" s="3">
        <f t="shared" si="15"/>
        <v>0.77548642427900649</v>
      </c>
      <c r="R29" s="1">
        <v>0.09</v>
      </c>
      <c r="S29" s="3">
        <f t="shared" si="24"/>
        <v>2.4334277209818023</v>
      </c>
      <c r="T29" s="3">
        <f t="shared" si="22"/>
        <v>0.24170281090806359</v>
      </c>
      <c r="U29" s="3">
        <f t="shared" si="19"/>
        <v>2.617234644362754E-2</v>
      </c>
      <c r="V29" s="3">
        <f t="shared" si="20"/>
        <v>0.33981001741386202</v>
      </c>
      <c r="W29" s="3">
        <f t="shared" si="23"/>
        <v>3.3751993402339753E-2</v>
      </c>
      <c r="X29" s="3">
        <f t="shared" si="21"/>
        <v>3.6547728227499764E-3</v>
      </c>
    </row>
    <row r="30" spans="1:24" x14ac:dyDescent="0.3">
      <c r="A30" s="1">
        <v>0.15</v>
      </c>
      <c r="B30" s="47">
        <f t="shared" si="4"/>
        <v>30000000</v>
      </c>
      <c r="C30" s="48">
        <f t="shared" si="5"/>
        <v>6309521</v>
      </c>
      <c r="D30" s="48">
        <f t="shared" si="8"/>
        <v>29247356.215133011</v>
      </c>
      <c r="E30" s="48">
        <f t="shared" si="6"/>
        <v>5556877.2151330132</v>
      </c>
      <c r="F30" s="48">
        <f t="shared" si="16"/>
        <v>225.07443619253445</v>
      </c>
      <c r="G30" s="48">
        <f t="shared" si="17"/>
        <v>42.763215826669068</v>
      </c>
      <c r="H30" s="43">
        <f t="shared" si="9"/>
        <v>13370774288585.053</v>
      </c>
      <c r="I30" s="44">
        <f>(C30-(C13+$F$35*J13))^2</f>
        <v>79654389581.845734</v>
      </c>
      <c r="J30" s="9">
        <f t="shared" si="25"/>
        <v>33656606.936571807</v>
      </c>
      <c r="K30" s="9">
        <f t="shared" si="11"/>
        <v>31960172.065521073</v>
      </c>
      <c r="L30" s="9">
        <f t="shared" si="12"/>
        <v>5235637.2594155082</v>
      </c>
      <c r="M30" s="9">
        <f t="shared" si="13"/>
        <v>6591752.0925143538</v>
      </c>
      <c r="N30" s="3">
        <f t="shared" si="26"/>
        <v>5.7502483636427222</v>
      </c>
      <c r="O30" s="3">
        <f t="shared" si="18"/>
        <v>0.89451128095943022</v>
      </c>
      <c r="P30" s="3">
        <f t="shared" si="14"/>
        <v>0.21277671740601634</v>
      </c>
      <c r="Q30" s="3">
        <f t="shared" si="15"/>
        <v>0.79688102422343443</v>
      </c>
      <c r="R30" s="1">
        <v>0.15</v>
      </c>
      <c r="S30" s="3">
        <f t="shared" si="24"/>
        <v>5.395259052596483</v>
      </c>
      <c r="T30" s="3">
        <f t="shared" si="22"/>
        <v>0.20773601498400909</v>
      </c>
      <c r="U30" s="3">
        <f t="shared" si="19"/>
        <v>4.086493735922176E-2</v>
      </c>
      <c r="V30" s="3">
        <f t="shared" si="20"/>
        <v>0.75340765489242056</v>
      </c>
      <c r="W30" s="3">
        <f t="shared" si="23"/>
        <v>2.900878388971485E-2</v>
      </c>
      <c r="X30" s="3">
        <f t="shared" si="21"/>
        <v>5.7064834742865866E-3</v>
      </c>
    </row>
    <row r="31" spans="1:24" x14ac:dyDescent="0.3">
      <c r="D31" s="34" t="s">
        <v>111</v>
      </c>
      <c r="E31" s="49" t="s">
        <v>102</v>
      </c>
      <c r="F31" s="50">
        <f>AVERAGE(F19:F30)</f>
        <v>197.52717954019639</v>
      </c>
      <c r="G31" s="51">
        <f>AVERAGE(G19:G30)</f>
        <v>25.176568830109659</v>
      </c>
      <c r="H31" s="53" t="s">
        <v>77</v>
      </c>
      <c r="I31" s="53" t="s">
        <v>77</v>
      </c>
    </row>
    <row r="32" spans="1:24" x14ac:dyDescent="0.3">
      <c r="B32" s="8"/>
      <c r="C32" s="8"/>
      <c r="D32" s="5" t="s">
        <v>107</v>
      </c>
      <c r="E32" s="55" t="s">
        <v>98</v>
      </c>
      <c r="F32" s="56">
        <v>254.21403071085103</v>
      </c>
      <c r="G32" s="52" t="s">
        <v>112</v>
      </c>
      <c r="H32" s="64">
        <f>SUM(H19:H26)</f>
        <v>339819506154.26196</v>
      </c>
      <c r="I32" s="64">
        <f>SUM(I19:I26)</f>
        <v>182462516255.92999</v>
      </c>
      <c r="P32" t="s">
        <v>144</v>
      </c>
      <c r="Q32" t="s">
        <v>144</v>
      </c>
      <c r="R32" t="s">
        <v>145</v>
      </c>
      <c r="S32" t="s">
        <v>146</v>
      </c>
    </row>
    <row r="33" spans="3:19" x14ac:dyDescent="0.3">
      <c r="D33" s="5" t="s">
        <v>108</v>
      </c>
      <c r="E33" s="57" t="s">
        <v>99</v>
      </c>
      <c r="F33" s="58">
        <v>241.15903458297754</v>
      </c>
      <c r="G33" s="52" t="s">
        <v>113</v>
      </c>
      <c r="H33">
        <f>SUM(H19:H30)</f>
        <v>22280087268141.488</v>
      </c>
      <c r="I33">
        <f>SUM(I19:I30)</f>
        <v>614421987927.99731</v>
      </c>
      <c r="N33" s="3">
        <f>SUM(S19:U19)+P19</f>
        <v>0</v>
      </c>
      <c r="O33" s="3">
        <f>SUM(V19:X19) + P19/2</f>
        <v>0</v>
      </c>
      <c r="P33" s="76">
        <f>N19-N33</f>
        <v>0</v>
      </c>
      <c r="Q33" s="76">
        <f>O19-O33</f>
        <v>0</v>
      </c>
      <c r="R33" s="3">
        <f>N19</f>
        <v>0</v>
      </c>
      <c r="S33">
        <f>0</f>
        <v>0</v>
      </c>
    </row>
    <row r="34" spans="3:19" x14ac:dyDescent="0.3">
      <c r="D34" s="5" t="s">
        <v>109</v>
      </c>
      <c r="E34" s="57" t="s">
        <v>100</v>
      </c>
      <c r="F34" s="58">
        <v>35.49909186036939</v>
      </c>
      <c r="I34" s="63" t="s">
        <v>81</v>
      </c>
      <c r="J34" s="3">
        <v>0.21167934144832934</v>
      </c>
      <c r="L34" t="s">
        <v>148</v>
      </c>
      <c r="N34" s="3">
        <f>SUM(S20:U20)+P20/2</f>
        <v>8.1350817406507167E-2</v>
      </c>
      <c r="O34" s="3">
        <f t="shared" ref="O34:O42" si="27">SUM(V20:X20) + P20/2</f>
        <v>6.5672694237208201E-2</v>
      </c>
      <c r="P34" s="75">
        <f t="shared" ref="P34:P44" si="28">N20-N34</f>
        <v>0</v>
      </c>
      <c r="Q34" s="75">
        <f t="shared" ref="Q34:Q44" si="29">O20-O34</f>
        <v>0</v>
      </c>
      <c r="R34">
        <f t="shared" ref="R34:R42" si="30">2*P34*C3/($F$32*P20)</f>
        <v>0</v>
      </c>
      <c r="S34">
        <f t="shared" ref="S34:S44" si="31">2*Q34*C3/($F$34*P20)</f>
        <v>0</v>
      </c>
    </row>
    <row r="35" spans="3:19" x14ac:dyDescent="0.3">
      <c r="D35" s="5" t="s">
        <v>110</v>
      </c>
      <c r="E35" s="59" t="s">
        <v>101</v>
      </c>
      <c r="F35" s="61">
        <v>45.935138770965942</v>
      </c>
      <c r="H35" s="20" t="s">
        <v>121</v>
      </c>
      <c r="I35" s="63" t="s">
        <v>122</v>
      </c>
      <c r="J35">
        <v>0.10199999999999999</v>
      </c>
      <c r="L35" s="60">
        <f>O19/$J$35</f>
        <v>0</v>
      </c>
      <c r="N35" s="3">
        <f t="shared" ref="N35:N41" si="32">SUM(S21:U21)+P21/2</f>
        <v>0.1194834621643087</v>
      </c>
      <c r="O35" s="3">
        <f t="shared" si="27"/>
        <v>7.8750555052295973E-2</v>
      </c>
      <c r="P35" s="75">
        <f t="shared" si="28"/>
        <v>0</v>
      </c>
      <c r="Q35" s="75">
        <f t="shared" si="29"/>
        <v>0</v>
      </c>
      <c r="R35">
        <f t="shared" si="30"/>
        <v>0</v>
      </c>
      <c r="S35">
        <f t="shared" si="31"/>
        <v>0</v>
      </c>
    </row>
    <row r="36" spans="3:19" x14ac:dyDescent="0.3">
      <c r="H36" s="54" t="s">
        <v>116</v>
      </c>
      <c r="I36" s="54" t="s">
        <v>117</v>
      </c>
      <c r="J36" s="54" t="s">
        <v>118</v>
      </c>
      <c r="K36" s="54" t="s">
        <v>119</v>
      </c>
      <c r="L36" s="60">
        <f t="shared" ref="L36:L44" si="33">O20/$J$35</f>
        <v>0.64384994350204128</v>
      </c>
      <c r="N36" s="3">
        <f t="shared" si="32"/>
        <v>0.18433945219879561</v>
      </c>
      <c r="O36" s="3">
        <f t="shared" si="27"/>
        <v>0.10241784511014068</v>
      </c>
      <c r="P36" s="75">
        <f t="shared" si="28"/>
        <v>0</v>
      </c>
      <c r="Q36" s="75">
        <f t="shared" si="29"/>
        <v>0</v>
      </c>
      <c r="R36">
        <f t="shared" si="30"/>
        <v>0</v>
      </c>
      <c r="S36">
        <f t="shared" si="31"/>
        <v>0</v>
      </c>
    </row>
    <row r="37" spans="3:19" x14ac:dyDescent="0.3">
      <c r="G37" s="62" t="s">
        <v>120</v>
      </c>
      <c r="H37" s="60">
        <f>(J26/$C$9)*($J$34/2)</f>
        <v>0.81872558441365972</v>
      </c>
      <c r="I37" s="60">
        <f>(K26/$C$9)*($J$34/2)</f>
        <v>0.78211579219720406</v>
      </c>
      <c r="J37" s="60">
        <f>(L26/$C$9)*($J$34/2)</f>
        <v>0.20538886738047077</v>
      </c>
      <c r="K37" s="60">
        <f>(M26/$C$9)*($J$34/2)</f>
        <v>0.2346544071949476</v>
      </c>
      <c r="L37" s="60">
        <f t="shared" si="33"/>
        <v>0.77206426521858784</v>
      </c>
      <c r="N37" s="3">
        <f>SUM(S23:U23)+P23/2</f>
        <v>0.20248897210053413</v>
      </c>
      <c r="O37" s="3">
        <f>SUM(V23:X23) + P23/2</f>
        <v>0.10733575283124762</v>
      </c>
      <c r="P37" s="75">
        <f t="shared" si="28"/>
        <v>0</v>
      </c>
      <c r="Q37" s="75">
        <f t="shared" si="29"/>
        <v>0</v>
      </c>
      <c r="R37">
        <f t="shared" si="30"/>
        <v>0</v>
      </c>
      <c r="S37">
        <f t="shared" si="31"/>
        <v>0</v>
      </c>
    </row>
    <row r="38" spans="3:19" x14ac:dyDescent="0.3">
      <c r="G38" s="62" t="s">
        <v>86</v>
      </c>
      <c r="H38" s="60">
        <f>H37/$J$35</f>
        <v>8.0267214158201945</v>
      </c>
      <c r="I38" s="60">
        <f>I37/$J$35</f>
        <v>7.6678018842863152</v>
      </c>
      <c r="J38" s="60">
        <f>J37/$J$35</f>
        <v>2.0136163468673605</v>
      </c>
      <c r="K38" s="60">
        <f t="shared" ref="K38" si="34">K37/$J$35</f>
        <v>2.3005334038720355</v>
      </c>
      <c r="L38" s="60">
        <f t="shared" si="33"/>
        <v>1.0040965206876538</v>
      </c>
      <c r="M38" s="73"/>
      <c r="N38" s="3">
        <f t="shared" si="32"/>
        <v>0.39604652899671206</v>
      </c>
      <c r="O38" s="3">
        <f>SUM(V24:X24) + P24/2</f>
        <v>0.14099806286834962</v>
      </c>
      <c r="P38" s="75">
        <f t="shared" si="28"/>
        <v>0</v>
      </c>
      <c r="Q38" s="75">
        <f t="shared" si="29"/>
        <v>0</v>
      </c>
      <c r="R38">
        <f t="shared" si="30"/>
        <v>0</v>
      </c>
      <c r="S38">
        <f t="shared" si="31"/>
        <v>0</v>
      </c>
    </row>
    <row r="39" spans="3:19" x14ac:dyDescent="0.3">
      <c r="H39" s="20" t="s">
        <v>123</v>
      </c>
      <c r="I39" s="63" t="s">
        <v>122</v>
      </c>
      <c r="J39">
        <v>0.10199999999999999</v>
      </c>
      <c r="L39" s="60">
        <f>O23/$J$35</f>
        <v>1.0523113022671335</v>
      </c>
      <c r="N39" s="74">
        <f>SUM(S25:U25)+P25/2</f>
        <v>0.53789705199809656</v>
      </c>
      <c r="O39" s="74">
        <f t="shared" si="27"/>
        <v>0.1663926998259565</v>
      </c>
      <c r="P39" s="3">
        <f t="shared" si="28"/>
        <v>0</v>
      </c>
      <c r="Q39" s="3">
        <f t="shared" si="29"/>
        <v>0</v>
      </c>
      <c r="R39">
        <f t="shared" si="30"/>
        <v>0</v>
      </c>
      <c r="S39">
        <f t="shared" si="31"/>
        <v>0</v>
      </c>
    </row>
    <row r="40" spans="3:19" x14ac:dyDescent="0.3">
      <c r="H40" s="54" t="s">
        <v>116</v>
      </c>
      <c r="I40" s="54" t="s">
        <v>117</v>
      </c>
      <c r="J40" s="54" t="s">
        <v>118</v>
      </c>
      <c r="K40" s="54" t="s">
        <v>119</v>
      </c>
      <c r="L40" s="60">
        <f>O24/$J$35</f>
        <v>1.3823339496897022</v>
      </c>
      <c r="N40" s="74">
        <f t="shared" si="32"/>
        <v>0.81986090628657138</v>
      </c>
      <c r="O40" s="74">
        <f>SUM(V26:X26) + P26/2</f>
        <v>0.20567367889488875</v>
      </c>
      <c r="P40" s="3">
        <f t="shared" si="28"/>
        <v>0</v>
      </c>
      <c r="Q40" s="3">
        <f t="shared" si="29"/>
        <v>0</v>
      </c>
      <c r="R40">
        <f t="shared" si="30"/>
        <v>0</v>
      </c>
      <c r="S40">
        <f t="shared" si="31"/>
        <v>0</v>
      </c>
    </row>
    <row r="41" spans="3:19" x14ac:dyDescent="0.3">
      <c r="G41" s="62" t="s">
        <v>120</v>
      </c>
      <c r="H41" s="60">
        <f>(J25/$C$8)*($J$34/2)</f>
        <v>0.53660391711807498</v>
      </c>
      <c r="I41" s="60">
        <f t="shared" ref="I41:K41" si="35">(K25/$C$8)*($J$34/2)</f>
        <v>0.51448229954655988</v>
      </c>
      <c r="J41" s="60">
        <f>(L25/$C$8)*($J$34/2)</f>
        <v>0.16599268238186268</v>
      </c>
      <c r="K41" s="60">
        <f t="shared" si="35"/>
        <v>0.18367650522281309</v>
      </c>
      <c r="L41" s="60">
        <f>O25/$J$35</f>
        <v>1.6313009786858481</v>
      </c>
      <c r="N41" s="74">
        <f t="shared" si="32"/>
        <v>0.90600405291606823</v>
      </c>
      <c r="O41" s="74">
        <f t="shared" si="27"/>
        <v>0.21753992999646515</v>
      </c>
      <c r="P41" s="3">
        <f t="shared" si="28"/>
        <v>0</v>
      </c>
      <c r="Q41" s="3">
        <f t="shared" si="29"/>
        <v>0</v>
      </c>
      <c r="R41">
        <f t="shared" si="30"/>
        <v>0</v>
      </c>
      <c r="S41">
        <f t="shared" si="31"/>
        <v>0</v>
      </c>
    </row>
    <row r="42" spans="3:19" x14ac:dyDescent="0.3">
      <c r="G42" s="62" t="s">
        <v>86</v>
      </c>
      <c r="H42" s="60">
        <f>H41/$J$35</f>
        <v>5.2608227168438724</v>
      </c>
      <c r="I42" s="60">
        <f>I41/$J$35</f>
        <v>5.0439441132015679</v>
      </c>
      <c r="J42" s="60">
        <f>J41/$J$35</f>
        <v>1.6273792390378696</v>
      </c>
      <c r="K42" s="60">
        <f t="shared" ref="K42" si="36">K41/$J$35</f>
        <v>1.80075005120405</v>
      </c>
      <c r="L42" s="60">
        <f t="shared" si="33"/>
        <v>2.0164086166165567</v>
      </c>
      <c r="N42" s="74">
        <f>SUM(S28:U28)+P28/2</f>
        <v>1.4018445299706666</v>
      </c>
      <c r="O42" s="74">
        <f t="shared" si="27"/>
        <v>0.28622508408168307</v>
      </c>
      <c r="P42" s="75">
        <f t="shared" si="28"/>
        <v>0</v>
      </c>
      <c r="Q42" s="75">
        <f t="shared" si="29"/>
        <v>0</v>
      </c>
      <c r="R42">
        <f t="shared" si="30"/>
        <v>0</v>
      </c>
      <c r="S42">
        <f t="shared" si="31"/>
        <v>0</v>
      </c>
    </row>
    <row r="43" spans="3:19" ht="90.35" x14ac:dyDescent="0.3">
      <c r="C43" t="s">
        <v>136</v>
      </c>
      <c r="D43" s="67" t="s">
        <v>137</v>
      </c>
      <c r="L43" s="82">
        <f>O27/$J$35</f>
        <v>2.1327444117300507</v>
      </c>
      <c r="N43" s="74">
        <f>SUM(S29:U29)+P29/2</f>
        <v>2.8069227969275725</v>
      </c>
      <c r="O43" s="74">
        <f>SUM(V29:X29) + P29/2</f>
        <v>0.48283670223303132</v>
      </c>
      <c r="P43" s="3">
        <f t="shared" si="28"/>
        <v>0</v>
      </c>
      <c r="Q43" s="3">
        <f t="shared" si="29"/>
        <v>0</v>
      </c>
      <c r="R43" s="3">
        <f>N29</f>
        <v>2.806922796927573</v>
      </c>
      <c r="S43">
        <f t="shared" si="31"/>
        <v>0</v>
      </c>
    </row>
    <row r="44" spans="3:19" x14ac:dyDescent="0.3">
      <c r="L44" s="60">
        <f t="shared" si="33"/>
        <v>2.8061282753106185</v>
      </c>
      <c r="N44" s="74">
        <f>SUM(S30:U30)+P30/2</f>
        <v>5.7502483636427222</v>
      </c>
      <c r="O44" s="74">
        <f>SUM(V30:X30) + P30/2</f>
        <v>0.89451128095943022</v>
      </c>
      <c r="P44" s="3">
        <f t="shared" si="28"/>
        <v>0</v>
      </c>
      <c r="Q44" s="3">
        <f t="shared" si="29"/>
        <v>0</v>
      </c>
      <c r="R44">
        <f>2*P44*C13/($F$32*P30)</f>
        <v>0</v>
      </c>
      <c r="S44">
        <f t="shared" si="31"/>
        <v>0</v>
      </c>
    </row>
    <row r="45" spans="3:19" x14ac:dyDescent="0.3">
      <c r="D45" t="s">
        <v>124</v>
      </c>
      <c r="E45" t="s">
        <v>125</v>
      </c>
      <c r="L45" s="60">
        <f>O29/$J$35</f>
        <v>4.7336931591473661</v>
      </c>
      <c r="N45" s="3"/>
    </row>
    <row r="46" spans="3:19" ht="30.15" x14ac:dyDescent="0.3">
      <c r="C46" t="s">
        <v>126</v>
      </c>
      <c r="D46" s="65" t="s">
        <v>127</v>
      </c>
      <c r="E46" s="65" t="s">
        <v>128</v>
      </c>
      <c r="L46" s="60">
        <f>O30/$J$35</f>
        <v>8.7697184407787283</v>
      </c>
    </row>
    <row r="47" spans="3:19" ht="45.2" x14ac:dyDescent="0.3">
      <c r="D47" s="65" t="s">
        <v>129</v>
      </c>
      <c r="E47" s="65" t="s">
        <v>130</v>
      </c>
    </row>
    <row r="48" spans="3:19" ht="30.15" x14ac:dyDescent="0.3">
      <c r="D48" s="66" t="s">
        <v>131</v>
      </c>
      <c r="E48" s="65"/>
    </row>
    <row r="51" spans="3:5" ht="45.2" x14ac:dyDescent="0.3">
      <c r="C51" t="s">
        <v>132</v>
      </c>
      <c r="D51" s="65" t="s">
        <v>133</v>
      </c>
      <c r="E51" s="65" t="s">
        <v>135</v>
      </c>
    </row>
    <row r="52" spans="3:5" ht="45.2" x14ac:dyDescent="0.3">
      <c r="D52" s="65" t="s">
        <v>134</v>
      </c>
    </row>
  </sheetData>
  <pageMargins left="0.7" right="0.7" top="0.75" bottom="0.75" header="0.3" footer="0.3"/>
  <pageSetup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uptake old</vt:lpstr>
      <vt:lpstr>uptake area</vt:lpstr>
      <vt:lpstr>uptake area - peaks</vt:lpstr>
      <vt:lpstr>uptake 1</vt:lpstr>
      <vt:lpstr>verti intg uptk</vt:lpstr>
      <vt:lpstr>vert + sloped intg uptk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manolis</cp:lastModifiedBy>
  <cp:revision>2</cp:revision>
  <dcterms:created xsi:type="dcterms:W3CDTF">2017-10-27T16:51:35Z</dcterms:created>
  <dcterms:modified xsi:type="dcterms:W3CDTF">2018-05-21T14:24:10Z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WorkbookGuid">
    <vt:lpwstr>d2f0e522-5252-42f1-9377-29c4d50cb951</vt:lpwstr>
  </property>
</Properties>
</file>