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9389C999-DA48-4BAD-BC0D-00C793B46EE6}" xr6:coauthVersionLast="32" xr6:coauthVersionMax="32" xr10:uidLastSave="{00000000-0000-0000-0000-000000000000}"/>
  <bookViews>
    <workbookView xWindow="0" yWindow="0" windowWidth="25135" windowHeight="10172" tabRatio="500" activeTab="3" xr2:uid="{00000000-000D-0000-FFFF-FFFF00000000}"/>
  </bookViews>
  <sheets>
    <sheet name="uptake old" sheetId="1" r:id="rId1"/>
    <sheet name="uptake 1" sheetId="2" r:id="rId2"/>
    <sheet name="uptake area" sheetId="3" r:id="rId3"/>
    <sheet name="uptake area - peaks" sheetId="4" r:id="rId4"/>
  </sheets>
  <definedNames>
    <definedName name="solver_adj" localSheetId="2" hidden="1">'uptake area'!$E$52,'uptake area'!$F$52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'uptake area'!$C$64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4" l="1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C64" i="3" l="1"/>
  <c r="B33" i="3" l="1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A31" i="3" l="1"/>
  <c r="S12" i="3" l="1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F42" i="3" l="1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G41" i="3" l="1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H48" i="3" l="1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F21" i="3" l="1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7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<sst xmlns="http://schemas.openxmlformats.org/spreadsheetml/2006/main" count="107" uniqueCount="57">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</sst>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6" formatCode="#,##0.0"/>
    <numFmt numFmtId="167" formatCode="0.0000000"/>
  </numFmts>
  <fonts count="6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shrinkToFit="1"/>
    </xf>
    <xf numFmtId="166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E51B82-473D-44A0-8D7F-A9F62B276739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18064"/>
        <c:axId val="1905312080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83168"/>
        <c:axId val="1907485344"/>
      </c:scatterChart>
      <c:valAx>
        <c:axId val="19053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2080"/>
        <c:crosses val="autoZero"/>
        <c:crossBetween val="midCat"/>
      </c:valAx>
      <c:valAx>
        <c:axId val="19053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8064"/>
        <c:crosses val="autoZero"/>
        <c:crossBetween val="midCat"/>
      </c:valAx>
      <c:valAx>
        <c:axId val="1907485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3168"/>
        <c:crosses val="max"/>
        <c:crossBetween val="midCat"/>
      </c:valAx>
      <c:valAx>
        <c:axId val="19074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485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9044863"/>
        <c:axId val="1595246271"/>
        <c:axId val="0"/>
      </c:bar3DChart>
      <c:catAx>
        <c:axId val="18290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46271"/>
        <c:crosses val="autoZero"/>
        <c:auto val="1"/>
        <c:lblAlgn val="ctr"/>
        <c:lblOffset val="100"/>
        <c:noMultiLvlLbl val="0"/>
      </c:catAx>
      <c:valAx>
        <c:axId val="15952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22416"/>
        <c:axId val="1905324592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67648"/>
        <c:axId val="1993269824"/>
      </c:scatterChart>
      <c:valAx>
        <c:axId val="1905322416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24592"/>
        <c:crosses val="autoZero"/>
        <c:crossBetween val="midCat"/>
      </c:valAx>
      <c:valAx>
        <c:axId val="19053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22416"/>
        <c:crosses val="autoZero"/>
        <c:crossBetween val="midCat"/>
      </c:valAx>
      <c:valAx>
        <c:axId val="1993269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3267648"/>
        <c:crosses val="max"/>
        <c:crossBetween val="midCat"/>
      </c:valAx>
      <c:valAx>
        <c:axId val="19932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2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34224"/>
        <c:axId val="1828029872"/>
      </c:scatterChart>
      <c:valAx>
        <c:axId val="182803422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9872"/>
        <c:crosses val="autoZero"/>
        <c:crossBetween val="midCat"/>
      </c:valAx>
      <c:valAx>
        <c:axId val="1828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38192"/>
        <c:axId val="765881760"/>
      </c:scatterChart>
      <c:valAx>
        <c:axId val="1256838192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1760"/>
        <c:crosses val="autoZero"/>
        <c:crossBetween val="midCat"/>
      </c:valAx>
      <c:valAx>
        <c:axId val="76588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38192"/>
        <c:axId val="765881760"/>
      </c:scatterChart>
      <c:valAx>
        <c:axId val="1256838192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1760"/>
        <c:crosses val="autoZero"/>
        <c:crossBetween val="midCat"/>
      </c:valAx>
      <c:valAx>
        <c:axId val="76588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67743"/>
        <c:axId val="159999295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78879"/>
        <c:axId val="1649576287"/>
      </c:scatterChart>
      <c:valAx>
        <c:axId val="1829067743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959"/>
        <c:crosses val="autoZero"/>
        <c:crossBetween val="midCat"/>
      </c:valAx>
      <c:valAx>
        <c:axId val="1599992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67743"/>
        <c:crosses val="autoZero"/>
        <c:crossBetween val="midCat"/>
      </c:valAx>
      <c:valAx>
        <c:axId val="16495762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78879"/>
        <c:crosses val="max"/>
        <c:crossBetween val="midCat"/>
      </c:valAx>
      <c:valAx>
        <c:axId val="1649578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76287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67743"/>
        <c:axId val="159999295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78879"/>
        <c:axId val="1649576287"/>
      </c:scatterChart>
      <c:valAx>
        <c:axId val="1829067743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959"/>
        <c:crosses val="autoZero"/>
        <c:crossBetween val="midCat"/>
      </c:valAx>
      <c:valAx>
        <c:axId val="1599992959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67743"/>
        <c:crosses val="autoZero"/>
        <c:crossBetween val="midCat"/>
      </c:valAx>
      <c:valAx>
        <c:axId val="1649576287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649578879"/>
        <c:crosses val="max"/>
        <c:crossBetween val="midCat"/>
      </c:valAx>
      <c:valAx>
        <c:axId val="1649578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7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67743"/>
        <c:axId val="159999295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78879"/>
        <c:axId val="1649576287"/>
      </c:scatterChart>
      <c:valAx>
        <c:axId val="182906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959"/>
        <c:crosses val="autoZero"/>
        <c:crossBetween val="midCat"/>
      </c:valAx>
      <c:valAx>
        <c:axId val="1599992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67743"/>
        <c:crosses val="autoZero"/>
        <c:crossBetween val="midCat"/>
      </c:valAx>
      <c:valAx>
        <c:axId val="1649576287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649578879"/>
        <c:crosses val="max"/>
        <c:crossBetween val="midCat"/>
      </c:valAx>
      <c:valAx>
        <c:axId val="1649578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7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51695"/>
        <c:axId val="174424310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74005169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43103"/>
        <c:crosses val="autoZero"/>
        <c:crossBetween val="midCat"/>
      </c:valAx>
      <c:valAx>
        <c:axId val="1744243103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5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275704</xdr:colOff>
      <xdr:row>1</xdr:row>
      <xdr:rowOff>2425</xdr:rowOff>
    </xdr:from>
    <xdr:to>
      <xdr:col>23</xdr:col>
      <xdr:colOff>390004</xdr:colOff>
      <xdr:row>20</xdr:row>
      <xdr:rowOff>174568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817419</xdr:colOff>
      <xdr:row>12</xdr:row>
      <xdr:rowOff>161637</xdr:rowOff>
    </xdr:from>
    <xdr:to>
      <xdr:col>12</xdr:col>
      <xdr:colOff>374073</xdr:colOff>
      <xdr:row>26</xdr:row>
      <xdr:rowOff>189346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J4" sqref="J4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BD79-0754-4D87-9A2A-4E888AD35605}">
  <dimension ref="A1:R21"/>
  <sheetViews>
    <sheetView zoomScale="90" zoomScaleNormal="90" workbookViewId="0">
      <selection activeCell="H3" sqref="H3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7773437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34C1-2F8A-47B5-866F-6BCADFEC8399}">
  <dimension ref="A1:S64"/>
  <sheetViews>
    <sheetView zoomScale="90" zoomScaleNormal="90" workbookViewId="0">
      <selection activeCell="D49" sqref="D49:E49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21875" bestFit="1" customWidth="1"/>
    <col min="16" max="16" width="9.77734375" bestFit="1" customWidth="1"/>
    <col min="17" max="17" width="13.7773437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>(F2-$F$2)</f>
        <v>0</v>
      </c>
      <c r="N2" s="7">
        <f>(C2-$C$2)</f>
        <v>0</v>
      </c>
      <c r="O2" s="7">
        <f>(D2-$D$2)</f>
        <v>0</v>
      </c>
      <c r="P2" s="7">
        <f>(E2-$E$2)</f>
        <v>0</v>
      </c>
      <c r="Q2" s="7">
        <f>(H2-$H$2)</f>
        <v>0</v>
      </c>
      <c r="R2" s="7">
        <f>(K2-$K$2)</f>
        <v>0</v>
      </c>
      <c r="S2" s="7">
        <f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>(F3-$F$2)</f>
        <v>378316.59492356179</v>
      </c>
      <c r="N3" s="7">
        <f>(C3-$C$2)</f>
        <v>369492.7050874859</v>
      </c>
      <c r="O3" s="7">
        <f>(D3-$D$2)</f>
        <v>1123.00137455612</v>
      </c>
      <c r="P3" s="7">
        <f>(E3-$E$2)</f>
        <v>61.702380744041022</v>
      </c>
      <c r="Q3" s="7">
        <f>(H3-$H$2)</f>
        <v>209.03110248878599</v>
      </c>
      <c r="R3" s="7">
        <f>(K3-$K$2)</f>
        <v>122.090433262704</v>
      </c>
      <c r="S3" s="7">
        <f>(H3+K3-$H$2-$K$2)</f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>(F4-$F$2)</f>
        <v>456564.08049371984</v>
      </c>
      <c r="N4" s="7">
        <f>(C4-$C$2)</f>
        <v>422236.3561464579</v>
      </c>
      <c r="O4" s="7">
        <f>(D4-$D$2)</f>
        <v>2301.12185685962</v>
      </c>
      <c r="P4" s="7">
        <f>(E4-$E$2)</f>
        <v>153.49410905686699</v>
      </c>
      <c r="Q4" s="7">
        <f>(H4-$H$2)</f>
        <v>752.40722040041396</v>
      </c>
      <c r="R4" s="7">
        <f>(K4-$K$2)</f>
        <v>238.33380916618302</v>
      </c>
      <c r="S4" s="7">
        <f>(H4+K4-$H$2-$K$2)</f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>(F5-$F$2)</f>
        <v>546424.75885362271</v>
      </c>
      <c r="N5" s="7">
        <f>(C5-$C$2)</f>
        <v>521633.49715564487</v>
      </c>
      <c r="O5" s="7">
        <f>(D5-$D$2)</f>
        <v>4976.5685710838397</v>
      </c>
      <c r="P5" s="7">
        <f>(E5-$E$2)</f>
        <v>229.73054905644801</v>
      </c>
      <c r="Q5" s="7">
        <f>(H5-$H$2)</f>
        <v>1312.705675017982</v>
      </c>
      <c r="R5" s="7">
        <f>(K5-$K$2)</f>
        <v>364.232361997488</v>
      </c>
      <c r="S5" s="7">
        <f>(H5+K5-$H$2-$K$2)</f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>(F6-$F$2)</f>
        <v>582993.19896917476</v>
      </c>
      <c r="N6" s="7">
        <f>(C6-$C$2)</f>
        <v>537848.35568739695</v>
      </c>
      <c r="O6" s="7">
        <f>(D6-$D$2)</f>
        <v>5667.7215864543805</v>
      </c>
      <c r="P6" s="7">
        <f>(E6-$E$2)</f>
        <v>342.87304976849401</v>
      </c>
      <c r="Q6" s="7">
        <f>(H6-$H$2)</f>
        <v>1473.8052772607921</v>
      </c>
      <c r="R6" s="7">
        <f>(K6-$K$2)</f>
        <v>293.85917548387204</v>
      </c>
      <c r="S6" s="7">
        <f>(H6+K6-$H$2-$K$2)</f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>(F7-$F$2)</f>
        <v>655850.01726366673</v>
      </c>
      <c r="N7" s="7">
        <f>(C7-$C$2)</f>
        <v>582976.11102702294</v>
      </c>
      <c r="O7" s="7">
        <f>(D7-$D$2)</f>
        <v>13289.14960999677</v>
      </c>
      <c r="P7" s="7">
        <f>(E7-$E$2)</f>
        <v>547.75542111203504</v>
      </c>
      <c r="Q7" s="7">
        <f>(H7-$H$2)</f>
        <v>2666.8549778959418</v>
      </c>
      <c r="R7" s="7">
        <f>(K7-$K$2)</f>
        <v>545.60205098435301</v>
      </c>
      <c r="S7" s="7">
        <f>(H7+K7-$H$2-$K$2)</f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>(F8-$F$2)</f>
        <v>692757.66112320474</v>
      </c>
      <c r="N8" s="7">
        <f>(C8-$C$2)</f>
        <v>620979.88597424596</v>
      </c>
      <c r="O8" s="7">
        <f>(D8-$D$2)</f>
        <v>18131.69995798697</v>
      </c>
      <c r="P8" s="7">
        <f>(E8-$E$2)</f>
        <v>696.85043635950103</v>
      </c>
      <c r="Q8" s="7">
        <f>(H8-$H$2)</f>
        <v>3674.6650334621322</v>
      </c>
      <c r="R8" s="7">
        <f>(K8-$K$2)</f>
        <v>670.46492434112997</v>
      </c>
      <c r="S8" s="7">
        <f>(H8+K8-$H$2-$K$2)</f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>(F9-$F$2)</f>
        <v>688569.2073738958</v>
      </c>
      <c r="N9" s="7">
        <f>(C9-$C$2)</f>
        <v>620346.05421118694</v>
      </c>
      <c r="O9" s="7">
        <f>(D9-$D$2)</f>
        <v>29211.944885514167</v>
      </c>
      <c r="P9" s="7">
        <f>(E9-$E$2)</f>
        <v>909.93309697389407</v>
      </c>
      <c r="Q9" s="7">
        <f>(H9-$H$2)</f>
        <v>4564.3454663684124</v>
      </c>
      <c r="R9" s="7">
        <f>(K9-$K$2)</f>
        <v>671.41150871733191</v>
      </c>
      <c r="S9" s="7">
        <f>(H9+K9-$H$2-$K$2)</f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>(F10-$F$2)</f>
        <v>689095.27819479071</v>
      </c>
      <c r="N10" s="7">
        <f>(C10-$C$2)</f>
        <v>619237.17915069393</v>
      </c>
      <c r="O10" s="7">
        <f>(D10-$D$2)</f>
        <v>33242.740827981273</v>
      </c>
      <c r="P10" s="7">
        <f>(E10-$E$2)</f>
        <v>902.80313072230399</v>
      </c>
      <c r="Q10" s="7">
        <f>(H10-$H$2)</f>
        <v>4940.4494235946422</v>
      </c>
      <c r="R10" s="7">
        <f>(K10-$K$2)</f>
        <v>836.89631799756091</v>
      </c>
      <c r="S10" s="7">
        <f>(H10+K10-$H$2-$K$2)</f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>(F11-$F$2)</f>
        <v>697897.10451467172</v>
      </c>
      <c r="N11" s="7">
        <f>(C11-$C$2)</f>
        <v>615459.65715645498</v>
      </c>
      <c r="O11" s="7">
        <f>(D11-$D$2)</f>
        <v>50241.094344269375</v>
      </c>
      <c r="P11" s="7">
        <f>(E11-$E$2)</f>
        <v>1020.0124737153441</v>
      </c>
      <c r="Q11" s="7">
        <f>(H11-$H$2)</f>
        <v>5216.3827338111523</v>
      </c>
      <c r="R11" s="7">
        <f>(K11-$K$2)</f>
        <v>650.43070740915994</v>
      </c>
      <c r="S11" s="7">
        <f>(H11+K11-$H$2-$K$2)</f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>(F12-$F$2)</f>
        <v>684252.72730500577</v>
      </c>
      <c r="N12" s="7">
        <f>(C12-$C$2)</f>
        <v>618200.79064232192</v>
      </c>
      <c r="O12" s="7">
        <f>(D12-$D$2)</f>
        <v>100968.93317280397</v>
      </c>
      <c r="P12" s="7">
        <f>(E12-$E$2)</f>
        <v>1071.3432244094338</v>
      </c>
      <c r="Q12" s="7">
        <f>(H12-$H$2)</f>
        <v>5565.0095271128121</v>
      </c>
      <c r="R12" s="7">
        <f>(K12-$K$2)</f>
        <v>602.59686992670095</v>
      </c>
      <c r="S12" s="7">
        <f>(H12+K12-$H$2-$K$2)</f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>(F13-$F$2)</f>
        <v>703130.31549126573</v>
      </c>
      <c r="N13" s="7">
        <f>(C13-$C$2)</f>
        <v>622698.5244904859</v>
      </c>
      <c r="O13" s="7">
        <f>(D13-$D$2)</f>
        <v>204764.89592210797</v>
      </c>
      <c r="P13" s="7">
        <f>(E13-$E$2)</f>
        <v>1021.8198180778239</v>
      </c>
      <c r="Q13" s="7">
        <f>(H13-$H$2)</f>
        <v>4782.9518331509516</v>
      </c>
      <c r="R13" s="7">
        <f>(K13-$K$2)</f>
        <v>940.88175836498101</v>
      </c>
      <c r="S13" s="7">
        <f>(H13+K13-$H$2-$K$2)</f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>A2*$C$16</f>
        <v>0</v>
      </c>
      <c r="D17" s="8">
        <f>B17-N2</f>
        <v>0</v>
      </c>
      <c r="E17" s="11">
        <f>0</f>
        <v>0</v>
      </c>
      <c r="F17" s="8">
        <f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>A3*$C$16</f>
        <v>300000</v>
      </c>
      <c r="D18" s="8">
        <f>B18-N3</f>
        <v>-69492.705087485898</v>
      </c>
      <c r="E18" s="11">
        <f>D18/(O3+P3)</f>
        <v>-58.658297297182926</v>
      </c>
      <c r="F18" s="8">
        <f>N3+$E$30*(O3+P3)</f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>A4*$C$16</f>
        <v>500000</v>
      </c>
      <c r="D19" s="8">
        <f>B19-N4</f>
        <v>77763.643853542104</v>
      </c>
      <c r="E19" s="11">
        <f>D19/(O4+P4)</f>
        <v>31.680574449660305</v>
      </c>
      <c r="F19" s="8">
        <f>N4+$E$30*(O4+P4)</f>
        <v>812843.88590089721</v>
      </c>
      <c r="G19" s="8">
        <f t="shared" ref="G19:G27" si="0">(F19-B19)^2</f>
        <v>97871296945.573593</v>
      </c>
      <c r="H19" s="17">
        <f t="shared" ref="H19:H28" si="1">(B19-F19)/B19</f>
        <v>-0.62568777180179447</v>
      </c>
    </row>
    <row r="20" spans="1:17" x14ac:dyDescent="0.3">
      <c r="A20" s="1">
        <v>5.0000000000000001E-3</v>
      </c>
      <c r="B20" s="8">
        <f>A5*$C$16</f>
        <v>1000000</v>
      </c>
      <c r="D20" s="8">
        <f>B20-N5</f>
        <v>478366.50284435513</v>
      </c>
      <c r="E20" s="11">
        <f>D20/(O5+P5)</f>
        <v>91.882254900380218</v>
      </c>
      <c r="F20" s="8">
        <f>N5+$E$30*(O5+P5)</f>
        <v>1350121.4018700635</v>
      </c>
      <c r="G20" s="8">
        <f t="shared" si="0"/>
        <v>122584996047.45851</v>
      </c>
      <c r="H20" s="17">
        <f t="shared" si="1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>A6*$C$16</f>
        <v>1500000</v>
      </c>
      <c r="D21" s="8">
        <f>B21-N6</f>
        <v>962151.64431260305</v>
      </c>
      <c r="E21" s="11">
        <f>D21/(O6+P6)</f>
        <v>160.07594964301737</v>
      </c>
      <c r="F21" s="8">
        <f>N6+$E$30*(O6+P6)</f>
        <v>1494325.2774586207</v>
      </c>
      <c r="G21" s="8">
        <f t="shared" si="0"/>
        <v>32202475.921638075</v>
      </c>
      <c r="H21" s="17">
        <f t="shared" si="1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>A7*$C$16</f>
        <v>2000000</v>
      </c>
      <c r="D22" s="8">
        <f>B22-N7</f>
        <v>1417023.8889729772</v>
      </c>
      <c r="E22" s="11">
        <f>D22/(O7+P7)</f>
        <v>102.40902035441849</v>
      </c>
      <c r="F22" s="8">
        <f>N7+$E$30*(O7+P7)</f>
        <v>2784868.1253772918</v>
      </c>
      <c r="G22" s="8">
        <f t="shared" si="0"/>
        <v>616017974233.26428</v>
      </c>
      <c r="H22" s="17">
        <f t="shared" si="1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>A8*$C$16</f>
        <v>3000000</v>
      </c>
      <c r="D23" s="8">
        <f>B23-N8</f>
        <v>2379020.1140257539</v>
      </c>
      <c r="E23" s="14">
        <f>D23/(O8+P8)</f>
        <v>126.35174053229754</v>
      </c>
      <c r="F23" s="8">
        <f>N8+$E$30*(O8+P8)</f>
        <v>3617201.5599608948</v>
      </c>
      <c r="G23" s="8">
        <f t="shared" si="0"/>
        <v>380937765618.16199</v>
      </c>
      <c r="H23" s="17">
        <f t="shared" si="1"/>
        <v>-0.20573385332029825</v>
      </c>
    </row>
    <row r="24" spans="1:17" x14ac:dyDescent="0.3">
      <c r="A24" s="1">
        <v>2.5000000000000001E-2</v>
      </c>
      <c r="B24" s="8">
        <f>A9*$C$16</f>
        <v>5000000</v>
      </c>
      <c r="D24" s="8">
        <f>B24-N9</f>
        <v>4379653.9457888128</v>
      </c>
      <c r="E24" s="11">
        <f>D24/(O9+P9)</f>
        <v>145.39777195615125</v>
      </c>
      <c r="F24" s="8">
        <f>N9+$E$30*(O9+P9)</f>
        <v>5413695.6101818532</v>
      </c>
      <c r="G24" s="8">
        <f t="shared" si="0"/>
        <v>171144057883.73581</v>
      </c>
      <c r="H24" s="17">
        <f t="shared" si="1"/>
        <v>-8.2739122036370641E-2</v>
      </c>
    </row>
    <row r="25" spans="1:17" x14ac:dyDescent="0.3">
      <c r="A25" s="1">
        <v>3.5000000000000003E-2</v>
      </c>
      <c r="B25" s="8">
        <f>A10*$C$16</f>
        <v>7000000.0000000009</v>
      </c>
      <c r="D25" s="8">
        <f>B25-N10</f>
        <v>6380762.8208493069</v>
      </c>
      <c r="E25" s="11">
        <f>D25/(O10+P10)</f>
        <v>186.86956132742682</v>
      </c>
      <c r="F25" s="8">
        <f>N10+$E$30*(O10+P10)</f>
        <v>6052880.0638334574</v>
      </c>
      <c r="G25" s="8">
        <f t="shared" si="0"/>
        <v>897036173484.11743</v>
      </c>
      <c r="H25" s="17">
        <f t="shared" si="1"/>
        <v>0.13530284802379192</v>
      </c>
    </row>
    <row r="26" spans="1:17" x14ac:dyDescent="0.3">
      <c r="A26" s="1">
        <v>0.05</v>
      </c>
      <c r="B26" s="8">
        <f>A11*$C$16</f>
        <v>10000000</v>
      </c>
      <c r="D26" s="8">
        <f>B26-N11</f>
        <v>9384540.3428435456</v>
      </c>
      <c r="E26" s="11">
        <f>D26/(O11+P11)</f>
        <v>183.07330694527695</v>
      </c>
      <c r="F26" s="8">
        <f>N11+$E$30*(O11+P11)</f>
        <v>8772733.3751962651</v>
      </c>
      <c r="G26" s="8">
        <f t="shared" si="0"/>
        <v>1506183368357.1516</v>
      </c>
      <c r="H26" s="17">
        <f t="shared" si="1"/>
        <v>0.12272666248037349</v>
      </c>
    </row>
    <row r="27" spans="1:17" x14ac:dyDescent="0.3">
      <c r="A27" s="1">
        <v>0.09</v>
      </c>
      <c r="B27" s="8">
        <f>A12*$C$16</f>
        <v>18000000</v>
      </c>
      <c r="D27" s="8">
        <f>B27-N12</f>
        <v>17381799.209357679</v>
      </c>
      <c r="E27" s="11">
        <f>D27/(O12+P12)</f>
        <v>170.34253358639819</v>
      </c>
      <c r="F27" s="8">
        <f>N12+$E$30*(O12+P12)</f>
        <v>16856056.672140252</v>
      </c>
      <c r="G27" s="8">
        <f t="shared" si="0"/>
        <v>1308606337354.8352</v>
      </c>
      <c r="H27" s="17">
        <f t="shared" si="1"/>
        <v>6.3552407103319344E-2</v>
      </c>
    </row>
    <row r="28" spans="1:17" x14ac:dyDescent="0.3">
      <c r="A28" s="1">
        <v>0.15</v>
      </c>
      <c r="B28" s="8">
        <f>A13*$C$16</f>
        <v>30000000</v>
      </c>
      <c r="D28" s="8">
        <f>B28-N13</f>
        <v>29377301.475509513</v>
      </c>
      <c r="E28" s="11">
        <f>D28/(O13+P13)</f>
        <v>142.75606357700741</v>
      </c>
      <c r="F28" s="8">
        <f>N13+$E$30*(O13+P13)</f>
        <v>33369915.118732996</v>
      </c>
      <c r="G28" s="8">
        <f>(F28-B28)^2</f>
        <v>11356327907465.225</v>
      </c>
      <c r="H28" s="17">
        <f t="shared" si="1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2">A16</f>
        <v>trendline</v>
      </c>
      <c r="B33" s="5" t="str">
        <f>B16</f>
        <v>slope:</v>
      </c>
      <c r="C33" s="5">
        <f t="shared" si="2"/>
        <v>200000000</v>
      </c>
      <c r="D33" s="5" t="str">
        <f t="shared" si="2"/>
        <v>delta (slope-CO)</v>
      </c>
      <c r="E33" s="22" t="s">
        <v>30</v>
      </c>
      <c r="F33" s="23" t="s">
        <v>29</v>
      </c>
      <c r="G33" s="5" t="str">
        <f t="shared" si="2"/>
        <v>SSE (Slope vs factor)</v>
      </c>
      <c r="H33" s="5" t="str">
        <f t="shared" si="2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3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4">A3*$C$16</f>
        <v>300000</v>
      </c>
      <c r="C35" s="5"/>
      <c r="D35" s="25">
        <f t="shared" ref="D35:D44" si="5">B35-N3</f>
        <v>-69492.705087485898</v>
      </c>
      <c r="E35" s="5">
        <f>D18/(O3+P3)</f>
        <v>-58.658297297182926</v>
      </c>
      <c r="F35" s="5">
        <f>N3+$E$49*(O3+P3)</f>
        <v>547423.64933491149</v>
      </c>
      <c r="G35" s="5">
        <f t="shared" ref="G35:G47" si="6">(F35-B35)^2</f>
        <v>61218462250.205246</v>
      </c>
      <c r="H35" s="27">
        <f>(F35-B35)/B18</f>
        <v>0.82474549778303829</v>
      </c>
      <c r="I35" t="str">
        <f t="shared" ref="I35:K35" si="7">I18</f>
        <v>vert dotted line</v>
      </c>
      <c r="J35">
        <f t="shared" si="7"/>
        <v>0</v>
      </c>
      <c r="K35">
        <f t="shared" si="7"/>
        <v>650000</v>
      </c>
    </row>
    <row r="36" spans="1:11" x14ac:dyDescent="0.3">
      <c r="A36" s="24">
        <v>2.5000000000000001E-3</v>
      </c>
      <c r="B36" s="25">
        <f t="shared" si="4"/>
        <v>500000</v>
      </c>
      <c r="C36" s="5"/>
      <c r="D36" s="25">
        <f t="shared" si="5"/>
        <v>77763.643853542104</v>
      </c>
      <c r="E36" s="5">
        <f>D19/(O4+P4)</f>
        <v>31.680574449660305</v>
      </c>
      <c r="F36" s="5">
        <f>N4+$E$49*(O4+P4)</f>
        <v>790895.72320457117</v>
      </c>
      <c r="G36" s="5">
        <f t="shared" si="6"/>
        <v>84620321778.71048</v>
      </c>
      <c r="H36" s="27">
        <f t="shared" ref="H36:H45" si="8">(F36-B36)/B19</f>
        <v>0.58179144640914238</v>
      </c>
    </row>
    <row r="37" spans="1:11" x14ac:dyDescent="0.3">
      <c r="A37" s="24">
        <v>5.0000000000000001E-3</v>
      </c>
      <c r="B37" s="25">
        <f t="shared" si="4"/>
        <v>1000000</v>
      </c>
      <c r="C37" s="5"/>
      <c r="D37" s="25">
        <f t="shared" si="5"/>
        <v>478366.50284435513</v>
      </c>
      <c r="E37" s="5">
        <f>D20/(O5+P5)</f>
        <v>91.882254900380218</v>
      </c>
      <c r="F37" s="5">
        <f>N5+$E$49*(O5+P5)</f>
        <v>1303568.8243095595</v>
      </c>
      <c r="G37" s="5">
        <f t="shared" si="6"/>
        <v>92154031092.688232</v>
      </c>
      <c r="H37" s="27">
        <f t="shared" si="8"/>
        <v>0.30356882430955956</v>
      </c>
    </row>
    <row r="38" spans="1:11" x14ac:dyDescent="0.3">
      <c r="A38" s="24">
        <v>7.4999999999999997E-3</v>
      </c>
      <c r="B38" s="25">
        <f t="shared" si="4"/>
        <v>1500000</v>
      </c>
      <c r="C38" s="5"/>
      <c r="D38" s="25">
        <f t="shared" si="5"/>
        <v>962151.64431260305</v>
      </c>
      <c r="E38" s="5">
        <f>D21/(O6+P6)</f>
        <v>160.07594964301737</v>
      </c>
      <c r="F38" s="5">
        <f>N6+$E$49*(O6+P6)</f>
        <v>1440581.0214082738</v>
      </c>
      <c r="G38" s="5">
        <f t="shared" si="6"/>
        <v>3530615016.8840117</v>
      </c>
      <c r="H38" s="27">
        <f t="shared" si="8"/>
        <v>-3.961265239448411E-2</v>
      </c>
    </row>
    <row r="39" spans="1:11" x14ac:dyDescent="0.3">
      <c r="A39" s="24">
        <v>0.01</v>
      </c>
      <c r="B39" s="25">
        <f t="shared" si="4"/>
        <v>2000000</v>
      </c>
      <c r="C39" s="5"/>
      <c r="D39" s="25">
        <f t="shared" si="5"/>
        <v>1417023.8889729772</v>
      </c>
      <c r="E39" s="5">
        <f>D22/(O7+P7)</f>
        <v>102.40902035441849</v>
      </c>
      <c r="F39" s="5">
        <f>N7+$E$49*(O7+P7)</f>
        <v>2661144.2324941144</v>
      </c>
      <c r="G39" s="5">
        <f t="shared" si="6"/>
        <v>437111696160.23163</v>
      </c>
      <c r="H39" s="27">
        <f t="shared" si="8"/>
        <v>0.33057211624705723</v>
      </c>
    </row>
    <row r="40" spans="1:11" x14ac:dyDescent="0.3">
      <c r="A40" s="24">
        <v>1.4999999999999999E-2</v>
      </c>
      <c r="B40" s="25">
        <f t="shared" si="4"/>
        <v>3000000</v>
      </c>
      <c r="C40" s="5"/>
      <c r="D40" s="25">
        <f t="shared" si="5"/>
        <v>2379020.1140257539</v>
      </c>
      <c r="E40" s="28">
        <f>D23/(O8+P8)</f>
        <v>126.35174053229754</v>
      </c>
      <c r="F40" s="5">
        <f>N8+$E$49*(O8+P8)</f>
        <v>3448844.434801891</v>
      </c>
      <c r="G40" s="5">
        <f t="shared" si="6"/>
        <v>201461326652.62897</v>
      </c>
      <c r="H40" s="27">
        <f t="shared" si="8"/>
        <v>0.14961481160063034</v>
      </c>
    </row>
    <row r="41" spans="1:11" x14ac:dyDescent="0.3">
      <c r="A41" s="24">
        <v>2.5000000000000001E-2</v>
      </c>
      <c r="B41" s="25">
        <f t="shared" si="4"/>
        <v>5000000</v>
      </c>
      <c r="C41" s="5"/>
      <c r="D41" s="25">
        <f t="shared" si="5"/>
        <v>4379653.9457888128</v>
      </c>
      <c r="E41" s="5">
        <f>D24/(O9+P9)</f>
        <v>145.39777195615125</v>
      </c>
      <c r="F41" s="5">
        <f>N9+$E$49*(O9+P9)</f>
        <v>5144358.21164029</v>
      </c>
      <c r="G41" s="5">
        <f t="shared" si="6"/>
        <v>20839293267.982754</v>
      </c>
      <c r="H41" s="27">
        <f t="shared" si="8"/>
        <v>2.8871642328057997E-2</v>
      </c>
    </row>
    <row r="42" spans="1:11" x14ac:dyDescent="0.3">
      <c r="A42" s="24">
        <v>3.5000000000000003E-2</v>
      </c>
      <c r="B42" s="25">
        <f t="shared" si="4"/>
        <v>7000000.0000000009</v>
      </c>
      <c r="C42" s="5"/>
      <c r="D42" s="25">
        <f t="shared" si="5"/>
        <v>6380762.8208493069</v>
      </c>
      <c r="E42" s="5">
        <f>D25/(O10+P10)</f>
        <v>186.86956132742682</v>
      </c>
      <c r="F42" s="5">
        <f>N10+$E$49*(O10+P10)</f>
        <v>5747564.7051107893</v>
      </c>
      <c r="G42" s="5">
        <f t="shared" si="6"/>
        <v>1568594167884.2266</v>
      </c>
      <c r="H42" s="27">
        <f t="shared" si="8"/>
        <v>-0.17891932784131592</v>
      </c>
    </row>
    <row r="43" spans="1:11" x14ac:dyDescent="0.3">
      <c r="A43" s="24">
        <v>0.05</v>
      </c>
      <c r="B43" s="25">
        <f t="shared" si="4"/>
        <v>10000000</v>
      </c>
      <c r="C43" s="5"/>
      <c r="D43" s="25">
        <f t="shared" si="5"/>
        <v>9384540.3428435456</v>
      </c>
      <c r="E43" s="5">
        <f>D26/(O11+P11)</f>
        <v>183.07330694527695</v>
      </c>
      <c r="F43" s="5">
        <f>N11+$E$49*(O11+P11)</f>
        <v>8314377.7187281055</v>
      </c>
      <c r="G43" s="5">
        <f t="shared" si="6"/>
        <v>2841322475120.2656</v>
      </c>
      <c r="H43" s="27">
        <f t="shared" si="8"/>
        <v>-0.16856222812718943</v>
      </c>
    </row>
    <row r="44" spans="1:11" x14ac:dyDescent="0.3">
      <c r="A44" s="24">
        <v>0.09</v>
      </c>
      <c r="B44" s="25">
        <f t="shared" si="4"/>
        <v>18000000</v>
      </c>
      <c r="C44" s="5"/>
      <c r="D44" s="25">
        <f t="shared" si="5"/>
        <v>17381799.209357679</v>
      </c>
      <c r="E44" s="5">
        <f>D27/(O12+P12)</f>
        <v>170.34253358639819</v>
      </c>
      <c r="F44" s="5">
        <f>N12+$E$49*(O12+P12)</f>
        <v>15943654.64304813</v>
      </c>
      <c r="G44" s="5">
        <f t="shared" si="6"/>
        <v>4228556227057.5137</v>
      </c>
      <c r="H44" s="27">
        <f t="shared" si="8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>D28/(O13+P13)</f>
        <v>142.75606357700741</v>
      </c>
      <c r="F45" s="5">
        <f>N13+$E$49*(O13+P13)</f>
        <v>31529855.255795609</v>
      </c>
      <c r="G45" s="5">
        <f t="shared" si="6"/>
        <v>2340457103685.4487</v>
      </c>
      <c r="H45" s="27">
        <f t="shared" si="8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9">A29</f>
        <v>angle</v>
      </c>
      <c r="B47" s="5"/>
      <c r="C47" s="5"/>
      <c r="D47" s="5"/>
      <c r="E47" s="5"/>
      <c r="F47" s="5"/>
      <c r="G47" s="5">
        <f t="shared" si="6"/>
        <v>0</v>
      </c>
      <c r="H47" s="18" t="s">
        <v>34</v>
      </c>
    </row>
    <row r="48" spans="1:11" x14ac:dyDescent="0.3">
      <c r="A48" s="5">
        <f t="shared" ref="A48:D48" si="10">A30</f>
        <v>89.999999713521106</v>
      </c>
      <c r="B48" s="5"/>
      <c r="C48" s="5"/>
      <c r="D48" s="5" t="str">
        <f t="shared" si="10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11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11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11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11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11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11"/>
        <v>204801555830.17816</v>
      </c>
    </row>
    <row r="58" spans="1:6" x14ac:dyDescent="0.3">
      <c r="A58" s="24">
        <v>2.5000000000000001E-2</v>
      </c>
      <c r="B58" s="5">
        <f t="shared" ref="B58:B62" si="12">N9+$F$52*(O9+P9)</f>
        <v>5150286.4618376167</v>
      </c>
      <c r="C58" s="5">
        <f t="shared" si="11"/>
        <v>22586020611.669434</v>
      </c>
    </row>
    <row r="59" spans="1:6" x14ac:dyDescent="0.3">
      <c r="A59" s="24">
        <v>3.5000000000000003E-2</v>
      </c>
      <c r="B59" s="5">
        <f t="shared" si="12"/>
        <v>5754284.8481187606</v>
      </c>
      <c r="C59" s="5">
        <f t="shared" si="11"/>
        <v>1551806239626.5017</v>
      </c>
    </row>
    <row r="60" spans="1:6" x14ac:dyDescent="0.3">
      <c r="A60" s="24">
        <v>0.05</v>
      </c>
      <c r="B60" s="5">
        <f t="shared" si="12"/>
        <v>8324466.3548611365</v>
      </c>
      <c r="C60" s="5">
        <f t="shared" si="11"/>
        <v>2807412995992.3267</v>
      </c>
    </row>
    <row r="61" spans="1:6" x14ac:dyDescent="0.3">
      <c r="A61" s="24">
        <v>0.09</v>
      </c>
      <c r="B61" s="5">
        <f t="shared" si="12"/>
        <v>15963737.065831952</v>
      </c>
      <c r="C61" s="5">
        <f t="shared" si="11"/>
        <v>4146366737066.6689</v>
      </c>
    </row>
    <row r="62" spans="1:6" x14ac:dyDescent="0.3">
      <c r="A62" s="24">
        <v>0.15</v>
      </c>
      <c r="B62" s="5">
        <f t="shared" si="12"/>
        <v>31570355.889219034</v>
      </c>
      <c r="C62" s="5">
        <f t="shared" si="11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D93E-70C1-44CF-AD24-4422BB70BCE2}">
  <dimension ref="A1:Q29"/>
  <sheetViews>
    <sheetView tabSelected="1" zoomScale="90" zoomScaleNormal="90" workbookViewId="0">
      <selection activeCell="F15" sqref="F15"/>
    </sheetView>
  </sheetViews>
  <sheetFormatPr defaultRowHeight="15.05" x14ac:dyDescent="0.3"/>
  <cols>
    <col min="2" max="2" width="13" customWidth="1"/>
    <col min="4" max="4" width="7.44140625" bestFit="1" customWidth="1"/>
    <col min="5" max="5" width="11.77734375" bestFit="1" customWidth="1"/>
    <col min="6" max="6" width="12.21875" bestFit="1" customWidth="1"/>
    <col min="7" max="7" width="7.441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21875" bestFit="1" customWidth="1"/>
    <col min="13" max="13" width="13.109375" bestFit="1" customWidth="1"/>
    <col min="15" max="15" width="14.2187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29" si="1">L3-Q3</f>
        <v>118932.62498632673</v>
      </c>
      <c r="N3" s="7">
        <f>G3*$B$15</f>
        <v>9267.0955240787371</v>
      </c>
      <c r="O3" s="7">
        <f t="shared" ref="O3:O13" si="2">H3*$B$15</f>
        <v>31394.431963699408</v>
      </c>
      <c r="P3" s="7">
        <f t="shared" ref="P3:P13" si="3">I3*$B$15</f>
        <v>18336.79177332078</v>
      </c>
      <c r="Q3" s="7">
        <f t="shared" ref="Q3:Q13" si="4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>G4*$B$15</f>
        <v>23053.317454865304</v>
      </c>
      <c r="O4" s="7">
        <f t="shared" si="2"/>
        <v>113004.22285781233</v>
      </c>
      <c r="P4" s="7">
        <f t="shared" si="3"/>
        <v>35795.412584203645</v>
      </c>
      <c r="Q4" s="7">
        <f t="shared" si="4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>G5*$B$15</f>
        <v>34503.286862407891</v>
      </c>
      <c r="O5" s="7">
        <f t="shared" si="2"/>
        <v>197155.58360471763</v>
      </c>
      <c r="P5" s="7">
        <f t="shared" si="3"/>
        <v>54704.146758835202</v>
      </c>
      <c r="Q5" s="7">
        <f t="shared" si="4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>G6*$B$15</f>
        <v>51496.186476462688</v>
      </c>
      <c r="O6" s="7">
        <f t="shared" si="2"/>
        <v>221351.17192517949</v>
      </c>
      <c r="P6" s="7">
        <f t="shared" si="3"/>
        <v>44134.780813932484</v>
      </c>
      <c r="Q6" s="7">
        <f t="shared" si="4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>G7*$B$15</f>
        <v>82267.519503571733</v>
      </c>
      <c r="O7" s="7">
        <f t="shared" si="2"/>
        <v>400535.59572599415</v>
      </c>
      <c r="P7" s="7">
        <f t="shared" si="3"/>
        <v>81944.104321997002</v>
      </c>
      <c r="Q7" s="7">
        <f t="shared" si="4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>G8*$B$15</f>
        <v>104660.13599261508</v>
      </c>
      <c r="O8" s="7">
        <f t="shared" si="2"/>
        <v>551898.83232138201</v>
      </c>
      <c r="P8" s="7">
        <f t="shared" si="3"/>
        <v>100697.28954524218</v>
      </c>
      <c r="Q8" s="7">
        <f t="shared" si="4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>G9*$B$15</f>
        <v>136663.07245352521</v>
      </c>
      <c r="O9" s="7">
        <f t="shared" si="2"/>
        <v>685520.1522482062</v>
      </c>
      <c r="P9" s="7">
        <f t="shared" si="3"/>
        <v>100839.4572822093</v>
      </c>
      <c r="Q9" s="7">
        <f t="shared" si="4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>G10*$B$15</f>
        <v>135592.22109349363</v>
      </c>
      <c r="O10" s="7">
        <f t="shared" si="2"/>
        <v>742007.29677278933</v>
      </c>
      <c r="P10" s="7">
        <f t="shared" si="3"/>
        <v>125693.66091084221</v>
      </c>
      <c r="Q10" s="7">
        <f t="shared" si="4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>G11*$B$15</f>
        <v>153195.92073576248</v>
      </c>
      <c r="O11" s="7">
        <f t="shared" si="2"/>
        <v>783449.78753597767</v>
      </c>
      <c r="P11" s="7">
        <f t="shared" si="3"/>
        <v>97688.3456468074</v>
      </c>
      <c r="Q11" s="7">
        <f t="shared" si="4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>G12*$B$15</f>
        <v>160905.29862797193</v>
      </c>
      <c r="O12" s="7">
        <f t="shared" si="2"/>
        <v>835810.1301487179</v>
      </c>
      <c r="P12" s="7">
        <f t="shared" si="3"/>
        <v>90504.169997701421</v>
      </c>
      <c r="Q12" s="7">
        <f t="shared" si="4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>G13*$B$15</f>
        <v>153467.36622376536</v>
      </c>
      <c r="O13" s="7">
        <f t="shared" si="2"/>
        <v>718352.69547776761</v>
      </c>
      <c r="P13" s="7">
        <f t="shared" si="3"/>
        <v>141311.25941155062</v>
      </c>
      <c r="Q13" s="7">
        <f t="shared" si="4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>P2/$M$13</f>
        <v>0</v>
      </c>
      <c r="F18" s="17">
        <f>O2/$M$13</f>
        <v>0</v>
      </c>
      <c r="G18" s="17">
        <f>M2/$M$13</f>
        <v>7.1396598012518938E-20</v>
      </c>
      <c r="M18" s="7"/>
    </row>
    <row r="19" spans="1:13" x14ac:dyDescent="0.3">
      <c r="A19" s="1">
        <v>1.5E-3</v>
      </c>
      <c r="B19" s="7">
        <f t="shared" ref="B19:B29" si="5">SUM(E3,L3,N3)</f>
        <v>547423.64933491149</v>
      </c>
      <c r="D19" s="1">
        <v>1.5E-3</v>
      </c>
      <c r="E19" s="17">
        <f>P3/$M$13</f>
        <v>6.1339319552023439E-4</v>
      </c>
      <c r="F19" s="17">
        <f>O3/$M$13</f>
        <v>1.0501908502759158E-3</v>
      </c>
      <c r="G19" s="17">
        <f>M3/$M$13</f>
        <v>3.9784747405004197E-3</v>
      </c>
      <c r="M19" s="7"/>
    </row>
    <row r="20" spans="1:13" x14ac:dyDescent="0.3">
      <c r="A20" s="1">
        <v>2.5000000000000001E-3</v>
      </c>
      <c r="B20" s="7">
        <f t="shared" si="5"/>
        <v>790895.72320457117</v>
      </c>
      <c r="D20" s="1">
        <v>2.5000000000000001E-3</v>
      </c>
      <c r="E20" s="17">
        <f>P4/$M$13</f>
        <v>1.1974102548263572E-3</v>
      </c>
      <c r="F20" s="17">
        <f>O4/$M$13</f>
        <v>3.7801607949153877E-3</v>
      </c>
      <c r="G20" s="17">
        <f>M4/$M$13</f>
        <v>6.5834698225061741E-3</v>
      </c>
      <c r="M20" s="7"/>
    </row>
    <row r="21" spans="1:13" x14ac:dyDescent="0.3">
      <c r="A21" s="1">
        <v>5.0000000000000001E-3</v>
      </c>
      <c r="B21" s="7">
        <f t="shared" si="5"/>
        <v>1303568.8243095595</v>
      </c>
      <c r="D21" s="1">
        <v>5.0000000000000001E-3</v>
      </c>
      <c r="E21" s="17">
        <f>P5/$M$13</f>
        <v>1.829935781756057E-3</v>
      </c>
      <c r="F21" s="17">
        <f>O5/$M$13</f>
        <v>6.5951500642499484E-3</v>
      </c>
      <c r="G21" s="17">
        <f>M5/$M$13</f>
        <v>1.6577637274603846E-2</v>
      </c>
      <c r="M21" s="7"/>
    </row>
    <row r="22" spans="1:13" x14ac:dyDescent="0.3">
      <c r="A22" s="1">
        <v>7.4999999999999997E-3</v>
      </c>
      <c r="B22" s="7">
        <f t="shared" si="5"/>
        <v>1440581.0214082741</v>
      </c>
      <c r="D22" s="1">
        <v>7.4999999999999997E-3</v>
      </c>
      <c r="E22" s="17">
        <f>P6/$M$13</f>
        <v>1.4763746336712892E-3</v>
      </c>
      <c r="F22" s="17">
        <f>O6/$M$13</f>
        <v>7.4045287942289713E-3</v>
      </c>
      <c r="G22" s="17">
        <f>M6/$M$13</f>
        <v>1.9594233913563117E-2</v>
      </c>
      <c r="M22" s="7"/>
    </row>
    <row r="23" spans="1:13" x14ac:dyDescent="0.3">
      <c r="A23" s="1">
        <v>0.01</v>
      </c>
      <c r="B23" s="7">
        <f t="shared" si="5"/>
        <v>2661144.232494114</v>
      </c>
      <c r="D23" s="1">
        <v>0.01</v>
      </c>
      <c r="E23" s="17">
        <f>P7/$M$13</f>
        <v>2.7411532303728845E-3</v>
      </c>
      <c r="F23" s="17">
        <f>O7/$M$13</f>
        <v>1.3398516600893634E-2</v>
      </c>
      <c r="G23" s="17">
        <f>M7/$M$13</f>
        <v>5.0626199755605485E-2</v>
      </c>
      <c r="M23" s="7"/>
    </row>
    <row r="24" spans="1:13" x14ac:dyDescent="0.3">
      <c r="A24" s="1">
        <v>1.4999999999999999E-2</v>
      </c>
      <c r="B24" s="7">
        <f t="shared" si="5"/>
        <v>3448844.434801891</v>
      </c>
      <c r="D24" s="1">
        <v>1.4999999999999999E-2</v>
      </c>
      <c r="E24" s="17">
        <f>P8/$M$13</f>
        <v>3.3684754115084997E-3</v>
      </c>
      <c r="F24" s="17">
        <f>O8/$M$13</f>
        <v>1.846184395538843E-2</v>
      </c>
      <c r="G24" s="17">
        <f>M8/$M$13</f>
        <v>6.9264953868088119E-2</v>
      </c>
      <c r="M24" s="7"/>
    </row>
    <row r="25" spans="1:13" x14ac:dyDescent="0.3">
      <c r="A25" s="1">
        <v>2.5000000000000001E-2</v>
      </c>
      <c r="B25" s="7">
        <f t="shared" si="5"/>
        <v>5144358.21164029</v>
      </c>
      <c r="D25" s="1">
        <v>2.5000000000000001E-2</v>
      </c>
      <c r="E25" s="17">
        <f>P9/$M$13</f>
        <v>3.373231135604414E-3</v>
      </c>
      <c r="F25" s="17">
        <f>O9/$M$13</f>
        <v>2.2931677579108689E-2</v>
      </c>
      <c r="G25" s="17">
        <f>M9/$M$13</f>
        <v>0.12045850052089153</v>
      </c>
      <c r="M25" s="7"/>
    </row>
    <row r="26" spans="1:13" x14ac:dyDescent="0.3">
      <c r="A26" s="1">
        <v>3.5000000000000003E-2</v>
      </c>
      <c r="B26" s="7">
        <f t="shared" si="5"/>
        <v>5747564.7051107883</v>
      </c>
      <c r="D26" s="1">
        <v>3.5000000000000003E-2</v>
      </c>
      <c r="E26" s="17">
        <f>P10/$M$13</f>
        <v>4.2046415357628068E-3</v>
      </c>
      <c r="F26" s="17">
        <f>O10/$M$13</f>
        <v>2.4821257311161918E-2</v>
      </c>
      <c r="G26" s="17">
        <f>M10/$M$13</f>
        <v>0.13798858770544112</v>
      </c>
      <c r="M26" s="7"/>
    </row>
    <row r="27" spans="1:13" x14ac:dyDescent="0.3">
      <c r="A27" s="1">
        <v>0.05</v>
      </c>
      <c r="B27" s="7">
        <f t="shared" si="5"/>
        <v>8314377.7187281055</v>
      </c>
      <c r="D27" s="1">
        <v>0.05</v>
      </c>
      <c r="E27" s="17">
        <f>P11/$M$13</f>
        <v>3.2678217237850356E-3</v>
      </c>
      <c r="F27" s="17">
        <f>O11/$M$13</f>
        <v>2.6207570803391003E-2</v>
      </c>
      <c r="G27" s="17">
        <f>M11/$M$13</f>
        <v>0.22294033393645563</v>
      </c>
      <c r="M27" s="7"/>
    </row>
    <row r="28" spans="1:13" x14ac:dyDescent="0.3">
      <c r="A28" s="1">
        <v>0.09</v>
      </c>
      <c r="B28" s="7">
        <f t="shared" si="5"/>
        <v>15943654.643048132</v>
      </c>
      <c r="D28" s="1">
        <v>0.09</v>
      </c>
      <c r="E28" s="17">
        <f>P12/$M$13</f>
        <v>3.0275002698982459E-3</v>
      </c>
      <c r="F28" s="17">
        <f>O12/$M$13</f>
        <v>2.7959102820049039E-2</v>
      </c>
      <c r="G28" s="17">
        <f>M12/$M$13</f>
        <v>0.47629029741765888</v>
      </c>
      <c r="M28" s="7"/>
    </row>
    <row r="29" spans="1:13" x14ac:dyDescent="0.3">
      <c r="A29" s="1">
        <v>0.15</v>
      </c>
      <c r="B29" s="7">
        <f t="shared" si="5"/>
        <v>31529855.255795609</v>
      </c>
      <c r="D29" s="1">
        <v>0.15</v>
      </c>
      <c r="E29" s="17">
        <f>P13/$M$13</f>
        <v>4.7270736367064203E-3</v>
      </c>
      <c r="F29" s="17">
        <f>O13/$M$13</f>
        <v>2.4029975408827117E-2</v>
      </c>
      <c r="G29" s="17">
        <f>M13/$M$13</f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uptake old</vt:lpstr>
      <vt:lpstr>uptake 1</vt:lpstr>
      <vt:lpstr>uptake area</vt:lpstr>
      <vt:lpstr>uptake area - 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2018-04-24T04:34:17Z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