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FD8B829B-5A2A-4E0C-9504-0DB069EF092A}" xr6:coauthVersionLast="33" xr6:coauthVersionMax="33" xr10:uidLastSave="{00000000-0000-0000-0000-000000000000}"/>
  <bookViews>
    <workbookView xWindow="0" yWindow="0" windowWidth="14138" windowHeight="10172" tabRatio="500" firstSheet="4" activeTab="5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externalReferences>
    <externalReference r:id="rId7"/>
  </externalReferences>
  <definedNames>
    <definedName name="solver_adj" localSheetId="1" hidden="1">'uptake area'!$E$52,'uptake area'!$F$52</definedName>
    <definedName name="solver_adj" localSheetId="5" hidden="1">'vert + sloped intg uptk'!$F$32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uptk'!$H$32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7" l="1"/>
  <c r="L40" i="7"/>
  <c r="L39" i="7"/>
  <c r="L43" i="7"/>
  <c r="J41" i="7"/>
  <c r="J42" i="7"/>
  <c r="L46" i="7"/>
  <c r="L45" i="7"/>
  <c r="L36" i="7"/>
  <c r="L37" i="7"/>
  <c r="L38" i="7"/>
  <c r="L42" i="7"/>
  <c r="L44" i="7"/>
  <c r="L35" i="7"/>
  <c r="O26" i="7"/>
  <c r="J37" i="7"/>
  <c r="J38" i="7"/>
  <c r="O38" i="7"/>
  <c r="M7" i="7"/>
  <c r="W21" i="7"/>
  <c r="T21" i="7"/>
  <c r="S21" i="7"/>
  <c r="N20" i="7" l="1"/>
  <c r="N21" i="7"/>
  <c r="N22" i="7"/>
  <c r="N23" i="7"/>
  <c r="N24" i="7"/>
  <c r="N25" i="7"/>
  <c r="N26" i="7"/>
  <c r="N27" i="7"/>
  <c r="N28" i="7"/>
  <c r="N29" i="7"/>
  <c r="N30" i="7"/>
  <c r="J22" i="7"/>
  <c r="J24" i="7"/>
  <c r="J25" i="7"/>
  <c r="J26" i="7"/>
  <c r="J27" i="7"/>
  <c r="J28" i="7"/>
  <c r="J29" i="7"/>
  <c r="J30" i="7"/>
  <c r="J19" i="7"/>
  <c r="J20" i="7"/>
  <c r="J21" i="7"/>
  <c r="J23" i="7"/>
  <c r="S5" i="7"/>
  <c r="O21" i="7" l="1"/>
  <c r="O22" i="7"/>
  <c r="O23" i="7"/>
  <c r="O24" i="7"/>
  <c r="O25" i="7"/>
  <c r="O27" i="7"/>
  <c r="O28" i="7"/>
  <c r="O29" i="7"/>
  <c r="O30" i="7"/>
  <c r="O20" i="7"/>
  <c r="X21" i="7"/>
  <c r="X22" i="7"/>
  <c r="X23" i="7"/>
  <c r="X24" i="7"/>
  <c r="X25" i="7"/>
  <c r="X26" i="7"/>
  <c r="X27" i="7"/>
  <c r="X28" i="7"/>
  <c r="X29" i="7"/>
  <c r="X30" i="7"/>
  <c r="X20" i="7"/>
  <c r="W22" i="7"/>
  <c r="W23" i="7"/>
  <c r="W24" i="7"/>
  <c r="W25" i="7"/>
  <c r="W26" i="7"/>
  <c r="W27" i="7"/>
  <c r="W28" i="7"/>
  <c r="W29" i="7"/>
  <c r="W30" i="7"/>
  <c r="W20" i="7"/>
  <c r="V21" i="7"/>
  <c r="V22" i="7"/>
  <c r="V23" i="7"/>
  <c r="V24" i="7"/>
  <c r="V25" i="7"/>
  <c r="V26" i="7"/>
  <c r="V27" i="7"/>
  <c r="V28" i="7"/>
  <c r="V29" i="7"/>
  <c r="V30" i="7"/>
  <c r="V20" i="7"/>
  <c r="U21" i="7"/>
  <c r="U22" i="7"/>
  <c r="U23" i="7"/>
  <c r="U24" i="7"/>
  <c r="U25" i="7"/>
  <c r="U26" i="7"/>
  <c r="U27" i="7"/>
  <c r="U28" i="7"/>
  <c r="U29" i="7"/>
  <c r="U30" i="7"/>
  <c r="U20" i="7"/>
  <c r="T22" i="7"/>
  <c r="T23" i="7"/>
  <c r="T24" i="7"/>
  <c r="T25" i="7"/>
  <c r="T26" i="7"/>
  <c r="T27" i="7"/>
  <c r="T28" i="7"/>
  <c r="T29" i="7"/>
  <c r="T30" i="7"/>
  <c r="T20" i="7"/>
  <c r="S20" i="7"/>
  <c r="S22" i="7"/>
  <c r="S23" i="7"/>
  <c r="S24" i="7"/>
  <c r="S25" i="7"/>
  <c r="S26" i="7"/>
  <c r="S27" i="7"/>
  <c r="S28" i="7"/>
  <c r="S29" i="7"/>
  <c r="S30" i="7"/>
  <c r="P19" i="7"/>
  <c r="J4" i="7" l="1"/>
  <c r="O33" i="7"/>
  <c r="O34" i="7"/>
  <c r="O35" i="7"/>
  <c r="O36" i="7"/>
  <c r="O37" i="7"/>
  <c r="Q38" i="7"/>
  <c r="Q33" i="7"/>
  <c r="Q20" i="7"/>
  <c r="Q21" i="7"/>
  <c r="Q22" i="7"/>
  <c r="Q23" i="7"/>
  <c r="Q24" i="7"/>
  <c r="Q25" i="7"/>
  <c r="Q26" i="7"/>
  <c r="Q27" i="7"/>
  <c r="Q28" i="7"/>
  <c r="Q29" i="7"/>
  <c r="Q30" i="7"/>
  <c r="Q19" i="7"/>
  <c r="S33" i="7" l="1"/>
  <c r="R33" i="7"/>
  <c r="G3" i="7"/>
  <c r="T2" i="7" l="1"/>
  <c r="J38" i="5" l="1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P21" i="7" s="1"/>
  <c r="B5" i="7"/>
  <c r="C5" i="7"/>
  <c r="P22" i="7" s="1"/>
  <c r="B6" i="7"/>
  <c r="C6" i="7"/>
  <c r="P23" i="7" s="1"/>
  <c r="B7" i="7"/>
  <c r="C7" i="7"/>
  <c r="P24" i="7" s="1"/>
  <c r="B8" i="7"/>
  <c r="C8" i="7"/>
  <c r="P25" i="7" s="1"/>
  <c r="B9" i="7"/>
  <c r="C9" i="7"/>
  <c r="P26" i="7" s="1"/>
  <c r="B10" i="7"/>
  <c r="C10" i="7"/>
  <c r="P27" i="7" s="1"/>
  <c r="B11" i="7"/>
  <c r="C11" i="7"/>
  <c r="P28" i="7" s="1"/>
  <c r="B12" i="7"/>
  <c r="C12" i="7"/>
  <c r="P29" i="7" s="1"/>
  <c r="B13" i="7"/>
  <c r="C13" i="7"/>
  <c r="P30" i="7" s="1"/>
  <c r="D1" i="7"/>
  <c r="G1" i="7"/>
  <c r="H1" i="7"/>
  <c r="I1" i="7"/>
  <c r="D2" i="7"/>
  <c r="G2" i="7"/>
  <c r="H2" i="7"/>
  <c r="I2" i="7"/>
  <c r="D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E3" i="7"/>
  <c r="E4" i="7"/>
  <c r="E5" i="7"/>
  <c r="E6" i="7"/>
  <c r="E7" i="7"/>
  <c r="E8" i="7"/>
  <c r="E9" i="7"/>
  <c r="E10" i="7"/>
  <c r="E11" i="7"/>
  <c r="E12" i="7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N36" i="7" l="1"/>
  <c r="P20" i="7"/>
  <c r="M12" i="7"/>
  <c r="N43" i="7"/>
  <c r="N39" i="7"/>
  <c r="M4" i="7"/>
  <c r="N35" i="7"/>
  <c r="N42" i="7"/>
  <c r="O42" i="7"/>
  <c r="N38" i="7"/>
  <c r="O40" i="7"/>
  <c r="N37" i="7"/>
  <c r="N41" i="7"/>
  <c r="O41" i="7"/>
  <c r="O44" i="7"/>
  <c r="N44" i="7"/>
  <c r="O43" i="7"/>
  <c r="N40" i="7"/>
  <c r="O39" i="7"/>
  <c r="M11" i="7"/>
  <c r="M3" i="7"/>
  <c r="O8" i="7"/>
  <c r="M8" i="7"/>
  <c r="J10" i="7"/>
  <c r="M27" i="7" s="1"/>
  <c r="M10" i="7"/>
  <c r="J6" i="7"/>
  <c r="M23" i="7" s="1"/>
  <c r="M6" i="7"/>
  <c r="J2" i="7"/>
  <c r="K2" i="7" s="1"/>
  <c r="D19" i="7" s="1"/>
  <c r="M2" i="7"/>
  <c r="H22" i="7"/>
  <c r="K28" i="7"/>
  <c r="M21" i="7"/>
  <c r="M13" i="7"/>
  <c r="M9" i="7"/>
  <c r="M5" i="7"/>
  <c r="H29" i="7"/>
  <c r="J12" i="7"/>
  <c r="J9" i="7"/>
  <c r="K9" i="7" s="1"/>
  <c r="E26" i="7" s="1"/>
  <c r="G26" i="7" s="1"/>
  <c r="J8" i="7"/>
  <c r="K25" i="7" s="1"/>
  <c r="I41" i="7" s="1"/>
  <c r="I42" i="7" s="1"/>
  <c r="J5" i="7"/>
  <c r="K5" i="7" s="1"/>
  <c r="E22" i="7" s="1"/>
  <c r="G22" i="7" s="1"/>
  <c r="I21" i="7"/>
  <c r="K4" i="7"/>
  <c r="E21" i="7" s="1"/>
  <c r="G21" i="7" s="1"/>
  <c r="K6" i="7"/>
  <c r="E23" i="7" s="1"/>
  <c r="G23" i="7" s="1"/>
  <c r="D22" i="7"/>
  <c r="F22" i="7" s="1"/>
  <c r="D23" i="7"/>
  <c r="F23" i="7" s="1"/>
  <c r="J13" i="7"/>
  <c r="J11" i="7"/>
  <c r="M28" i="7" s="1"/>
  <c r="J7" i="7"/>
  <c r="H24" i="7" s="1"/>
  <c r="J3" i="7"/>
  <c r="M20" i="7" s="1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R43" i="7" l="1"/>
  <c r="P43" i="7"/>
  <c r="N34" i="7"/>
  <c r="K8" i="7"/>
  <c r="E25" i="7" s="1"/>
  <c r="G25" i="7" s="1"/>
  <c r="P44" i="7"/>
  <c r="R44" i="7" s="1"/>
  <c r="K12" i="7"/>
  <c r="E29" i="7" s="1"/>
  <c r="G29" i="7" s="1"/>
  <c r="P37" i="7"/>
  <c r="R37" i="7" s="1"/>
  <c r="N33" i="7"/>
  <c r="P33" i="7" s="1"/>
  <c r="L20" i="7"/>
  <c r="Q34" i="7" s="1"/>
  <c r="S34" i="7" s="1"/>
  <c r="K10" i="7"/>
  <c r="P41" i="7"/>
  <c r="R41" i="7" s="1"/>
  <c r="L24" i="7"/>
  <c r="S38" i="7" s="1"/>
  <c r="M25" i="7"/>
  <c r="K41" i="7" s="1"/>
  <c r="K42" i="7" s="1"/>
  <c r="L30" i="7"/>
  <c r="Q44" i="7" s="1"/>
  <c r="S44" i="7" s="1"/>
  <c r="H26" i="7"/>
  <c r="I26" i="7"/>
  <c r="M22" i="7"/>
  <c r="L27" i="7"/>
  <c r="Q41" i="7" s="1"/>
  <c r="S41" i="7" s="1"/>
  <c r="K29" i="7"/>
  <c r="H30" i="7"/>
  <c r="K26" i="7"/>
  <c r="I37" i="7" s="1"/>
  <c r="I38" i="7" s="1"/>
  <c r="L21" i="7"/>
  <c r="Q35" i="7" s="1"/>
  <c r="S35" i="7" s="1"/>
  <c r="I27" i="7"/>
  <c r="I20" i="7"/>
  <c r="I25" i="7"/>
  <c r="M24" i="7"/>
  <c r="L19" i="7"/>
  <c r="I19" i="7"/>
  <c r="H21" i="7"/>
  <c r="K30" i="7"/>
  <c r="M29" i="7"/>
  <c r="K20" i="7"/>
  <c r="P38" i="7"/>
  <c r="R38" i="7" s="1"/>
  <c r="H19" i="7"/>
  <c r="H28" i="7"/>
  <c r="M26" i="7"/>
  <c r="K37" i="7" s="1"/>
  <c r="K38" i="7" s="1"/>
  <c r="M19" i="7"/>
  <c r="P35" i="7"/>
  <c r="R35" i="7" s="1"/>
  <c r="H23" i="7"/>
  <c r="P36" i="7"/>
  <c r="R36" i="7" s="1"/>
  <c r="L25" i="7"/>
  <c r="K19" i="7"/>
  <c r="I24" i="7"/>
  <c r="I29" i="7"/>
  <c r="L26" i="7"/>
  <c r="H25" i="7"/>
  <c r="H20" i="7"/>
  <c r="L22" i="7"/>
  <c r="Q36" i="7" s="1"/>
  <c r="S36" i="7" s="1"/>
  <c r="K24" i="7"/>
  <c r="P42" i="7"/>
  <c r="R42" i="7" s="1"/>
  <c r="M30" i="7"/>
  <c r="K21" i="7"/>
  <c r="H27" i="7"/>
  <c r="L28" i="7"/>
  <c r="Q42" i="7" s="1"/>
  <c r="S42" i="7" s="1"/>
  <c r="L29" i="7"/>
  <c r="Q43" i="7" s="1"/>
  <c r="S43" i="7" s="1"/>
  <c r="K23" i="7"/>
  <c r="I28" i="7"/>
  <c r="L23" i="7"/>
  <c r="Q37" i="7" s="1"/>
  <c r="S37" i="7" s="1"/>
  <c r="K22" i="7"/>
  <c r="I30" i="7"/>
  <c r="I23" i="7"/>
  <c r="K27" i="7"/>
  <c r="I22" i="7"/>
  <c r="D26" i="7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P34" i="7" l="1"/>
  <c r="R34" i="7" s="1"/>
  <c r="H41" i="7"/>
  <c r="H42" i="7" s="1"/>
  <c r="P39" i="7"/>
  <c r="R39" i="7" s="1"/>
  <c r="N8" i="7"/>
  <c r="Q39" i="7"/>
  <c r="S39" i="7" s="1"/>
  <c r="Q40" i="7"/>
  <c r="S40" i="7" s="1"/>
  <c r="H38" i="7"/>
  <c r="P40" i="7"/>
  <c r="R40" i="7" s="1"/>
  <c r="H37" i="7"/>
  <c r="H32" i="7"/>
  <c r="H33" i="7"/>
  <c r="D30" i="7"/>
  <c r="F30" i="7" s="1"/>
  <c r="I32" i="7"/>
  <c r="I33" i="7"/>
  <c r="E27" i="7"/>
  <c r="G27" i="7" s="1"/>
  <c r="G31" i="7" s="1"/>
  <c r="D27" i="7"/>
  <c r="F27" i="7" s="1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13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<sst xmlns="http://schemas.openxmlformats.org/spreadsheetml/2006/main" count="256" uniqueCount="149">
  <si>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</si>
  <si>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</si>
  <si>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</si>
  <si>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</si>
  <si>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</si>
  <si>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</si>
  <si>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</si>
  <si>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</si>
  <si>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</si>
  <si>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</si>
  <si>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</si>
  <si>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</si>
  <si>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</si>
  <si>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</si>
  <si>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</si>
  <si>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</si>
  <si>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</si>
  <si>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</si>
  <si>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</si>
  <si>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</si>
  <si>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</si>
  <si>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</si>
  <si>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</si>
  <si>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</si>
  <si>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</si>
  <si>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</si>
  <si>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</si>
  <si>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</si>
  <si>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</si>
  <si>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</si>
  <si>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</si>
  <si>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</si>
  <si>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</si>
  <si>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</si>
  <si>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</si>
  <si>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</si>
  <si>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</si>
  <si>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</si>
  <si>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</si>
  <si>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</si>
  <si>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</si>
  <si>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</si>
  <si>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</si>
  <si>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</si>
  <si>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</si>
  <si>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</si>
  <si>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</si>
  <si>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</si>
  <si>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</si>
  <si>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</si>
  <si>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</si>
  <si>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</si>
  <si>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</si>
  <si>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</si>
  <si>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</si>
  <si>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</si>
  <si>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</si>
  <si>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</si>
  <si>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</si>
  <si>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</si>
  <si>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</si>
  <si>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</si>
  <si>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</si>
  <si>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</si>
  <si>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</si>
  <si>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</si>
  <si>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</si>
  <si>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</si>
  <si>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</si>
  <si>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</si>
  <si>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</si>
  <si>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</si>
  <si>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</si>
  <si>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</si>
  <si>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</si>
  <si>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</si>
  <si>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</si>
  <si>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</si>
  <si>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</si>
  <si>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</si>
  <si>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</si>
  <si>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</si>
  <si>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</si>
  <si>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</si>
  <si>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</si>
  <si>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</si>
  <si>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</si>
  <si>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</si>
  <si>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</si>
  <si>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</si>
  <si>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</si>
  <si>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</si>
  <si>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</si>
  <si>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</si>
  <si>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</si>
  <si>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</si>
  <si>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</si>
  <si>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</si>
  <si>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</si>
  <si>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</si>
  <si>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</si>
  <si>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</si>
  <si>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</si>
  <si>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</si>
  <si>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</si>
  <si>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</si>
  <si>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</si>
  <si>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</si>
  <si>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</si>
  <si>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</si>
  <si>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</si>
  <si>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</si>
  <si>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</si>
  <si>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</si>
  <si>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</si>
  <si>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</si>
  <si>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</si>
  <si>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</si>
  <si>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</si>
  <si>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</si>
  <si>
    <t>ML</t>
  </si>
  <si>
    <t>ML at 0.025L using CO</t>
  </si>
  <si>
    <t>θgua</t>
  </si>
  <si>
    <t>ML at 0.015L using CO</t>
  </si>
  <si>
    <t>model 1a (7.15 Layers @ 0.015 L)</t>
  </si>
  <si>
    <t>model 2a (7.15 Layers @ 0.015 L)</t>
  </si>
  <si>
    <t>pros</t>
  </si>
  <si>
    <t>leads to physisorbed seconds peak</t>
  </si>
  <si>
    <t>leads to chemisorbed second peak</t>
  </si>
  <si>
    <t>supported (somewhat) by IRAS between 100-191</t>
  </si>
  <si>
    <t>agrees very well w/ TPD ratio: multi/(2nd peak + recomb)</t>
  </si>
  <si>
    <t>no peak shifts in IRAS from 100 - 191 K</t>
  </si>
  <si>
    <t>cons</t>
  </si>
  <si>
    <t xml:space="preserve">increase in intensity of peaks after desorbing 5 layers? </t>
  </si>
  <si>
    <t>doesn't match TPD area ratio well: (multi + second)/recomb</t>
  </si>
  <si>
    <t>no peak shifts in IRAS from 100-191 K</t>
  </si>
  <si>
    <t>additional info</t>
  </si>
  <si>
    <t>ratio of b(CCO) o.o.p mode decreases from 100-191 K suggesting that the ring is tilted away from the surface at 191 K</t>
  </si>
  <si>
    <t>θGUA</t>
  </si>
  <si>
    <t>Case 2 a</t>
  </si>
  <si>
    <t>θGUA_multi</t>
  </si>
  <si>
    <t>θGUA_phys</t>
  </si>
  <si>
    <t>θGUA_recomb</t>
  </si>
  <si>
    <t>θGUA_chemi</t>
  </si>
  <si>
    <t>delta</t>
  </si>
  <si>
    <t>inverse</t>
  </si>
  <si>
    <t>inverse 2</t>
  </si>
  <si>
    <t>θH2</t>
  </si>
  <si>
    <t>layers case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</si>
</sst>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#,##0.0"/>
    <numFmt numFmtId="166" formatCode="0.0000000"/>
    <numFmt numFmtId="167" formatCode="0.0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8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2" fillId="3" borderId="3" xfId="0" applyFont="1" applyFill="1" applyBorder="1"/>
    <xf numFmtId="2" fontId="0" fillId="0" borderId="0" xfId="0" applyNumberFormat="1"/>
    <xf numFmtId="2" fontId="0" fillId="3" borderId="9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Border="1" applyAlignment="1">
      <alignment wrapText="1"/>
    </xf>
    <xf numFmtId="167" fontId="0" fillId="0" borderId="0" xfId="0" applyNumberFormat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/>
    <xf numFmtId="0" fontId="2" fillId="0" borderId="0" xfId="0" applyFont="1" applyFill="1" applyAlignment="1">
      <alignment horizontal="left"/>
    </xf>
    <xf numFmtId="164" fontId="0" fillId="5" borderId="0" xfId="0" applyNumberFormat="1" applyFill="1"/>
    <xf numFmtId="164" fontId="0" fillId="4" borderId="0" xfId="0" applyNumberFormat="1" applyFill="1"/>
    <xf numFmtId="164" fontId="0" fillId="0" borderId="0" xfId="0" applyNumberFormat="1" applyFill="1"/>
    <xf numFmtId="11" fontId="0" fillId="3" borderId="2" xfId="0" applyNumberFormat="1" applyFill="1" applyBorder="1"/>
    <xf numFmtId="11" fontId="0" fillId="3" borderId="0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0" xfId="0" applyNumberFormat="1" applyFill="1"/>
    <xf numFmtId="2" fontId="0" fillId="3" borderId="0" xfId="0" applyNumberFormat="1" applyFill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2"/>
          <c:order val="12"/>
          <c:tx>
            <c:v>CO+f*GUA_2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'verti intg uptk'!$K$17:$K$28</c:f>
              <c:numCache>
                <c:formatCode>#,##0</c:formatCode>
                <c:ptCount val="12"/>
                <c:pt idx="0">
                  <c:v>0</c:v>
                </c:pt>
                <c:pt idx="1">
                  <c:v>414593.55904093076</c:v>
                </c:pt>
                <c:pt idx="2">
                  <c:v>500059.93120113597</c:v>
                </c:pt>
                <c:pt idx="3">
                  <c:v>673152.23144687654</c:v>
                </c:pt>
                <c:pt idx="4">
                  <c:v>708620.54534737347</c:v>
                </c:pt>
                <c:pt idx="5">
                  <c:v>962563.44504935667</c:v>
                </c:pt>
                <c:pt idx="6">
                  <c:v>1174739.6922637075</c:v>
                </c:pt>
                <c:pt idx="7">
                  <c:v>1476666.8670730223</c:v>
                </c:pt>
                <c:pt idx="8">
                  <c:v>1600000.6115143611</c:v>
                </c:pt>
                <c:pt idx="9">
                  <c:v>2127212.9691302609</c:v>
                </c:pt>
                <c:pt idx="10">
                  <c:v>3494819.727596554</c:v>
                </c:pt>
                <c:pt idx="11">
                  <c:v>6503298.6309170518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baseline="0"/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15-4C56-B8A9-2ACC81E6E1EA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8.1350817406507167E-2</c:v>
                </c:pt>
                <c:pt idx="2">
                  <c:v>0.11948346216430872</c:v>
                </c:pt>
                <c:pt idx="3">
                  <c:v>0.18433945219879563</c:v>
                </c:pt>
                <c:pt idx="4">
                  <c:v>0.2024889721005341</c:v>
                </c:pt>
                <c:pt idx="5">
                  <c:v>0.396046528996712</c:v>
                </c:pt>
                <c:pt idx="6">
                  <c:v>0.53789705199809645</c:v>
                </c:pt>
                <c:pt idx="7">
                  <c:v>0.81986090628657138</c:v>
                </c:pt>
                <c:pt idx="8">
                  <c:v>0.90600405291606823</c:v>
                </c:pt>
                <c:pt idx="9">
                  <c:v>1.4018445299706668</c:v>
                </c:pt>
                <c:pt idx="10">
                  <c:v>2.806922796927573</c:v>
                </c:pt>
                <c:pt idx="11">
                  <c:v>5.7502483636427222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D-4427-94BE-F5EF2AA31305}"/>
            </c:ext>
          </c:extLst>
        </c:ser>
        <c:ser>
          <c:idx val="17"/>
          <c:order val="18"/>
          <c:tx>
            <c:strRef>
              <c:f>'vert + sloped intg uptk'!$S$18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3.8413334468291502E-3</c:v>
                </c:pt>
                <c:pt idx="2">
                  <c:v>4.3137116391841947E-3</c:v>
                </c:pt>
                <c:pt idx="3">
                  <c:v>2.2384332276334865E-2</c:v>
                </c:pt>
                <c:pt idx="4">
                  <c:v>3.3823051607657084E-2</c:v>
                </c:pt>
                <c:pt idx="5">
                  <c:v>0.15691941625611297</c:v>
                </c:pt>
                <c:pt idx="6">
                  <c:v>0.24308204923506438</c:v>
                </c:pt>
                <c:pt idx="7">
                  <c:v>0.4864719505124358</c:v>
                </c:pt>
                <c:pt idx="8">
                  <c:v>0.54928194287749499</c:v>
                </c:pt>
                <c:pt idx="9">
                  <c:v>1.0418819970214128</c:v>
                </c:pt>
                <c:pt idx="10">
                  <c:v>2.4334277209818023</c:v>
                </c:pt>
                <c:pt idx="11">
                  <c:v>5.395259052596483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C56-B8A9-2ACC81E6E1EA}"/>
            </c:ext>
          </c:extLst>
        </c:ser>
        <c:ser>
          <c:idx val="19"/>
          <c:order val="19"/>
          <c:tx>
            <c:strRef>
              <c:f>'vert + sloped intg uptk'!$T$18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9.0787634401343405E-3</c:v>
                </c:pt>
                <c:pt idx="2">
                  <c:v>3.2678998882622462E-2</c:v>
                </c:pt>
                <c:pt idx="3">
                  <c:v>5.7014215339793679E-2</c:v>
                </c:pt>
                <c:pt idx="4">
                  <c:v>6.4011189290790624E-2</c:v>
                </c:pt>
                <c:pt idx="5">
                  <c:v>0.11582843502804017</c:v>
                </c:pt>
                <c:pt idx="6">
                  <c:v>0.15960024208514997</c:v>
                </c:pt>
                <c:pt idx="7">
                  <c:v>0.19824137295755564</c:v>
                </c:pt>
                <c:pt idx="8">
                  <c:v>0.2145765442115011</c:v>
                </c:pt>
                <c:pt idx="9">
                  <c:v>0.22656104421596004</c:v>
                </c:pt>
                <c:pt idx="10">
                  <c:v>0.24170281090806359</c:v>
                </c:pt>
                <c:pt idx="11">
                  <c:v>0.20773601498400909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5-4C56-B8A9-2ACC81E6E1EA}"/>
            </c:ext>
          </c:extLst>
        </c:ser>
        <c:ser>
          <c:idx val="20"/>
          <c:order val="20"/>
          <c:tx>
            <c:strRef>
              <c:f>'vert + sloped intg uptk'!$U$18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5.3027044717188117E-3</c:v>
                </c:pt>
                <c:pt idx="2">
                  <c:v>1.0351456062965456E-2</c:v>
                </c:pt>
                <c:pt idx="3">
                  <c:v>1.5819557053687601E-2</c:v>
                </c:pt>
                <c:pt idx="4">
                  <c:v>1.2763066869793333E-2</c:v>
                </c:pt>
                <c:pt idx="5">
                  <c:v>2.3696913494511151E-2</c:v>
                </c:pt>
                <c:pt idx="6">
                  <c:v>2.9120032236959761E-2</c:v>
                </c:pt>
                <c:pt idx="7">
                  <c:v>2.9161144853816021E-2</c:v>
                </c:pt>
                <c:pt idx="8">
                  <c:v>3.634857973074563E-2</c:v>
                </c:pt>
                <c:pt idx="9">
                  <c:v>2.8249894185406181E-2</c:v>
                </c:pt>
                <c:pt idx="10">
                  <c:v>2.617234644362754E-2</c:v>
                </c:pt>
                <c:pt idx="11">
                  <c:v>4.086493735922176E-2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15-4C56-B8A9-2ACC81E6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  <c:max val="3.0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5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1.7085050700000002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6.5672694237208201E-2</c:v>
                </c:pt>
                <c:pt idx="2">
                  <c:v>7.8750555052295959E-2</c:v>
                </c:pt>
                <c:pt idx="3">
                  <c:v>0.10241784511014068</c:v>
                </c:pt>
                <c:pt idx="4">
                  <c:v>0.10733575283124762</c:v>
                </c:pt>
                <c:pt idx="5">
                  <c:v>0.14099806286834962</c:v>
                </c:pt>
                <c:pt idx="6">
                  <c:v>0.1663926998259565</c:v>
                </c:pt>
                <c:pt idx="7">
                  <c:v>0.20567367889488877</c:v>
                </c:pt>
                <c:pt idx="8">
                  <c:v>0.21753992999646515</c:v>
                </c:pt>
                <c:pt idx="9">
                  <c:v>0.28622508408168307</c:v>
                </c:pt>
                <c:pt idx="10">
                  <c:v>0.48283670223303132</c:v>
                </c:pt>
                <c:pt idx="11">
                  <c:v>0.89451128095943022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E-438B-B89C-FDB146A33719}"/>
            </c:ext>
          </c:extLst>
        </c:ser>
        <c:ser>
          <c:idx val="17"/>
          <c:order val="17"/>
          <c:tx>
            <c:strRef>
              <c:f>'vert + sloped intg uptk'!$V$18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5.3641354300542439E-4</c:v>
                </c:pt>
                <c:pt idx="2">
                  <c:v>6.0237763159784528E-4</c:v>
                </c:pt>
                <c:pt idx="3">
                  <c:v>3.1258049191410136E-3</c:v>
                </c:pt>
                <c:pt idx="4">
                  <c:v>4.7231366917899328E-3</c:v>
                </c:pt>
                <c:pt idx="5">
                  <c:v>2.1912625187424484E-2</c:v>
                </c:pt>
                <c:pt idx="6">
                  <c:v>3.3944593739664311E-2</c:v>
                </c:pt>
                <c:pt idx="7">
                  <c:v>6.7932176719138496E-2</c:v>
                </c:pt>
                <c:pt idx="8">
                  <c:v>7.6703123320636044E-2</c:v>
                </c:pt>
                <c:pt idx="9">
                  <c:v>0.14549104396994056</c:v>
                </c:pt>
                <c:pt idx="10">
                  <c:v>0.33981001741386202</c:v>
                </c:pt>
                <c:pt idx="11">
                  <c:v>0.75340765489242056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E-438B-B89C-FDB146A33719}"/>
            </c:ext>
          </c:extLst>
        </c:ser>
        <c:ser>
          <c:idx val="18"/>
          <c:order val="18"/>
          <c:tx>
            <c:strRef>
              <c:f>'vert + sloped intg uptk'!$W$18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1.2677815478504013E-3</c:v>
                </c:pt>
                <c:pt idx="2">
                  <c:v>4.5633782682853556E-3</c:v>
                </c:pt>
                <c:pt idx="3">
                  <c:v>7.961609601306029E-3</c:v>
                </c:pt>
                <c:pt idx="4">
                  <c:v>8.9386847860883061E-3</c:v>
                </c:pt>
                <c:pt idx="5">
                  <c:v>1.6174576374110867E-2</c:v>
                </c:pt>
                <c:pt idx="6">
                  <c:v>2.2286982503975906E-2</c:v>
                </c:pt>
                <c:pt idx="7">
                  <c:v>2.7682928001525241E-2</c:v>
                </c:pt>
                <c:pt idx="8">
                  <c:v>2.9964012736609161E-2</c:v>
                </c:pt>
                <c:pt idx="9">
                  <c:v>3.1637558706393919E-2</c:v>
                </c:pt>
                <c:pt idx="10">
                  <c:v>3.3751993402339753E-2</c:v>
                </c:pt>
                <c:pt idx="11">
                  <c:v>2.900878388971485E-2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E-438B-B89C-FDB146A33719}"/>
            </c:ext>
          </c:extLst>
        </c:ser>
        <c:ser>
          <c:idx val="19"/>
          <c:order val="19"/>
          <c:tx>
            <c:strRef>
              <c:f>'vert + sloped intg uptk'!$X$18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uptk'!$X$19:$X$30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7.4048309852750636E-4</c:v>
                </c:pt>
                <c:pt idx="2">
                  <c:v>1.445503572876173E-3</c:v>
                </c:pt>
                <c:pt idx="3">
                  <c:v>2.2090830607141617E-3</c:v>
                </c:pt>
                <c:pt idx="4">
                  <c:v>1.7822670210763127E-3</c:v>
                </c:pt>
                <c:pt idx="5">
                  <c:v>3.3090970887665145E-3</c:v>
                </c:pt>
                <c:pt idx="6">
                  <c:v>4.0663951413938528E-3</c:v>
                </c:pt>
                <c:pt idx="7">
                  <c:v>4.0721362114611494E-3</c:v>
                </c:pt>
                <c:pt idx="8">
                  <c:v>5.0758078428934728E-3</c:v>
                </c:pt>
                <c:pt idx="9">
                  <c:v>3.9448868574611011E-3</c:v>
                </c:pt>
                <c:pt idx="10">
                  <c:v>3.6547728227499764E-3</c:v>
                </c:pt>
                <c:pt idx="11">
                  <c:v>5.7064834742865866E-3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E-438B-B89C-FDB146A3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0.51255151999999993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[1]Sheet1!$C$3:$F$3</c:f>
              <c:numCache>
                <c:formatCode>General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F5D-A850-4A3CD1872F3C}"/>
            </c:ext>
          </c:extLst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[1]Sheet1!$C$4:$F$4</c:f>
              <c:numCache>
                <c:formatCode>General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4-4F5D-A850-4A3CD1872F3C}"/>
            </c:ext>
          </c:extLst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[1]Sheet1!$C$5:$F$5</c:f>
              <c:numCache>
                <c:formatCode>General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4-4F5D-A850-4A3CD1872F3C}"/>
            </c:ext>
          </c:extLst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[1]Sheet1!$C$6:$F$6</c:f>
              <c:numCache>
                <c:formatCode>General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F5D-A850-4A3CD1872F3C}"/>
            </c:ext>
          </c:extLst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[1]Sheet1!$C$7:$F$7</c:f>
              <c:numCache>
                <c:formatCode>General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F5D-A850-4A3CD1872F3C}"/>
            </c:ext>
          </c:extLst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[1]Sheet1!$C$8:$F$8</c:f>
              <c:numCache>
                <c:formatCode>General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4-4F5D-A850-4A3CD1872F3C}"/>
            </c:ext>
          </c:extLst>
        </c:ser>
        <c:ser>
          <c:idx val="7"/>
          <c:order val="6"/>
          <c:tx>
            <c:strRef>
              <c:f>[1]Sheet1!$B$9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[1]Sheet1!$C$9:$F$9</c:f>
              <c:numCache>
                <c:formatCode>General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4-4F5D-A850-4A3CD1872F3C}"/>
            </c:ext>
          </c:extLst>
        </c:ser>
        <c:ser>
          <c:idx val="6"/>
          <c:order val="7"/>
          <c:tx>
            <c:strRef>
              <c:f>[1]Sheet1!$B$10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[1]Sheet1!$C$10:$F$10</c:f>
              <c:numCache>
                <c:formatCode>General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4-4F5D-A850-4A3CD1872F3C}"/>
            </c:ext>
          </c:extLst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[1]Sheet1!$C$11:$F$11</c:f>
              <c:numCache>
                <c:formatCode>General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4-4F5D-A850-4A3CD1872F3C}"/>
            </c:ext>
          </c:extLst>
        </c:ser>
        <c:ser>
          <c:idx val="9"/>
          <c:order val="9"/>
          <c:tx>
            <c:strRef>
              <c:f>[1]Sheet1!$B$13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[1]Sheet1!$C$13:$F$13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4-4F5D-A850-4A3CD187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baseline="0"/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456B-A675-7E4D6F35EDD2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9-456B-A675-7E4D6F35EDD2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9-456B-A675-7E4D6F35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829-456B-A675-7E4D6F35ED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29-456B-A675-7E4D6F35EDD2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29-456B-A675-7E4D6F35EDD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29-456B-A675-7E4D6F35EDD2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29-456B-A675-7E4D6F35EDD2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29-456B-A675-7E4D6F35EDD2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29-456B-A675-7E4D6F35EDD2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29-456B-A675-7E4D6F35EDD2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29-456B-A675-7E4D6F35EDD2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29-456B-A675-7E4D6F35EDD2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829-456B-A675-7E4D6F35EDD2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829-456B-A675-7E4D6F35EDD2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829-456B-A675-7E4D6F35EDD2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829-456B-A675-7E4D6F35EDD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8.1350817406507167E-2</c:v>
                </c:pt>
                <c:pt idx="2">
                  <c:v>0.11948346216430872</c:v>
                </c:pt>
                <c:pt idx="3">
                  <c:v>0.18433945219879563</c:v>
                </c:pt>
                <c:pt idx="4">
                  <c:v>0.2024889721005341</c:v>
                </c:pt>
                <c:pt idx="5">
                  <c:v>0.396046528996712</c:v>
                </c:pt>
                <c:pt idx="6">
                  <c:v>0.53789705199809645</c:v>
                </c:pt>
                <c:pt idx="7">
                  <c:v>0.81986090628657138</c:v>
                </c:pt>
                <c:pt idx="8">
                  <c:v>0.90600405291606823</c:v>
                </c:pt>
                <c:pt idx="9">
                  <c:v>1.4018445299706668</c:v>
                </c:pt>
                <c:pt idx="10">
                  <c:v>2.806922796927573</c:v>
                </c:pt>
                <c:pt idx="11">
                  <c:v>5.7502483636427222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9-456B-A675-7E4D6F35EDD2}"/>
            </c:ext>
          </c:extLst>
        </c:ser>
        <c:ser>
          <c:idx val="17"/>
          <c:order val="18"/>
          <c:tx>
            <c:strRef>
              <c:f>'vert + sloped intg uptk'!$S$18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3.8413334468291502E-3</c:v>
                </c:pt>
                <c:pt idx="2">
                  <c:v>4.3137116391841947E-3</c:v>
                </c:pt>
                <c:pt idx="3">
                  <c:v>2.2384332276334865E-2</c:v>
                </c:pt>
                <c:pt idx="4">
                  <c:v>3.3823051607657084E-2</c:v>
                </c:pt>
                <c:pt idx="5">
                  <c:v>0.15691941625611297</c:v>
                </c:pt>
                <c:pt idx="6">
                  <c:v>0.24308204923506438</c:v>
                </c:pt>
                <c:pt idx="7">
                  <c:v>0.4864719505124358</c:v>
                </c:pt>
                <c:pt idx="8">
                  <c:v>0.54928194287749499</c:v>
                </c:pt>
                <c:pt idx="9">
                  <c:v>1.0418819970214128</c:v>
                </c:pt>
                <c:pt idx="10">
                  <c:v>2.4334277209818023</c:v>
                </c:pt>
                <c:pt idx="11">
                  <c:v>5.395259052596483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9-456B-A675-7E4D6F35EDD2}"/>
            </c:ext>
          </c:extLst>
        </c:ser>
        <c:ser>
          <c:idx val="19"/>
          <c:order val="19"/>
          <c:tx>
            <c:strRef>
              <c:f>'vert + sloped intg uptk'!$T$18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9.0787634401343405E-3</c:v>
                </c:pt>
                <c:pt idx="2">
                  <c:v>3.2678998882622462E-2</c:v>
                </c:pt>
                <c:pt idx="3">
                  <c:v>5.7014215339793679E-2</c:v>
                </c:pt>
                <c:pt idx="4">
                  <c:v>6.4011189290790624E-2</c:v>
                </c:pt>
                <c:pt idx="5">
                  <c:v>0.11582843502804017</c:v>
                </c:pt>
                <c:pt idx="6">
                  <c:v>0.15960024208514997</c:v>
                </c:pt>
                <c:pt idx="7">
                  <c:v>0.19824137295755564</c:v>
                </c:pt>
                <c:pt idx="8">
                  <c:v>0.2145765442115011</c:v>
                </c:pt>
                <c:pt idx="9">
                  <c:v>0.22656104421596004</c:v>
                </c:pt>
                <c:pt idx="10">
                  <c:v>0.24170281090806359</c:v>
                </c:pt>
                <c:pt idx="11">
                  <c:v>0.20773601498400909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9-456B-A675-7E4D6F35EDD2}"/>
            </c:ext>
          </c:extLst>
        </c:ser>
        <c:ser>
          <c:idx val="20"/>
          <c:order val="20"/>
          <c:tx>
            <c:strRef>
              <c:f>'vert + sloped intg uptk'!$U$18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5.3027044717188117E-3</c:v>
                </c:pt>
                <c:pt idx="2">
                  <c:v>1.0351456062965456E-2</c:v>
                </c:pt>
                <c:pt idx="3">
                  <c:v>1.5819557053687601E-2</c:v>
                </c:pt>
                <c:pt idx="4">
                  <c:v>1.2763066869793333E-2</c:v>
                </c:pt>
                <c:pt idx="5">
                  <c:v>2.3696913494511151E-2</c:v>
                </c:pt>
                <c:pt idx="6">
                  <c:v>2.9120032236959761E-2</c:v>
                </c:pt>
                <c:pt idx="7">
                  <c:v>2.9161144853816021E-2</c:v>
                </c:pt>
                <c:pt idx="8">
                  <c:v>3.634857973074563E-2</c:v>
                </c:pt>
                <c:pt idx="9">
                  <c:v>2.8249894185406181E-2</c:v>
                </c:pt>
                <c:pt idx="10">
                  <c:v>2.617234644362754E-2</c:v>
                </c:pt>
                <c:pt idx="11">
                  <c:v>4.086493735922176E-2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29-456B-A675-7E4D6F35EDD2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uptk'!$S$5</c:f>
              <c:numCache>
                <c:formatCode>0.00000000</c:formatCode>
                <c:ptCount val="1"/>
                <c:pt idx="0">
                  <c:v>2.3919070999258021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29-456B-A675-7E4D6F35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13.66804057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B-478B-A0E8-F3EC3D863E14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9EBB-478B-A0E8-F3EC3D863E14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B-478B-A0E8-F3EC3D8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EBB-478B-A0E8-F3EC3D863E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BB-478B-A0E8-F3EC3D863E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BB-478B-A0E8-F3EC3D863E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BB-478B-A0E8-F3EC3D863E1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BB-478B-A0E8-F3EC3D863E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BB-478B-A0E8-F3EC3D863E1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BB-478B-A0E8-F3EC3D863E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BB-478B-A0E8-F3EC3D863E1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EBB-478B-A0E8-F3EC3D863E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BB-478B-A0E8-F3EC3D863E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EBB-478B-A0E8-F3EC3D863E1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EBB-478B-A0E8-F3EC3D863E1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EBB-478B-A0E8-F3EC3D863E1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6.5672694237208201E-2</c:v>
                </c:pt>
                <c:pt idx="2">
                  <c:v>7.8750555052295959E-2</c:v>
                </c:pt>
                <c:pt idx="3">
                  <c:v>0.10241784511014068</c:v>
                </c:pt>
                <c:pt idx="4">
                  <c:v>0.10733575283124762</c:v>
                </c:pt>
                <c:pt idx="5">
                  <c:v>0.14099806286834962</c:v>
                </c:pt>
                <c:pt idx="6">
                  <c:v>0.1663926998259565</c:v>
                </c:pt>
                <c:pt idx="7">
                  <c:v>0.20567367889488877</c:v>
                </c:pt>
                <c:pt idx="8">
                  <c:v>0.21753992999646515</c:v>
                </c:pt>
                <c:pt idx="9">
                  <c:v>0.28622508408168307</c:v>
                </c:pt>
                <c:pt idx="10">
                  <c:v>0.48283670223303132</c:v>
                </c:pt>
                <c:pt idx="11">
                  <c:v>0.89451128095943022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B-478B-A0E8-F3EC3D863E14}"/>
            </c:ext>
          </c:extLst>
        </c:ser>
        <c:ser>
          <c:idx val="17"/>
          <c:order val="17"/>
          <c:tx>
            <c:strRef>
              <c:f>'vert + sloped intg uptk'!$V$18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5.3641354300542439E-4</c:v>
                </c:pt>
                <c:pt idx="2">
                  <c:v>6.0237763159784528E-4</c:v>
                </c:pt>
                <c:pt idx="3">
                  <c:v>3.1258049191410136E-3</c:v>
                </c:pt>
                <c:pt idx="4">
                  <c:v>4.7231366917899328E-3</c:v>
                </c:pt>
                <c:pt idx="5">
                  <c:v>2.1912625187424484E-2</c:v>
                </c:pt>
                <c:pt idx="6">
                  <c:v>3.3944593739664311E-2</c:v>
                </c:pt>
                <c:pt idx="7">
                  <c:v>6.7932176719138496E-2</c:v>
                </c:pt>
                <c:pt idx="8">
                  <c:v>7.6703123320636044E-2</c:v>
                </c:pt>
                <c:pt idx="9">
                  <c:v>0.14549104396994056</c:v>
                </c:pt>
                <c:pt idx="10">
                  <c:v>0.33981001741386202</c:v>
                </c:pt>
                <c:pt idx="11">
                  <c:v>0.75340765489242056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B-478B-A0E8-F3EC3D863E14}"/>
            </c:ext>
          </c:extLst>
        </c:ser>
        <c:ser>
          <c:idx val="18"/>
          <c:order val="18"/>
          <c:tx>
            <c:strRef>
              <c:f>'vert + sloped intg uptk'!$W$18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1.2677815478504013E-3</c:v>
                </c:pt>
                <c:pt idx="2">
                  <c:v>4.5633782682853556E-3</c:v>
                </c:pt>
                <c:pt idx="3">
                  <c:v>7.961609601306029E-3</c:v>
                </c:pt>
                <c:pt idx="4">
                  <c:v>8.9386847860883061E-3</c:v>
                </c:pt>
                <c:pt idx="5">
                  <c:v>1.6174576374110867E-2</c:v>
                </c:pt>
                <c:pt idx="6">
                  <c:v>2.2286982503975906E-2</c:v>
                </c:pt>
                <c:pt idx="7">
                  <c:v>2.7682928001525241E-2</c:v>
                </c:pt>
                <c:pt idx="8">
                  <c:v>2.9964012736609161E-2</c:v>
                </c:pt>
                <c:pt idx="9">
                  <c:v>3.1637558706393919E-2</c:v>
                </c:pt>
                <c:pt idx="10">
                  <c:v>3.3751993402339753E-2</c:v>
                </c:pt>
                <c:pt idx="11">
                  <c:v>2.900878388971485E-2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B-478B-A0E8-F3EC3D863E14}"/>
            </c:ext>
          </c:extLst>
        </c:ser>
        <c:ser>
          <c:idx val="19"/>
          <c:order val="19"/>
          <c:tx>
            <c:strRef>
              <c:f>'vert + sloped intg uptk'!$X$18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uptk'!$X$19:$X$30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7.4048309852750636E-4</c:v>
                </c:pt>
                <c:pt idx="2">
                  <c:v>1.445503572876173E-3</c:v>
                </c:pt>
                <c:pt idx="3">
                  <c:v>2.2090830607141617E-3</c:v>
                </c:pt>
                <c:pt idx="4">
                  <c:v>1.7822670210763127E-3</c:v>
                </c:pt>
                <c:pt idx="5">
                  <c:v>3.3090970887665145E-3</c:v>
                </c:pt>
                <c:pt idx="6">
                  <c:v>4.0663951413938528E-3</c:v>
                </c:pt>
                <c:pt idx="7">
                  <c:v>4.0721362114611494E-3</c:v>
                </c:pt>
                <c:pt idx="8">
                  <c:v>5.0758078428934728E-3</c:v>
                </c:pt>
                <c:pt idx="9">
                  <c:v>3.9448868574611011E-3</c:v>
                </c:pt>
                <c:pt idx="10">
                  <c:v>3.6547728227499764E-3</c:v>
                </c:pt>
                <c:pt idx="11">
                  <c:v>5.7064834742865866E-3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B-478B-A0E8-F3EC3D8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2.3919070999999996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166253</xdr:colOff>
      <xdr:row>21</xdr:row>
      <xdr:rowOff>54033</xdr:rowOff>
    </xdr:from>
    <xdr:to>
      <xdr:col>13</xdr:col>
      <xdr:colOff>290944</xdr:colOff>
      <xdr:row>45</xdr:row>
      <xdr:rowOff>74814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782839</xdr:colOff>
      <xdr:row>35</xdr:row>
      <xdr:rowOff>61806</xdr:rowOff>
    </xdr:from>
    <xdr:to>
      <xdr:col>16</xdr:col>
      <xdr:colOff>432264</xdr:colOff>
      <xdr:row>60</xdr:row>
      <xdr:rowOff>163001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191191</xdr:colOff>
      <xdr:row>14</xdr:row>
      <xdr:rowOff>78970</xdr:rowOff>
    </xdr:from>
    <xdr:to>
      <xdr:col>17</xdr:col>
      <xdr:colOff>307570</xdr:colOff>
      <xdr:row>33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225376</xdr:colOff>
      <xdr:row>42</xdr:row>
      <xdr:rowOff>413936</xdr:rowOff>
    </xdr:from>
    <xdr:to>
      <xdr:col>9</xdr:col>
      <xdr:colOff>207817</xdr:colOff>
      <xdr:row>56</xdr:row>
      <xdr:rowOff>24939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1261326</xdr:colOff>
      <xdr:row>81</xdr:row>
      <xdr:rowOff>51639</xdr:rowOff>
    </xdr:from>
    <xdr:to>
      <xdr:col>14</xdr:col>
      <xdr:colOff>83649</xdr:colOff>
      <xdr:row>98</xdr:row>
      <xdr:rowOff>156131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650644</xdr:colOff>
      <xdr:row>35</xdr:row>
      <xdr:rowOff>124365</xdr:rowOff>
    </xdr:from>
    <xdr:to>
      <xdr:col>27</xdr:col>
      <xdr:colOff>232756</xdr:colOff>
      <xdr:row>50</xdr:row>
      <xdr:rowOff>307571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1270007</xdr:colOff>
      <xdr:row>81</xdr:row>
      <xdr:rowOff>13278</xdr:rowOff>
    </xdr:from>
    <xdr:to>
      <xdr:col>8</xdr:col>
      <xdr:colOff>1199005</xdr:colOff>
      <xdr:row>98</xdr:row>
      <xdr:rowOff>156484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133841</xdr:rowOff>
    </xdr:from>
    <xdr:to>
      <xdr:col>4</xdr:col>
      <xdr:colOff>1629909</xdr:colOff>
      <xdr:row>94</xdr:row>
      <xdr:rowOff>24939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5C2C4-D3F9-4145-ADDA-82CE97F4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1122219</xdr:colOff>
      <xdr:row>51</xdr:row>
      <xdr:rowOff>423949</xdr:rowOff>
    </xdr:from>
    <xdr:to>
      <xdr:col>8</xdr:col>
      <xdr:colOff>1262602</xdr:colOff>
      <xdr:row>76</xdr:row>
      <xdr:rowOff>34951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07EA4-E0EC-4885-B037-12BBFDBA6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1271848</xdr:colOff>
      <xdr:row>51</xdr:row>
      <xdr:rowOff>423949</xdr:rowOff>
    </xdr:from>
    <xdr:to>
      <xdr:col>16</xdr:col>
      <xdr:colOff>272070</xdr:colOff>
      <xdr:row>76</xdr:row>
      <xdr:rowOff>33577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70D85-FBE9-48A4-8636-CB56C7DD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IR%20peak%20rat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big dose</v>
          </cell>
          <cell r="D2" t="str">
            <v>100 K</v>
          </cell>
          <cell r="E2">
            <v>191</v>
          </cell>
          <cell r="F2">
            <v>249</v>
          </cell>
        </row>
        <row r="3">
          <cell r="B3">
            <v>748</v>
          </cell>
          <cell r="C3">
            <v>0.32591093117408909</v>
          </cell>
          <cell r="D3">
            <v>0.32603950103950102</v>
          </cell>
          <cell r="E3">
            <v>0.24724108658743638</v>
          </cell>
          <cell r="F3">
            <v>1.1324125506680678</v>
          </cell>
        </row>
        <row r="4">
          <cell r="B4">
            <v>760</v>
          </cell>
          <cell r="C4">
            <v>0.46052631578947373</v>
          </cell>
          <cell r="D4">
            <v>0.41767151767151772</v>
          </cell>
          <cell r="E4">
            <v>0.40110356536502545</v>
          </cell>
          <cell r="F4">
            <v>0.20267227143071612</v>
          </cell>
        </row>
        <row r="5">
          <cell r="B5">
            <v>837</v>
          </cell>
          <cell r="C5">
            <v>6.1133603238866407E-2</v>
          </cell>
          <cell r="D5">
            <v>5.9251559251559248E-2</v>
          </cell>
          <cell r="E5">
            <v>6.6956706281833603E-2</v>
          </cell>
          <cell r="F5">
            <v>0.24771055397087521</v>
          </cell>
        </row>
        <row r="6">
          <cell r="B6">
            <v>1027</v>
          </cell>
          <cell r="C6">
            <v>0.26113360323886642</v>
          </cell>
          <cell r="D6">
            <v>0.2354469854469855</v>
          </cell>
          <cell r="E6">
            <v>0.21010186757215621</v>
          </cell>
          <cell r="F6">
            <v>0.19876895361056901</v>
          </cell>
        </row>
        <row r="7">
          <cell r="B7">
            <v>1043</v>
          </cell>
          <cell r="C7">
            <v>0.22064777327935223</v>
          </cell>
          <cell r="D7">
            <v>0.20270270270270271</v>
          </cell>
          <cell r="E7">
            <v>0.21010186757215621</v>
          </cell>
          <cell r="F7">
            <v>0.15298003302807384</v>
          </cell>
        </row>
        <row r="8">
          <cell r="B8">
            <v>1112</v>
          </cell>
          <cell r="C8">
            <v>0.25607287449392713</v>
          </cell>
          <cell r="D8">
            <v>0.24532224532224531</v>
          </cell>
          <cell r="E8">
            <v>0.23662988115449918</v>
          </cell>
          <cell r="F8">
            <v>0.23244257618976133</v>
          </cell>
        </row>
        <row r="9">
          <cell r="B9">
            <v>1232</v>
          </cell>
          <cell r="C9">
            <v>0.28390688259109309</v>
          </cell>
          <cell r="D9">
            <v>0.27546777546777551</v>
          </cell>
          <cell r="E9">
            <v>0.24034380305602721</v>
          </cell>
          <cell r="F9">
            <v>0.2867437321723465</v>
          </cell>
        </row>
        <row r="10">
          <cell r="B10">
            <v>1268</v>
          </cell>
          <cell r="C10">
            <v>0.88765182186234814</v>
          </cell>
          <cell r="D10">
            <v>0.87650727650727644</v>
          </cell>
          <cell r="E10">
            <v>0.9433361629881154</v>
          </cell>
          <cell r="F10">
            <v>0.66784266626632627</v>
          </cell>
        </row>
        <row r="11">
          <cell r="B11">
            <v>1458</v>
          </cell>
          <cell r="C11">
            <v>0.16093117408906882</v>
          </cell>
          <cell r="D11">
            <v>0.18607068607068608</v>
          </cell>
          <cell r="E11">
            <v>0.1467529711375212</v>
          </cell>
          <cell r="F11">
            <v>0.43431917129560127</v>
          </cell>
        </row>
        <row r="13">
          <cell r="B13" t="str">
            <v>raw 1508/ raw 1508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H2" sqref="H2:H13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zoomScale="90" zoomScaleNormal="90" workbookViewId="0">
      <selection activeCell="Q2" sqref="Q2:Q13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="90" zoomScaleNormal="90" workbookViewId="0">
      <selection activeCell="I9" sqref="I9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zoomScale="90" zoomScaleNormal="90" workbookViewId="0">
      <selection activeCell="N15" sqref="N15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 t="shared" si="5"/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 t="shared" si="3"/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12:15" x14ac:dyDescent="0.3">
      <c r="L17" t="s">
        <v>18</v>
      </c>
      <c r="M17">
        <v>0.85</v>
      </c>
      <c r="N17">
        <v>0.77</v>
      </c>
      <c r="O17">
        <v>7.4999999999999997E-2</v>
      </c>
    </row>
    <row r="19" spans="12:15" x14ac:dyDescent="0.3">
      <c r="L19" t="s">
        <v>22</v>
      </c>
      <c r="M19">
        <v>0</v>
      </c>
      <c r="N19">
        <v>0</v>
      </c>
    </row>
    <row r="20" spans="12:15" x14ac:dyDescent="0.3">
      <c r="M20">
        <v>0.1</v>
      </c>
      <c r="N20">
        <v>0.1</v>
      </c>
    </row>
    <row r="21" spans="12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G1" zoomScaleNormal="100" workbookViewId="0">
      <selection activeCell="O2" sqref="O2:O12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L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 t="shared" ref="Q2:Q13" si="1"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2">C3-C$2</f>
        <v>88.443560702123989</v>
      </c>
      <c r="K3" s="9">
        <f t="shared" ref="K3:K13" si="3">D3-D$2</f>
        <v>936.81877980730917</v>
      </c>
      <c r="L3" s="9">
        <f t="shared" ref="L3:L13" si="4">E3-E$2</f>
        <v>664.39019843134042</v>
      </c>
      <c r="M3" s="9">
        <f t="shared" ref="M3:M13" si="5">F3-F$2</f>
        <v>1726.7175341507595</v>
      </c>
      <c r="O3" s="7">
        <f t="shared" ref="O3:O13" si="6">M3+H3</f>
        <v>371219.42262163665</v>
      </c>
      <c r="Q3">
        <f t="shared" si="1"/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2"/>
        <v>99.319682212585292</v>
      </c>
      <c r="K4" s="9">
        <f t="shared" si="3"/>
        <v>1318.520198774685</v>
      </c>
      <c r="L4" s="9">
        <f t="shared" si="4"/>
        <v>1505.9448113947897</v>
      </c>
      <c r="M4" s="9">
        <f t="shared" si="5"/>
        <v>2979.5296505011347</v>
      </c>
      <c r="O4" s="7">
        <f t="shared" si="6"/>
        <v>425215.88579695905</v>
      </c>
      <c r="Q4">
        <f t="shared" si="1"/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2"/>
        <v>515.38094202489287</v>
      </c>
      <c r="K5" s="9">
        <f t="shared" si="3"/>
        <v>1913.2837889054858</v>
      </c>
      <c r="L5" s="9">
        <f t="shared" si="4"/>
        <v>3187.328306859984</v>
      </c>
      <c r="M5" s="9">
        <f t="shared" si="5"/>
        <v>5801.0000325729079</v>
      </c>
      <c r="O5" s="7">
        <f t="shared" si="6"/>
        <v>527434.49718821782</v>
      </c>
      <c r="Q5">
        <f t="shared" si="1"/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2"/>
        <v>778.7480986484486</v>
      </c>
      <c r="K6" s="9">
        <f t="shared" si="3"/>
        <v>1999.3409708528811</v>
      </c>
      <c r="L6" s="9">
        <f t="shared" si="4"/>
        <v>3555.3050576372711</v>
      <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2"/>
        <v>3612.9412114549659</v>
      </c>
      <c r="K7" s="9">
        <f t="shared" si="3"/>
        <v>3193.0074205254159</v>
      </c>
      <c r="L7" s="9">
        <f t="shared" si="4"/>
        <v>7233.8487221567721</v>
      </c>
      <c r="M7" s="9">
        <f t="shared" si="5"/>
        <v>14532.764857944363</v>
      </c>
      <c r="O7" s="7">
        <f t="shared" si="6"/>
        <v>597508.87588496727</v>
      </c>
      <c r="Q7">
        <f t="shared" si="1"/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2"/>
        <v>5596.7653614826413</v>
      </c>
      <c r="K8" s="9">
        <f t="shared" si="3"/>
        <v>4951.1614391790408</v>
      </c>
      <c r="L8" s="9">
        <f t="shared" si="4"/>
        <v>9970.4491196380895</v>
      </c>
      <c r="M8" s="9">
        <f t="shared" si="5"/>
        <v>21201.078990986742</v>
      </c>
      <c r="O8" s="7">
        <f t="shared" si="6"/>
        <v>642180.96496523265</v>
      </c>
      <c r="Q8">
        <f t="shared" si="1"/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2"/>
        <v>11200.618764440449</v>
      </c>
      <c r="K9" s="9">
        <f t="shared" si="3"/>
        <v>6324.6245208367454</v>
      </c>
      <c r="L9" s="9">
        <f t="shared" si="4"/>
        <v>14268.560136117139</v>
      </c>
      <c r="M9" s="9">
        <f t="shared" si="5"/>
        <v>32784.837376983247</v>
      </c>
      <c r="O9" s="7">
        <f t="shared" si="6"/>
        <v>653130.8915881702</v>
      </c>
      <c r="Q9">
        <f t="shared" si="1"/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5"/>
        <v>37549.209539675998</v>
      </c>
      <c r="O10" s="7">
        <f t="shared" si="6"/>
        <v>656786.3886903699</v>
      </c>
      <c r="Q10">
        <f t="shared" si="1"/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2"/>
        <v>23988.480803216229</v>
      </c>
      <c r="K11" s="9">
        <f t="shared" si="3"/>
        <v>10525.039312210896</v>
      </c>
      <c r="L11" s="9">
        <f t="shared" si="4"/>
        <v>21507.070842327761</v>
      </c>
      <c r="M11" s="9">
        <f>F11-F$2</f>
        <v>57878.526064943158</v>
      </c>
      <c r="O11" s="7">
        <f t="shared" si="6"/>
        <v>673338.18322139815</v>
      </c>
      <c r="Q11">
        <f t="shared" si="1"/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2"/>
        <v>56027.682921549196</v>
      </c>
      <c r="K12" s="9">
        <f t="shared" si="3"/>
        <v>15875.794708432246</v>
      </c>
      <c r="L12" s="9">
        <f t="shared" si="4"/>
        <v>35002.597935338294</v>
      </c>
      <c r="M12" s="9">
        <f t="shared" si="5"/>
        <v>110133.35496122229</v>
      </c>
      <c r="O12" s="7">
        <f t="shared" si="6"/>
        <v>728334.1456035442</v>
      </c>
      <c r="Q12">
        <f t="shared" si="1"/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2"/>
        <v>124221.42678498491</v>
      </c>
      <c r="K13" s="9">
        <f t="shared" si="3"/>
        <v>29699.793993883948</v>
      </c>
      <c r="L13" s="9">
        <f t="shared" si="4"/>
        <v>62843.873201213864</v>
      </c>
      <c r="M13" s="9">
        <f t="shared" si="5"/>
        <v>225142.8614983017</v>
      </c>
      <c r="O13" s="7">
        <f t="shared" si="6"/>
        <v>847841.38598878763</v>
      </c>
      <c r="Q13">
        <f t="shared" si="1"/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7">A18*$G$15+$H$15</f>
        <v>369552</v>
      </c>
      <c r="H18" s="8">
        <f t="shared" ref="H18:H28" si="8">G18-O3</f>
        <v>-1667.4226216366515</v>
      </c>
      <c r="I18">
        <f>H18/(M3)</f>
        <v>-0.96566032872118213</v>
      </c>
      <c r="J18">
        <f t="shared" ref="J18:J28" si="9">(G18-(H3+$I$31*M3))^2</f>
        <v>2028742040.8376517</v>
      </c>
      <c r="K18" s="7">
        <f t="shared" ref="K18:K28" si="10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7"/>
        <v>409552</v>
      </c>
      <c r="H19" s="8">
        <f t="shared" si="8"/>
        <v>-15663.885796959046</v>
      </c>
      <c r="I19">
        <f t="shared" ref="I19:I28" si="11">H19/(M4)</f>
        <v>-5.2571672828711398</v>
      </c>
      <c r="J19">
        <f t="shared" si="9"/>
        <v>8191685610.3095627</v>
      </c>
      <c r="K19" s="7">
        <f t="shared" si="10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7"/>
        <v>509552</v>
      </c>
      <c r="H20" s="8">
        <f t="shared" si="8"/>
        <v>-17882.497188217822</v>
      </c>
      <c r="I20">
        <f t="shared" si="11"/>
        <v>-3.0826576603700566</v>
      </c>
      <c r="J20">
        <f>(G20-(H5+$I$31*M5))^2</f>
        <v>26765035729.471573</v>
      </c>
      <c r="K20" s="7">
        <f t="shared" si="10"/>
        <v>673152.23144687654</v>
      </c>
    </row>
    <row r="21" spans="1:23" x14ac:dyDescent="0.3">
      <c r="A21" s="1">
        <v>7.4999999999999997E-3</v>
      </c>
      <c r="G21" s="8">
        <f t="shared" si="7"/>
        <v>609552</v>
      </c>
      <c r="H21" s="8">
        <f t="shared" si="8"/>
        <v>65165.512362028821</v>
      </c>
      <c r="I21">
        <f t="shared" si="11"/>
        <v>9.9669925377240816</v>
      </c>
      <c r="J21">
        <f t="shared" si="9"/>
        <v>9814576677.2445927</v>
      </c>
      <c r="K21" s="7">
        <f t="shared" si="10"/>
        <v>708620.54534737347</v>
      </c>
    </row>
    <row r="22" spans="1:23" x14ac:dyDescent="0.3">
      <c r="A22" s="1">
        <v>0.01</v>
      </c>
      <c r="G22" s="8">
        <f t="shared" si="7"/>
        <v>709552</v>
      </c>
      <c r="H22" s="8">
        <f t="shared" si="8"/>
        <v>112043.12411503273</v>
      </c>
      <c r="I22">
        <f t="shared" si="11"/>
        <v>7.7096908406788227</v>
      </c>
      <c r="J22">
        <f t="shared" si="9"/>
        <v>64014791325.963631</v>
      </c>
      <c r="K22" s="7">
        <f t="shared" si="10"/>
        <v>962563.44504935667</v>
      </c>
    </row>
    <row r="23" spans="1:23" x14ac:dyDescent="0.3">
      <c r="A23" s="1">
        <v>1.4999999999999999E-2</v>
      </c>
      <c r="G23" s="8">
        <f t="shared" si="7"/>
        <v>909552</v>
      </c>
      <c r="H23" s="8">
        <f t="shared" si="8"/>
        <v>267371.03503476735</v>
      </c>
      <c r="I23">
        <f t="shared" si="11"/>
        <v>12.611199418125622</v>
      </c>
      <c r="J23">
        <f t="shared" si="9"/>
        <v>70324512128.150833</v>
      </c>
      <c r="K23" s="7">
        <f t="shared" si="10"/>
        <v>1174739.6922637075</v>
      </c>
    </row>
    <row r="24" spans="1:23" x14ac:dyDescent="0.3">
      <c r="A24" s="1">
        <v>2.5000000000000001E-2</v>
      </c>
      <c r="G24" s="8">
        <f t="shared" si="7"/>
        <v>1309552</v>
      </c>
      <c r="H24" s="8">
        <f t="shared" si="8"/>
        <v>656421.1084118298</v>
      </c>
      <c r="I24">
        <f t="shared" si="11"/>
        <v>20.022094386616462</v>
      </c>
      <c r="J24">
        <f t="shared" si="9"/>
        <v>27927378796.833912</v>
      </c>
      <c r="K24" s="7">
        <f t="shared" si="10"/>
        <v>1476666.8670730223</v>
      </c>
    </row>
    <row r="25" spans="1:23" x14ac:dyDescent="0.3">
      <c r="A25" s="1">
        <v>3.5000000000000003E-2</v>
      </c>
      <c r="G25" s="8">
        <f t="shared" si="7"/>
        <v>1709552.0000000002</v>
      </c>
      <c r="H25" s="8">
        <f t="shared" si="8"/>
        <v>1052765.6113096303</v>
      </c>
      <c r="I25">
        <f t="shared" si="11"/>
        <v>28.036958013649688</v>
      </c>
      <c r="J25">
        <f t="shared" si="9"/>
        <v>12001506719.131424</v>
      </c>
      <c r="K25" s="7">
        <f t="shared" si="10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7"/>
        <v>2309552</v>
      </c>
      <c r="H26" s="8">
        <f t="shared" si="8"/>
        <v>1636213.8167786018</v>
      </c>
      <c r="I26">
        <f t="shared" si="11"/>
        <v>28.269790680962959</v>
      </c>
      <c r="J26">
        <f t="shared" si="9"/>
        <v>33247522178.515678</v>
      </c>
      <c r="K26" s="7">
        <f t="shared" si="10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7"/>
        <v>3909552</v>
      </c>
      <c r="H27" s="8">
        <f t="shared" si="8"/>
        <v>3181217.8543964559</v>
      </c>
      <c r="I27">
        <f t="shared" si="11"/>
        <v>28.885144337213333</v>
      </c>
      <c r="J27">
        <f t="shared" si="9"/>
        <v>172002857772.92615</v>
      </c>
      <c r="K27" s="7">
        <f t="shared" si="10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7"/>
        <v>6309552</v>
      </c>
      <c r="H28" s="8">
        <f t="shared" si="8"/>
        <v>5461710.6140112123</v>
      </c>
      <c r="I28">
        <f t="shared" si="11"/>
        <v>24.258866471111325</v>
      </c>
      <c r="J28">
        <f t="shared" si="9"/>
        <v>37537756991.708298</v>
      </c>
      <c r="K28" s="7">
        <f t="shared" si="10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2">A36*$G$33</f>
        <v>300000</v>
      </c>
      <c r="H36" s="8">
        <f t="shared" ref="H36:H46" si="13">G36-O3</f>
        <v>-71219.422621636651</v>
      </c>
      <c r="I36">
        <f>H36/(M3)</f>
        <v>-41.245554766816014</v>
      </c>
      <c r="J36">
        <f t="shared" ref="J36:J46" si="14">(G36-(H3+$I$49*M3))^2</f>
        <v>79172294166.790878</v>
      </c>
      <c r="K36" s="7">
        <f t="shared" ref="K36:K46" si="15">H3+$I$49*M3</f>
        <v>581375.7170880083</v>
      </c>
    </row>
    <row r="37" spans="1:21" x14ac:dyDescent="0.3">
      <c r="A37" s="1">
        <v>2.5000000000000001E-3</v>
      </c>
      <c r="G37" s="8">
        <f t="shared" si="12"/>
        <v>500000</v>
      </c>
      <c r="H37" s="8">
        <f t="shared" si="13"/>
        <v>74784.114203040954</v>
      </c>
      <c r="I37">
        <f t="shared" ref="I37:I46" si="16">H37/(M4)</f>
        <v>25.099301895003066</v>
      </c>
      <c r="J37">
        <f t="shared" si="14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2"/>
        <v>1000000</v>
      </c>
      <c r="H38" s="8">
        <f t="shared" si="13"/>
        <v>472565.50281178218</v>
      </c>
      <c r="I38">
        <f t="shared" si="16"/>
        <v>81.462765067799182</v>
      </c>
      <c r="J38">
        <f>(G38-(H5+$I$49*M5))^2</f>
        <v>54506290808.123222</v>
      </c>
      <c r="K38" s="7">
        <f t="shared" si="15"/>
        <v>1233465.8236404704</v>
      </c>
    </row>
    <row r="39" spans="1:21" x14ac:dyDescent="0.3">
      <c r="A39" s="1">
        <v>7.4999999999999997E-3</v>
      </c>
      <c r="G39" s="8">
        <f t="shared" si="12"/>
        <v>1500000</v>
      </c>
      <c r="H39" s="8">
        <f t="shared" si="13"/>
        <v>955613.51236202882</v>
      </c>
      <c r="I39">
        <f t="shared" si="16"/>
        <v>146.16002240182661</v>
      </c>
      <c r="J39">
        <f t="shared" si="14"/>
        <v>25557434018.885662</v>
      </c>
      <c r="K39" s="7">
        <f t="shared" si="15"/>
        <v>1340133.0740306624</v>
      </c>
    </row>
    <row r="40" spans="1:21" x14ac:dyDescent="0.3">
      <c r="A40" s="1">
        <v>0.01</v>
      </c>
      <c r="G40" s="8">
        <f t="shared" si="12"/>
        <v>2000000</v>
      </c>
      <c r="H40" s="8">
        <f t="shared" si="13"/>
        <v>1402491.1241150326</v>
      </c>
      <c r="I40">
        <f t="shared" si="16"/>
        <v>96.505457689859909</v>
      </c>
      <c r="J40">
        <f t="shared" si="14"/>
        <v>134154206783.20578</v>
      </c>
      <c r="K40" s="7">
        <f t="shared" si="15"/>
        <v>2366270.6742058471</v>
      </c>
    </row>
    <row r="41" spans="1:21" x14ac:dyDescent="0.3">
      <c r="A41" s="1">
        <v>1.4999999999999999E-2</v>
      </c>
      <c r="G41" s="8">
        <f t="shared" si="12"/>
        <v>3000000</v>
      </c>
      <c r="H41" s="8">
        <f t="shared" si="13"/>
        <v>2357819.0350347674</v>
      </c>
      <c r="I41">
        <f t="shared" si="16"/>
        <v>111.21221877608926</v>
      </c>
      <c r="J41">
        <f t="shared" si="14"/>
        <v>49521218652.920395</v>
      </c>
      <c r="K41" s="7">
        <f t="shared" si="15"/>
        <v>3222533.6348800343</v>
      </c>
    </row>
    <row r="42" spans="1:21" x14ac:dyDescent="0.3">
      <c r="A42" s="1">
        <v>2.5000000000000001E-2</v>
      </c>
      <c r="G42" s="8">
        <f t="shared" si="12"/>
        <v>5000000</v>
      </c>
      <c r="H42" s="8">
        <f t="shared" si="13"/>
        <v>4346869.1084118299</v>
      </c>
      <c r="I42">
        <f t="shared" si="16"/>
        <v>132.58778924014339</v>
      </c>
      <c r="J42">
        <f t="shared" si="14"/>
        <v>127216309452.45322</v>
      </c>
      <c r="K42" s="7">
        <f t="shared" si="15"/>
        <v>4643326.0460133748</v>
      </c>
    </row>
    <row r="43" spans="1:21" x14ac:dyDescent="0.3">
      <c r="A43" s="1">
        <v>3.5000000000000003E-2</v>
      </c>
      <c r="G43" s="8">
        <f t="shared" si="12"/>
        <v>7000000.0000000009</v>
      </c>
      <c r="H43" s="8">
        <f t="shared" si="13"/>
        <v>6343213.6113096308</v>
      </c>
      <c r="I43">
        <f t="shared" si="16"/>
        <v>168.93068293773635</v>
      </c>
      <c r="J43">
        <f t="shared" si="14"/>
        <v>3144073723388.3198</v>
      </c>
      <c r="K43" s="7">
        <f t="shared" si="15"/>
        <v>5226846.3903574748</v>
      </c>
    </row>
    <row r="44" spans="1:21" x14ac:dyDescent="0.3">
      <c r="A44" s="1">
        <v>0.05</v>
      </c>
      <c r="G44" s="8">
        <f t="shared" si="12"/>
        <v>10000000</v>
      </c>
      <c r="H44" s="8">
        <f t="shared" si="13"/>
        <v>9326661.8167786021</v>
      </c>
      <c r="I44">
        <f t="shared" si="16"/>
        <v>161.14200638616006</v>
      </c>
      <c r="J44">
        <f t="shared" si="14"/>
        <v>5209121953595.668</v>
      </c>
      <c r="K44" s="7">
        <f t="shared" si="15"/>
        <v>7717649.905558819</v>
      </c>
    </row>
    <row r="45" spans="1:21" x14ac:dyDescent="0.3">
      <c r="A45" s="1">
        <v>0.09</v>
      </c>
      <c r="G45" s="8">
        <f t="shared" si="12"/>
        <v>18000000</v>
      </c>
      <c r="H45" s="8">
        <f t="shared" si="13"/>
        <v>17271665.854396455</v>
      </c>
      <c r="I45">
        <f t="shared" si="16"/>
        <v>156.82502236019025</v>
      </c>
      <c r="J45">
        <f t="shared" si="14"/>
        <v>14957513405595.201</v>
      </c>
      <c r="K45" s="7">
        <f t="shared" si="15"/>
        <v>14132505.539034968</v>
      </c>
    </row>
    <row r="46" spans="1:21" x14ac:dyDescent="0.3">
      <c r="A46" s="1">
        <v>0.15</v>
      </c>
      <c r="G46" s="8">
        <f t="shared" si="12"/>
        <v>30000000</v>
      </c>
      <c r="H46" s="8">
        <f t="shared" si="13"/>
        <v>29152158.614011213</v>
      </c>
      <c r="I46">
        <f t="shared" si="16"/>
        <v>129.48293550151539</v>
      </c>
      <c r="J46">
        <f t="shared" si="14"/>
        <v>3063712762062.7656</v>
      </c>
      <c r="K46" s="7">
        <f t="shared" si="15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X52"/>
  <sheetViews>
    <sheetView tabSelected="1" topLeftCell="K39" zoomScaleNormal="100" workbookViewId="0">
      <selection activeCell="L41" sqref="L41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26.441406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7" bestFit="1" customWidth="1"/>
    <col min="15" max="15" width="12" bestFit="1" customWidth="1"/>
    <col min="16" max="16" width="8" bestFit="1" customWidth="1"/>
    <col min="17" max="17" width="8" customWidth="1"/>
    <col min="18" max="18" width="9.77734375" bestFit="1" customWidth="1"/>
    <col min="19" max="19" width="11.44140625" bestFit="1" customWidth="1"/>
    <col min="20" max="20" width="21.5546875" bestFit="1" customWidth="1"/>
    <col min="21" max="21" width="12.33203125" bestFit="1" customWidth="1"/>
    <col min="22" max="22" width="10.5546875" bestFit="1" customWidth="1"/>
    <col min="23" max="23" width="10.109375" bestFit="1" customWidth="1"/>
    <col min="24" max="24" width="12.33203125" bestFit="1" customWidth="1"/>
  </cols>
  <sheetData>
    <row r="1" spans="1:20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  <c r="R1" t="s">
        <v>15</v>
      </c>
      <c r="S1" t="s">
        <v>16</v>
      </c>
      <c r="T1" t="s">
        <v>17</v>
      </c>
    </row>
    <row r="2" spans="1:20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 t="shared" ref="J2:J13" si="0">SUM(E2,G2,H2)</f>
        <v>0</v>
      </c>
      <c r="K2" s="7">
        <f>C2+J2</f>
        <v>0</v>
      </c>
      <c r="M2" s="60">
        <f t="shared" ref="M2:M7" si="1">E2/I2</f>
        <v>0</v>
      </c>
      <c r="Q2" t="s">
        <v>14</v>
      </c>
      <c r="R2" s="7">
        <v>750000</v>
      </c>
      <c r="S2" s="7">
        <v>2253432</v>
      </c>
      <c r="T2" s="7">
        <f>SUM(J14,M14)</f>
        <v>0</v>
      </c>
    </row>
    <row r="3" spans="1:20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 t="shared" si="0"/>
        <v>419.56509645361393</v>
      </c>
      <c r="K3" s="7">
        <f t="shared" ref="K3:K13" si="2">C3+J3</f>
        <v>369912.27018393949</v>
      </c>
      <c r="M3" s="60">
        <f t="shared" si="1"/>
        <v>0.26710301551784826</v>
      </c>
      <c r="Q3" t="s">
        <v>18</v>
      </c>
      <c r="R3">
        <v>0.85</v>
      </c>
      <c r="S3">
        <v>0.77</v>
      </c>
      <c r="T3">
        <v>0.10199999999999999</v>
      </c>
    </row>
    <row r="4" spans="1:20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>SUM(E4,G4,H4)</f>
        <v>1090.0607117791824</v>
      </c>
      <c r="K4" s="7">
        <f t="shared" si="2"/>
        <v>423326.41685823706</v>
      </c>
      <c r="M4" s="60">
        <f t="shared" si="1"/>
        <v>0.10024787431689695</v>
      </c>
    </row>
    <row r="5" spans="1:20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 t="shared" si="0"/>
        <v>2192.318979040363</v>
      </c>
      <c r="K5" s="7">
        <f t="shared" si="2"/>
        <v>523825.81613468524</v>
      </c>
      <c r="M5" s="60">
        <f t="shared" si="1"/>
        <v>0.30733451722649335</v>
      </c>
      <c r="R5" s="8">
        <v>7000000</v>
      </c>
      <c r="S5" s="68">
        <f>R5*S3/S2</f>
        <v>2.3919070999258021</v>
      </c>
    </row>
    <row r="6" spans="1:20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 t="shared" si="0"/>
        <v>2546.4125513931126</v>
      </c>
      <c r="K6" s="7">
        <f t="shared" si="2"/>
        <v>540394.7682387901</v>
      </c>
      <c r="M6" s="60">
        <f t="shared" si="1"/>
        <v>0.4405519935863853</v>
      </c>
    </row>
    <row r="7" spans="1:20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 t="shared" si="0"/>
        <v>6825.3982403352602</v>
      </c>
      <c r="K7" s="7">
        <f t="shared" si="2"/>
        <v>589801.50926735823</v>
      </c>
      <c r="M7" s="60">
        <f>E7/I7</f>
        <v>1.1246660045486305</v>
      </c>
    </row>
    <row r="8" spans="1:20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 t="shared" si="0"/>
        <v>9941.8953192859026</v>
      </c>
      <c r="K8" s="7">
        <f t="shared" si="2"/>
        <v>630921.78129353188</v>
      </c>
      <c r="M8" s="60">
        <f>E8/I8</f>
        <v>1.2880547684037877</v>
      </c>
      <c r="N8" s="60">
        <f>(M8-(J42-1))/M8</f>
        <v>0.51292502894473602</v>
      </c>
      <c r="O8">
        <f>(E8+G8)/H8</f>
        <v>13.828360080217269</v>
      </c>
    </row>
    <row r="9" spans="1:20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 t="shared" si="0"/>
        <v>16436.375739526193</v>
      </c>
      <c r="K9" s="7">
        <f t="shared" si="2"/>
        <v>636782.42995071318</v>
      </c>
      <c r="M9" s="60">
        <f t="shared" ref="M9:M13" si="3">E9/I9</f>
        <v>2.1392549000533054</v>
      </c>
    </row>
    <row r="10" spans="1:20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 t="shared" si="0"/>
        <v>18424.113206563863</v>
      </c>
      <c r="K10" s="7">
        <f t="shared" si="2"/>
        <v>637661.2923572578</v>
      </c>
      <c r="M10" s="60">
        <f t="shared" si="3"/>
        <v>2.189027285302521</v>
      </c>
    </row>
    <row r="11" spans="1:20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 t="shared" si="0"/>
        <v>29855.29424443654</v>
      </c>
      <c r="K11" s="7">
        <f t="shared" si="2"/>
        <v>645314.95140089153</v>
      </c>
      <c r="M11" s="60">
        <f t="shared" si="3"/>
        <v>4.0888432951818157</v>
      </c>
    </row>
    <row r="12" spans="1:20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 t="shared" si="0"/>
        <v>62195.289318588715</v>
      </c>
      <c r="K12" s="7">
        <f t="shared" si="2"/>
        <v>680396.0799609106</v>
      </c>
      <c r="M12" s="60">
        <f t="shared" si="3"/>
        <v>9.0841858761354839</v>
      </c>
    </row>
    <row r="13" spans="1:20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 t="shared" si="0"/>
        <v>129945.26037650084</v>
      </c>
      <c r="K13" s="7">
        <f t="shared" si="2"/>
        <v>752643.7848669868</v>
      </c>
      <c r="M13" s="60">
        <f t="shared" si="3"/>
        <v>21.70248746733488</v>
      </c>
    </row>
    <row r="14" spans="1:20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20" x14ac:dyDescent="0.3">
      <c r="A16" s="20" t="s">
        <v>90</v>
      </c>
      <c r="B16">
        <v>0</v>
      </c>
      <c r="C16">
        <v>309521</v>
      </c>
    </row>
    <row r="17" spans="1:24" x14ac:dyDescent="0.3">
      <c r="A17" s="20" t="s">
        <v>24</v>
      </c>
      <c r="B17" s="8">
        <v>200000000</v>
      </c>
      <c r="C17" s="8">
        <v>40000000</v>
      </c>
      <c r="H17" s="53" t="s">
        <v>115</v>
      </c>
      <c r="I17" s="53" t="s">
        <v>114</v>
      </c>
      <c r="J17" s="54" t="s">
        <v>116</v>
      </c>
      <c r="K17" s="54" t="s">
        <v>117</v>
      </c>
      <c r="L17" s="54" t="s">
        <v>118</v>
      </c>
      <c r="M17" s="54" t="s">
        <v>119</v>
      </c>
      <c r="N17" s="54" t="s">
        <v>116</v>
      </c>
      <c r="O17" s="54" t="s">
        <v>139</v>
      </c>
      <c r="S17" s="69" t="s">
        <v>116</v>
      </c>
      <c r="T17" s="70"/>
      <c r="U17" s="70"/>
      <c r="V17" s="71" t="s">
        <v>118</v>
      </c>
      <c r="W17" s="72"/>
      <c r="X17" s="72"/>
    </row>
    <row r="18" spans="1:24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  <c r="N18" t="s">
        <v>138</v>
      </c>
      <c r="O18" t="s">
        <v>138</v>
      </c>
      <c r="P18" t="s">
        <v>81</v>
      </c>
      <c r="Q18" t="s">
        <v>147</v>
      </c>
      <c r="R18" s="1" t="s">
        <v>0</v>
      </c>
      <c r="S18" s="70" t="s">
        <v>140</v>
      </c>
      <c r="T18" s="70" t="s">
        <v>141</v>
      </c>
      <c r="U18" s="70" t="s">
        <v>142</v>
      </c>
      <c r="V18" s="72" t="s">
        <v>140</v>
      </c>
      <c r="W18" s="72" t="s">
        <v>143</v>
      </c>
      <c r="X18" s="72" t="s">
        <v>142</v>
      </c>
    </row>
    <row r="19" spans="1:24" x14ac:dyDescent="0.3">
      <c r="A19" s="1">
        <v>0</v>
      </c>
      <c r="B19" s="41">
        <f t="shared" ref="B19:B30" si="4">A19*$B$17</f>
        <v>0</v>
      </c>
      <c r="C19" s="42">
        <f t="shared" ref="C19:C30" si="5">A19*$C$17+$C$16</f>
        <v>309521</v>
      </c>
      <c r="D19" s="42">
        <f>B19-K2</f>
        <v>0</v>
      </c>
      <c r="E19" s="42">
        <f t="shared" ref="E19:E30" si="6">C19-K2</f>
        <v>309521</v>
      </c>
      <c r="F19" s="42">
        <v>0</v>
      </c>
      <c r="G19" s="42">
        <v>0</v>
      </c>
      <c r="H19" s="43">
        <f>(B19-(C2+$F$32*J2))^2</f>
        <v>0</v>
      </c>
      <c r="I19" s="44">
        <f>(C19-(C2+$F$35*J2))^2</f>
        <v>95803249441</v>
      </c>
      <c r="J19" s="9">
        <f t="shared" ref="J19:J21" si="7">C2+($F$32*J2)</f>
        <v>0</v>
      </c>
      <c r="K19" s="9">
        <f>C2+$F$33*J2</f>
        <v>0</v>
      </c>
      <c r="L19" s="9">
        <f>C2+$F$34*J2</f>
        <v>0</v>
      </c>
      <c r="M19" s="9">
        <f>C2+$F$35*J2</f>
        <v>0</v>
      </c>
      <c r="N19" s="3">
        <v>0</v>
      </c>
      <c r="O19" s="3">
        <v>0</v>
      </c>
      <c r="P19" s="3">
        <f>(C2/$S$2)*$S$3</f>
        <v>0</v>
      </c>
      <c r="Q19" s="3">
        <f>(B2/$R$2)*$R$3</f>
        <v>0</v>
      </c>
      <c r="R19" s="1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s="1">
        <v>1.5E-3</v>
      </c>
      <c r="B20" s="45">
        <f t="shared" si="4"/>
        <v>300000</v>
      </c>
      <c r="C20" s="46">
        <f t="shared" si="5"/>
        <v>369521</v>
      </c>
      <c r="D20" s="46">
        <f t="shared" ref="D20:D30" si="8">B20-K3</f>
        <v>-69912.270183939487</v>
      </c>
      <c r="E20" s="46">
        <f t="shared" si="6"/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9">(B20-(C3+$F$32*J3))^2</f>
        <v>31029540985.676144</v>
      </c>
      <c r="I20" s="44">
        <f t="shared" ref="I20:I29" si="10">(C20-(C3+$F$35*J3))^2</f>
        <v>370350242.04066366</v>
      </c>
      <c r="J20" s="9">
        <f t="shared" si="7"/>
        <v>476152.03940254607</v>
      </c>
      <c r="K20" s="9">
        <f t="shared" ref="K20:K30" si="11">C3+$F$33*J3</f>
        <v>470674.61869295326</v>
      </c>
      <c r="L20" s="9">
        <f t="shared" ref="L20:L30" si="12">C3+$F$34*J3</f>
        <v>384386.88498789747</v>
      </c>
      <c r="M20" s="9">
        <f t="shared" ref="M20:M30" si="13">C3+$F$35*J3</f>
        <v>388765.48601653636</v>
      </c>
      <c r="N20" s="3">
        <f>(J20/C3)*(P20/2)</f>
        <v>8.1350817406507167E-2</v>
      </c>
      <c r="O20" s="3">
        <f>(L20/C3)*(P20/2)</f>
        <v>6.5672694237208201E-2</v>
      </c>
      <c r="P20" s="3">
        <f t="shared" ref="P20:P30" si="14">(C3/$S$2)*$S$3</f>
        <v>0.12625603209564973</v>
      </c>
      <c r="Q20" s="3">
        <f t="shared" ref="Q20:Q30" si="15">(B3/$R$2)*$R$3</f>
        <v>0.4287588075800367</v>
      </c>
      <c r="R20" s="1">
        <v>1.5E-3</v>
      </c>
      <c r="S20" s="3">
        <f>(($F$32*E3)/C3)*$P20/2</f>
        <v>3.8413334468291502E-3</v>
      </c>
      <c r="T20" s="3">
        <f>(($F$32*G3)/C3)*P20/2</f>
        <v>9.0787634401343405E-3</v>
      </c>
      <c r="U20" s="3">
        <f>(($F$32*H3)/C3)*P20/2</f>
        <v>5.3027044717188117E-3</v>
      </c>
      <c r="V20" s="3">
        <f>(($F$34*E3)/C3)*P20/2</f>
        <v>5.3641354300542439E-4</v>
      </c>
      <c r="W20" s="3">
        <f>(($F$34*G3)/C3)*P20/2</f>
        <v>1.2677815478504013E-3</v>
      </c>
      <c r="X20" s="3">
        <f>(($F$34*H3)/C3)*P20/2</f>
        <v>7.4048309852750636E-4</v>
      </c>
    </row>
    <row r="21" spans="1:24" x14ac:dyDescent="0.3">
      <c r="A21" s="1">
        <v>2.5000000000000001E-3</v>
      </c>
      <c r="B21" s="45">
        <f t="shared" si="4"/>
        <v>500000</v>
      </c>
      <c r="C21" s="46">
        <f t="shared" si="5"/>
        <v>409521</v>
      </c>
      <c r="D21" s="46">
        <f t="shared" si="8"/>
        <v>76673.583141762938</v>
      </c>
      <c r="E21" s="46">
        <f t="shared" si="6"/>
        <v>-13805.416858237062</v>
      </c>
      <c r="F21" s="46">
        <f t="shared" ref="F21:F30" si="16">D21/J4</f>
        <v>70.338819033865875</v>
      </c>
      <c r="G21" s="46">
        <f t="shared" ref="G21:G30" si="17">E21/J4</f>
        <v>-12.664814637437988</v>
      </c>
      <c r="H21" s="43">
        <f t="shared" si="9"/>
        <v>39738462278.696556</v>
      </c>
      <c r="I21" s="44">
        <f t="shared" si="10"/>
        <v>3942263401.6756787</v>
      </c>
      <c r="J21" s="9">
        <f t="shared" si="7"/>
        <v>699345.08340738318</v>
      </c>
      <c r="K21" s="9">
        <f t="shared" si="11"/>
        <v>685114.3450359588</v>
      </c>
      <c r="L21" s="9">
        <f t="shared" si="12"/>
        <v>460932.52148728672</v>
      </c>
      <c r="M21" s="9">
        <f t="shared" si="13"/>
        <v>472308.44621081254</v>
      </c>
      <c r="N21" s="3">
        <f>(J21/C4)*(P21/2)</f>
        <v>0.11948346216430872</v>
      </c>
      <c r="O21" s="3">
        <f t="shared" ref="O21:O30" si="18">(L21/C4)*(P21/2)</f>
        <v>7.8750555052295959E-2</v>
      </c>
      <c r="P21" s="3">
        <f t="shared" si="14"/>
        <v>0.14427859115907318</v>
      </c>
      <c r="Q21" s="3">
        <f t="shared" si="15"/>
        <v>0.51743929122621579</v>
      </c>
      <c r="R21" s="1">
        <v>2.5000000000000001E-3</v>
      </c>
      <c r="S21" s="3">
        <f>(($F$32*E4)/C4)*$P21/2</f>
        <v>4.3137116391841947E-3</v>
      </c>
      <c r="T21" s="3">
        <f>(($F$32*G4)/C4)*P21/2</f>
        <v>3.2678998882622462E-2</v>
      </c>
      <c r="U21" s="3">
        <f t="shared" ref="U21:U30" si="19">(($F$32*H4)/C4)*P21/2</f>
        <v>1.0351456062965456E-2</v>
      </c>
      <c r="V21" s="3">
        <f t="shared" ref="V21:V30" si="20">(($F$34*E4)/C4)*P21/2</f>
        <v>6.0237763159784528E-4</v>
      </c>
      <c r="W21" s="3">
        <f>(($F$34*G4)/C4)*P21/2</f>
        <v>4.5633782682853556E-3</v>
      </c>
      <c r="X21" s="3">
        <f t="shared" ref="X21:X30" si="21">(($F$34*H4)/C4)*P21/2</f>
        <v>1.445503572876173E-3</v>
      </c>
    </row>
    <row r="22" spans="1:24" x14ac:dyDescent="0.3">
      <c r="A22" s="1">
        <v>5.0000000000000001E-3</v>
      </c>
      <c r="B22" s="45">
        <f t="shared" si="4"/>
        <v>1000000</v>
      </c>
      <c r="C22" s="46">
        <f t="shared" si="5"/>
        <v>509521</v>
      </c>
      <c r="D22" s="46">
        <f t="shared" si="8"/>
        <v>476174.18386531476</v>
      </c>
      <c r="E22" s="46">
        <f t="shared" si="6"/>
        <v>-14304.816134685243</v>
      </c>
      <c r="F22" s="46">
        <f t="shared" si="16"/>
        <v>217.20114108292262</v>
      </c>
      <c r="G22" s="46">
        <f t="shared" si="17"/>
        <v>-6.5249702581815194</v>
      </c>
      <c r="H22" s="43">
        <f t="shared" si="9"/>
        <v>6233377473.4705591</v>
      </c>
      <c r="I22" s="44">
        <f t="shared" si="10"/>
        <v>12727669552.138348</v>
      </c>
      <c r="J22" s="9">
        <f>C5+($F$32*J5)</f>
        <v>1078951.7414213934</v>
      </c>
      <c r="K22" s="9">
        <f t="shared" si="11"/>
        <v>1050331.0256389577</v>
      </c>
      <c r="L22" s="9">
        <f t="shared" si="12"/>
        <v>599458.82997982996</v>
      </c>
      <c r="M22" s="9">
        <f t="shared" si="13"/>
        <v>622337.97368808626</v>
      </c>
      <c r="N22" s="3">
        <f>(J22/C5)*(P22/2)</f>
        <v>0.18433945219879563</v>
      </c>
      <c r="O22" s="3">
        <f t="shared" si="18"/>
        <v>0.10241784511014068</v>
      </c>
      <c r="P22" s="3">
        <f t="shared" si="14"/>
        <v>0.17824269505795895</v>
      </c>
      <c r="Q22" s="3">
        <f t="shared" si="15"/>
        <v>0.61928139336743904</v>
      </c>
      <c r="R22" s="1">
        <v>5.0000000000000001E-3</v>
      </c>
      <c r="S22" s="3">
        <f>(($F$32*E5)/C5)*$P22/2</f>
        <v>2.2384332276334865E-2</v>
      </c>
      <c r="T22" s="3">
        <f t="shared" ref="T21:T30" si="22">(($F$32*G5)/C5)*P22/2</f>
        <v>5.7014215339793679E-2</v>
      </c>
      <c r="U22" s="3">
        <f t="shared" si="19"/>
        <v>1.5819557053687601E-2</v>
      </c>
      <c r="V22" s="3">
        <f t="shared" si="20"/>
        <v>3.1258049191410136E-3</v>
      </c>
      <c r="W22" s="3">
        <f t="shared" ref="W21:W30" si="23">(($F$34*G5)/C5)*P22/2</f>
        <v>7.961609601306029E-3</v>
      </c>
      <c r="X22" s="3">
        <f t="shared" si="21"/>
        <v>2.2090830607141617E-3</v>
      </c>
    </row>
    <row r="23" spans="1:24" x14ac:dyDescent="0.3">
      <c r="A23" s="1">
        <v>7.4999999999999997E-3</v>
      </c>
      <c r="B23" s="45">
        <f t="shared" si="4"/>
        <v>1500000</v>
      </c>
      <c r="C23" s="46">
        <f t="shared" si="5"/>
        <v>609521</v>
      </c>
      <c r="D23" s="46">
        <f t="shared" si="8"/>
        <v>959605.2317612099</v>
      </c>
      <c r="E23" s="46">
        <f t="shared" si="6"/>
        <v>69126.2317612099</v>
      </c>
      <c r="F23" s="46">
        <f t="shared" si="16"/>
        <v>376.8459400799847</v>
      </c>
      <c r="G23" s="46">
        <f t="shared" si="17"/>
        <v>27.146517057258354</v>
      </c>
      <c r="H23" s="43">
        <f t="shared" si="9"/>
        <v>99110276015.425797</v>
      </c>
      <c r="I23" s="44">
        <f t="shared" si="10"/>
        <v>2051833574.1126113</v>
      </c>
      <c r="J23" s="9">
        <f>C6+($F$32*J6)</f>
        <v>1185182.1542297422</v>
      </c>
      <c r="K23" s="9">
        <f t="shared" si="11"/>
        <v>1151938.7482313367</v>
      </c>
      <c r="L23" s="9">
        <f t="shared" si="12"/>
        <v>628243.68876369868</v>
      </c>
      <c r="M23" s="9">
        <f t="shared" si="13"/>
        <v>654818.16960376897</v>
      </c>
      <c r="N23" s="3">
        <f>(J23/C6)*(P23/2)</f>
        <v>0.2024889721005341</v>
      </c>
      <c r="O23" s="3">
        <f t="shared" si="18"/>
        <v>0.10733575283124762</v>
      </c>
      <c r="P23" s="3">
        <f t="shared" si="14"/>
        <v>0.18378332866458613</v>
      </c>
      <c r="Q23" s="3">
        <f t="shared" si="15"/>
        <v>0.66072562549839797</v>
      </c>
      <c r="R23" s="1">
        <v>7.4999999999999997E-3</v>
      </c>
      <c r="S23" s="3">
        <f t="shared" ref="S23:S30" si="24">(($F$32*E6)/C6)*$P23/2</f>
        <v>3.3823051607657084E-2</v>
      </c>
      <c r="T23" s="3">
        <f t="shared" si="22"/>
        <v>6.4011189290790624E-2</v>
      </c>
      <c r="U23" s="3">
        <f t="shared" si="19"/>
        <v>1.2763066869793333E-2</v>
      </c>
      <c r="V23" s="3">
        <f t="shared" si="20"/>
        <v>4.7231366917899328E-3</v>
      </c>
      <c r="W23" s="3">
        <f t="shared" si="23"/>
        <v>8.9386847860883061E-3</v>
      </c>
      <c r="X23" s="3">
        <f t="shared" si="21"/>
        <v>1.7822670210763127E-3</v>
      </c>
    </row>
    <row r="24" spans="1:24" x14ac:dyDescent="0.3">
      <c r="A24" s="1">
        <v>0.01</v>
      </c>
      <c r="B24" s="45">
        <f t="shared" si="4"/>
        <v>2000000</v>
      </c>
      <c r="C24" s="46">
        <f t="shared" si="5"/>
        <v>709521</v>
      </c>
      <c r="D24" s="46">
        <f t="shared" si="8"/>
        <v>1410198.4907326419</v>
      </c>
      <c r="E24" s="46">
        <f t="shared" si="6"/>
        <v>119719.49073264177</v>
      </c>
      <c r="F24" s="46">
        <f t="shared" si="16"/>
        <v>206.61043371783882</v>
      </c>
      <c r="G24" s="46">
        <f t="shared" si="17"/>
        <v>17.540293843244115</v>
      </c>
      <c r="H24" s="43">
        <f t="shared" si="9"/>
        <v>101180045029.55783</v>
      </c>
      <c r="I24" s="44">
        <f t="shared" si="10"/>
        <v>34961792031.58284</v>
      </c>
      <c r="J24" s="9">
        <f t="shared" ref="J24:J30" si="25">C7+($F$32*J7)</f>
        <v>2318088.1089093992</v>
      </c>
      <c r="K24" s="9">
        <f t="shared" si="11"/>
        <v>2228982.561310628</v>
      </c>
      <c r="L24" s="9">
        <f t="shared" si="12"/>
        <v>825271.55014428799</v>
      </c>
      <c r="M24" s="9">
        <f t="shared" si="13"/>
        <v>896501.72636392992</v>
      </c>
      <c r="N24" s="3">
        <f t="shared" ref="N24:N30" si="26">(J24/C7)*(P24/2)</f>
        <v>0.396046528996712</v>
      </c>
      <c r="O24" s="3">
        <f t="shared" si="18"/>
        <v>0.14099806286834962</v>
      </c>
      <c r="P24" s="3">
        <f t="shared" si="14"/>
        <v>0.19920352843609554</v>
      </c>
      <c r="Q24" s="3">
        <f t="shared" si="15"/>
        <v>0.74329668623215561</v>
      </c>
      <c r="R24" s="1">
        <v>0.01</v>
      </c>
      <c r="S24" s="3">
        <f t="shared" si="24"/>
        <v>0.15691941625611297</v>
      </c>
      <c r="T24" s="3">
        <f t="shared" si="22"/>
        <v>0.11582843502804017</v>
      </c>
      <c r="U24" s="3">
        <f t="shared" si="19"/>
        <v>2.3696913494511151E-2</v>
      </c>
      <c r="V24" s="3">
        <f t="shared" si="20"/>
        <v>2.1912625187424484E-2</v>
      </c>
      <c r="W24" s="3">
        <f t="shared" si="23"/>
        <v>1.6174576374110867E-2</v>
      </c>
      <c r="X24" s="3">
        <f t="shared" si="21"/>
        <v>3.3090970887665145E-3</v>
      </c>
    </row>
    <row r="25" spans="1:24" x14ac:dyDescent="0.3">
      <c r="A25" s="1">
        <v>1.4999999999999999E-2</v>
      </c>
      <c r="B25" s="45">
        <f t="shared" si="4"/>
        <v>3000000</v>
      </c>
      <c r="C25" s="46">
        <f t="shared" si="5"/>
        <v>909521</v>
      </c>
      <c r="D25" s="46">
        <f t="shared" si="8"/>
        <v>2369078.2187064681</v>
      </c>
      <c r="E25" s="46">
        <f t="shared" si="6"/>
        <v>278599.21870646812</v>
      </c>
      <c r="F25" s="46">
        <f t="shared" si="16"/>
        <v>238.29241232411528</v>
      </c>
      <c r="G25" s="46">
        <f t="shared" si="17"/>
        <v>28.022747148224759</v>
      </c>
      <c r="H25" s="43">
        <f t="shared" si="9"/>
        <v>22007475644.885487</v>
      </c>
      <c r="I25" s="44">
        <f t="shared" si="10"/>
        <v>28271472254.749557</v>
      </c>
      <c r="J25" s="9">
        <f t="shared" si="25"/>
        <v>3148349.1679952587</v>
      </c>
      <c r="K25" s="9">
        <f t="shared" si="11"/>
        <v>3018557.7630982576</v>
      </c>
      <c r="L25" s="9">
        <f t="shared" si="12"/>
        <v>973908.14117975277</v>
      </c>
      <c r="M25" s="9">
        <f t="shared" si="13"/>
        <v>1077662.2271120606</v>
      </c>
      <c r="N25" s="3">
        <f t="shared" si="26"/>
        <v>0.53789705199809645</v>
      </c>
      <c r="O25" s="3">
        <f t="shared" si="18"/>
        <v>0.1663926998259565</v>
      </c>
      <c r="P25" s="3">
        <f t="shared" si="14"/>
        <v>0.21218945688184485</v>
      </c>
      <c r="Q25" s="3">
        <f t="shared" si="15"/>
        <v>0.78512534927296529</v>
      </c>
      <c r="R25" s="1">
        <v>1.4999999999999999E-2</v>
      </c>
      <c r="S25" s="3">
        <f t="shared" si="24"/>
        <v>0.24308204923506438</v>
      </c>
      <c r="T25" s="3">
        <f t="shared" si="22"/>
        <v>0.15960024208514997</v>
      </c>
      <c r="U25" s="3">
        <f t="shared" si="19"/>
        <v>2.9120032236959761E-2</v>
      </c>
      <c r="V25" s="3">
        <f t="shared" si="20"/>
        <v>3.3944593739664311E-2</v>
      </c>
      <c r="W25" s="3">
        <f t="shared" si="23"/>
        <v>2.2286982503975906E-2</v>
      </c>
      <c r="X25" s="3">
        <f t="shared" si="21"/>
        <v>4.0663951413938528E-3</v>
      </c>
    </row>
    <row r="26" spans="1:24" x14ac:dyDescent="0.3">
      <c r="A26" s="1">
        <v>2.5000000000000001E-2</v>
      </c>
      <c r="B26" s="45">
        <f t="shared" si="4"/>
        <v>5000000</v>
      </c>
      <c r="C26" s="46">
        <f t="shared" si="5"/>
        <v>1309521</v>
      </c>
      <c r="D26" s="46">
        <f t="shared" si="8"/>
        <v>4363217.5700492868</v>
      </c>
      <c r="E26" s="46">
        <f t="shared" si="6"/>
        <v>672738.57004928682</v>
      </c>
      <c r="F26" s="46">
        <f t="shared" si="16"/>
        <v>265.46105048916729</v>
      </c>
      <c r="G26" s="46">
        <f t="shared" si="17"/>
        <v>40.929860737576426</v>
      </c>
      <c r="H26" s="43">
        <f t="shared" si="9"/>
        <v>40520328726.549553</v>
      </c>
      <c r="I26" s="44">
        <f t="shared" si="10"/>
        <v>4333885758.6303024</v>
      </c>
      <c r="J26" s="9">
        <f t="shared" si="25"/>
        <v>4798703.3812341858</v>
      </c>
      <c r="K26" s="9">
        <f t="shared" si="11"/>
        <v>4584126.5595983975</v>
      </c>
      <c r="L26" s="9">
        <f t="shared" si="12"/>
        <v>1203822.4664401743</v>
      </c>
      <c r="M26" s="9">
        <f t="shared" si="13"/>
        <v>1375353.2546980605</v>
      </c>
      <c r="N26" s="3">
        <f t="shared" si="26"/>
        <v>0.81986090628657138</v>
      </c>
      <c r="O26" s="3">
        <f>(L26/C9)*(P26/2)</f>
        <v>0.20567367889488877</v>
      </c>
      <c r="P26" s="3">
        <f t="shared" si="14"/>
        <v>0.21197287592552777</v>
      </c>
      <c r="Q26" s="3">
        <f t="shared" si="15"/>
        <v>0.7803784350237486</v>
      </c>
      <c r="R26" s="1">
        <v>2.5000000000000001E-2</v>
      </c>
      <c r="S26" s="3">
        <f t="shared" si="24"/>
        <v>0.4864719505124358</v>
      </c>
      <c r="T26" s="3">
        <f t="shared" si="22"/>
        <v>0.19824137295755564</v>
      </c>
      <c r="U26" s="3">
        <f t="shared" si="19"/>
        <v>2.9161144853816021E-2</v>
      </c>
      <c r="V26" s="3">
        <f t="shared" si="20"/>
        <v>6.7932176719138496E-2</v>
      </c>
      <c r="W26" s="3">
        <f t="shared" si="23"/>
        <v>2.7682928001525241E-2</v>
      </c>
      <c r="X26" s="3">
        <f t="shared" si="21"/>
        <v>4.0721362114611494E-3</v>
      </c>
    </row>
    <row r="27" spans="1:24" s="5" customFormat="1" x14ac:dyDescent="0.3">
      <c r="A27" s="24">
        <v>3.5000000000000003E-2</v>
      </c>
      <c r="B27" s="77">
        <f t="shared" si="4"/>
        <v>7000000.0000000009</v>
      </c>
      <c r="C27" s="78">
        <f t="shared" si="5"/>
        <v>1709521.0000000002</v>
      </c>
      <c r="D27" s="78">
        <f t="shared" si="8"/>
        <v>6362338.7076427434</v>
      </c>
      <c r="E27" s="78">
        <f t="shared" si="6"/>
        <v>1071859.7076427424</v>
      </c>
      <c r="F27" s="78">
        <f t="shared" si="16"/>
        <v>345.32672679063143</v>
      </c>
      <c r="G27" s="78">
        <f t="shared" si="17"/>
        <v>58.177003996093369</v>
      </c>
      <c r="H27" s="79">
        <f t="shared" si="9"/>
        <v>2880130557675.0469</v>
      </c>
      <c r="I27" s="80">
        <f t="shared" si="10"/>
        <v>59521177421.921738</v>
      </c>
      <c r="J27" s="9">
        <f t="shared" si="25"/>
        <v>5302905.2596643157</v>
      </c>
      <c r="K27" s="9">
        <f t="shared" si="11"/>
        <v>5062378.5330931218</v>
      </c>
      <c r="L27" s="9">
        <f t="shared" si="12"/>
        <v>1273276.4663163493</v>
      </c>
      <c r="M27" s="9">
        <f t="shared" si="13"/>
        <v>1465551.3760261913</v>
      </c>
      <c r="N27" s="81">
        <f t="shared" si="26"/>
        <v>0.90600405291606823</v>
      </c>
      <c r="O27" s="81">
        <f t="shared" si="18"/>
        <v>0.21753992999646515</v>
      </c>
      <c r="P27" s="81">
        <f t="shared" si="14"/>
        <v>0.21159397219265294</v>
      </c>
      <c r="Q27" s="81">
        <f t="shared" si="15"/>
        <v>0.78097464862076282</v>
      </c>
      <c r="R27" s="24">
        <v>3.5000000000000003E-2</v>
      </c>
      <c r="S27" s="81">
        <f t="shared" si="24"/>
        <v>0.54928194287749499</v>
      </c>
      <c r="T27" s="81">
        <f t="shared" si="22"/>
        <v>0.2145765442115011</v>
      </c>
      <c r="U27" s="81">
        <f t="shared" si="19"/>
        <v>3.634857973074563E-2</v>
      </c>
      <c r="V27" s="81">
        <f t="shared" si="20"/>
        <v>7.6703123320636044E-2</v>
      </c>
      <c r="W27" s="81">
        <f t="shared" si="23"/>
        <v>2.9964012736609161E-2</v>
      </c>
      <c r="X27" s="81">
        <f t="shared" si="21"/>
        <v>5.0758078428934728E-3</v>
      </c>
    </row>
    <row r="28" spans="1:24" x14ac:dyDescent="0.3">
      <c r="A28" s="1">
        <v>0.05</v>
      </c>
      <c r="B28" s="45">
        <f t="shared" si="4"/>
        <v>10000000</v>
      </c>
      <c r="C28" s="46">
        <f t="shared" si="5"/>
        <v>2309521</v>
      </c>
      <c r="D28" s="46">
        <f t="shared" si="8"/>
        <v>9354685.0485991091</v>
      </c>
      <c r="E28" s="46">
        <f t="shared" si="6"/>
        <v>1664206.0485991086</v>
      </c>
      <c r="F28" s="46">
        <f t="shared" si="16"/>
        <v>313.33421040867256</v>
      </c>
      <c r="G28" s="46">
        <f t="shared" si="17"/>
        <v>55.742409871215031</v>
      </c>
      <c r="H28" s="43">
        <f t="shared" si="9"/>
        <v>3221686310016.6226</v>
      </c>
      <c r="I28" s="44">
        <f t="shared" si="10"/>
        <v>104105770642.6185</v>
      </c>
      <c r="J28" s="9">
        <f t="shared" si="25"/>
        <v>8205094.3450931404</v>
      </c>
      <c r="K28" s="9">
        <f t="shared" si="11"/>
        <v>7815333.5943354974</v>
      </c>
      <c r="L28" s="9">
        <f t="shared" si="12"/>
        <v>1675295.4900580654</v>
      </c>
      <c r="M28" s="9">
        <f t="shared" si="13"/>
        <v>1986866.7413226683</v>
      </c>
      <c r="N28" s="3">
        <f t="shared" si="26"/>
        <v>1.4018445299706668</v>
      </c>
      <c r="O28" s="3">
        <f t="shared" si="18"/>
        <v>0.28622508408168307</v>
      </c>
      <c r="P28" s="3">
        <f t="shared" si="14"/>
        <v>0.21030318909577497</v>
      </c>
      <c r="Q28" s="3">
        <f t="shared" si="15"/>
        <v>0.79095005178329458</v>
      </c>
      <c r="R28" s="1">
        <v>0.05</v>
      </c>
      <c r="S28" s="3">
        <f t="shared" si="24"/>
        <v>1.0418819970214128</v>
      </c>
      <c r="T28" s="3">
        <f t="shared" si="22"/>
        <v>0.22656104421596004</v>
      </c>
      <c r="U28" s="3">
        <f t="shared" si="19"/>
        <v>2.8249894185406181E-2</v>
      </c>
      <c r="V28" s="3">
        <f t="shared" si="20"/>
        <v>0.14549104396994056</v>
      </c>
      <c r="W28" s="3">
        <f t="shared" si="23"/>
        <v>3.1637558706393919E-2</v>
      </c>
      <c r="X28" s="3">
        <f t="shared" si="21"/>
        <v>3.9448868574611011E-3</v>
      </c>
    </row>
    <row r="29" spans="1:24" x14ac:dyDescent="0.3">
      <c r="A29" s="1">
        <v>0.09</v>
      </c>
      <c r="B29" s="45">
        <f t="shared" si="4"/>
        <v>18000000</v>
      </c>
      <c r="C29" s="46">
        <f t="shared" si="5"/>
        <v>3909521</v>
      </c>
      <c r="D29" s="46">
        <f t="shared" si="8"/>
        <v>17319603.920039088</v>
      </c>
      <c r="E29" s="46">
        <f t="shared" si="6"/>
        <v>3229124.9200390894</v>
      </c>
      <c r="F29" s="46">
        <f t="shared" si="16"/>
        <v>278.47131366044891</v>
      </c>
      <c r="G29" s="46">
        <f t="shared" si="17"/>
        <v>51.919123705627328</v>
      </c>
      <c r="H29" s="43">
        <f t="shared" si="9"/>
        <v>2467676605710.5039</v>
      </c>
      <c r="I29" s="44">
        <f t="shared" si="10"/>
        <v>188678134025.68134</v>
      </c>
      <c r="J29" s="9">
        <f t="shared" si="25"/>
        <v>16429115.979548298</v>
      </c>
      <c r="K29" s="9">
        <f t="shared" si="11"/>
        <v>15617156.71832215</v>
      </c>
      <c r="L29" s="9">
        <f t="shared" si="12"/>
        <v>2826077.0794451539</v>
      </c>
      <c r="M29" s="9">
        <f t="shared" si="13"/>
        <v>3475150.0363920704</v>
      </c>
      <c r="N29" s="3">
        <f t="shared" si="26"/>
        <v>2.806922796927573</v>
      </c>
      <c r="O29" s="3">
        <f t="shared" si="18"/>
        <v>0.48283670223303132</v>
      </c>
      <c r="P29" s="3">
        <f t="shared" si="14"/>
        <v>0.21123983718815917</v>
      </c>
      <c r="Q29" s="3">
        <f t="shared" si="15"/>
        <v>0.77548642427900649</v>
      </c>
      <c r="R29" s="1">
        <v>0.09</v>
      </c>
      <c r="S29" s="3">
        <f t="shared" si="24"/>
        <v>2.4334277209818023</v>
      </c>
      <c r="T29" s="3">
        <f t="shared" si="22"/>
        <v>0.24170281090806359</v>
      </c>
      <c r="U29" s="3">
        <f t="shared" si="19"/>
        <v>2.617234644362754E-2</v>
      </c>
      <c r="V29" s="3">
        <f t="shared" si="20"/>
        <v>0.33981001741386202</v>
      </c>
      <c r="W29" s="3">
        <f t="shared" si="23"/>
        <v>3.3751993402339753E-2</v>
      </c>
      <c r="X29" s="3">
        <f t="shared" si="21"/>
        <v>3.6547728227499764E-3</v>
      </c>
    </row>
    <row r="30" spans="1:24" x14ac:dyDescent="0.3">
      <c r="A30" s="1">
        <v>0.15</v>
      </c>
      <c r="B30" s="47">
        <f t="shared" si="4"/>
        <v>30000000</v>
      </c>
      <c r="C30" s="48">
        <f t="shared" si="5"/>
        <v>6309521</v>
      </c>
      <c r="D30" s="48">
        <f t="shared" si="8"/>
        <v>29247356.215133011</v>
      </c>
      <c r="E30" s="48">
        <f t="shared" si="6"/>
        <v>5556877.2151330132</v>
      </c>
      <c r="F30" s="48">
        <f t="shared" si="16"/>
        <v>225.07443619253445</v>
      </c>
      <c r="G30" s="48">
        <f t="shared" si="17"/>
        <v>42.763215826669068</v>
      </c>
      <c r="H30" s="43">
        <f t="shared" si="9"/>
        <v>13370774288585.053</v>
      </c>
      <c r="I30" s="44">
        <f>(C30-(C13+$F$35*J13))^2</f>
        <v>79654389581.845734</v>
      </c>
      <c r="J30" s="9">
        <f t="shared" si="25"/>
        <v>33656606.936571807</v>
      </c>
      <c r="K30" s="9">
        <f t="shared" si="11"/>
        <v>31960172.065521073</v>
      </c>
      <c r="L30" s="9">
        <f t="shared" si="12"/>
        <v>5235637.2594155082</v>
      </c>
      <c r="M30" s="9">
        <f t="shared" si="13"/>
        <v>6591752.0925143538</v>
      </c>
      <c r="N30" s="3">
        <f t="shared" si="26"/>
        <v>5.7502483636427222</v>
      </c>
      <c r="O30" s="3">
        <f t="shared" si="18"/>
        <v>0.89451128095943022</v>
      </c>
      <c r="P30" s="3">
        <f t="shared" si="14"/>
        <v>0.21277671740601634</v>
      </c>
      <c r="Q30" s="3">
        <f t="shared" si="15"/>
        <v>0.79688102422343443</v>
      </c>
      <c r="R30" s="1">
        <v>0.15</v>
      </c>
      <c r="S30" s="3">
        <f t="shared" si="24"/>
        <v>5.395259052596483</v>
      </c>
      <c r="T30" s="3">
        <f t="shared" si="22"/>
        <v>0.20773601498400909</v>
      </c>
      <c r="U30" s="3">
        <f t="shared" si="19"/>
        <v>4.086493735922176E-2</v>
      </c>
      <c r="V30" s="3">
        <f t="shared" si="20"/>
        <v>0.75340765489242056</v>
      </c>
      <c r="W30" s="3">
        <f t="shared" si="23"/>
        <v>2.900878388971485E-2</v>
      </c>
      <c r="X30" s="3">
        <f t="shared" si="21"/>
        <v>5.7064834742865866E-3</v>
      </c>
    </row>
    <row r="31" spans="1:24" x14ac:dyDescent="0.3">
      <c r="D31" s="34" t="s">
        <v>111</v>
      </c>
      <c r="E31" s="49" t="s">
        <v>102</v>
      </c>
      <c r="F31" s="50">
        <f>AVERAGE(F19:F30)</f>
        <v>197.52717954019639</v>
      </c>
      <c r="G31" s="51">
        <f>AVERAGE(G19:G30)</f>
        <v>25.176568830109659</v>
      </c>
      <c r="H31" s="53" t="s">
        <v>77</v>
      </c>
      <c r="I31" s="53" t="s">
        <v>77</v>
      </c>
    </row>
    <row r="32" spans="1:24" x14ac:dyDescent="0.3">
      <c r="B32" s="8"/>
      <c r="C32" s="8"/>
      <c r="D32" s="5" t="s">
        <v>107</v>
      </c>
      <c r="E32" s="55" t="s">
        <v>98</v>
      </c>
      <c r="F32" s="56">
        <v>254.21403071085103</v>
      </c>
      <c r="G32" s="52" t="s">
        <v>112</v>
      </c>
      <c r="H32" s="64">
        <f>SUM(H19:H26)</f>
        <v>339819506154.26196</v>
      </c>
      <c r="I32" s="64">
        <f>SUM(I19:I26)</f>
        <v>182462516255.92999</v>
      </c>
      <c r="P32" t="s">
        <v>144</v>
      </c>
      <c r="Q32" t="s">
        <v>144</v>
      </c>
      <c r="R32" t="s">
        <v>145</v>
      </c>
      <c r="S32" t="s">
        <v>146</v>
      </c>
    </row>
    <row r="33" spans="3:19" x14ac:dyDescent="0.3">
      <c r="D33" s="5" t="s">
        <v>108</v>
      </c>
      <c r="E33" s="57" t="s">
        <v>99</v>
      </c>
      <c r="F33" s="58">
        <v>241.15903458297754</v>
      </c>
      <c r="G33" s="52" t="s">
        <v>113</v>
      </c>
      <c r="H33">
        <f>SUM(H19:H30)</f>
        <v>22280087268141.488</v>
      </c>
      <c r="I33">
        <f>SUM(I19:I30)</f>
        <v>614421987927.99731</v>
      </c>
      <c r="N33" s="3">
        <f>SUM(S19:U19)+P19</f>
        <v>0</v>
      </c>
      <c r="O33" s="3">
        <f>SUM(V19:X19) + P19/2</f>
        <v>0</v>
      </c>
      <c r="P33" s="76">
        <f>N19-N33</f>
        <v>0</v>
      </c>
      <c r="Q33" s="76">
        <f>O19-O33</f>
        <v>0</v>
      </c>
      <c r="R33" s="3">
        <f>N19</f>
        <v>0</v>
      </c>
      <c r="S33">
        <f>0</f>
        <v>0</v>
      </c>
    </row>
    <row r="34" spans="3:19" x14ac:dyDescent="0.3">
      <c r="D34" s="5" t="s">
        <v>109</v>
      </c>
      <c r="E34" s="57" t="s">
        <v>100</v>
      </c>
      <c r="F34" s="58">
        <v>35.49909186036939</v>
      </c>
      <c r="I34" s="63" t="s">
        <v>81</v>
      </c>
      <c r="J34" s="3">
        <v>0.21167934144832934</v>
      </c>
      <c r="L34" t="s">
        <v>148</v>
      </c>
      <c r="N34" s="3">
        <f>SUM(S20:U20)+P20/2</f>
        <v>8.1350817406507167E-2</v>
      </c>
      <c r="O34" s="3">
        <f t="shared" ref="O34:O42" si="27">SUM(V20:X20) + P20/2</f>
        <v>6.5672694237208201E-2</v>
      </c>
      <c r="P34" s="75">
        <f t="shared" ref="P34:P44" si="28">N20-N34</f>
        <v>0</v>
      </c>
      <c r="Q34" s="75">
        <f t="shared" ref="Q34:Q44" si="29">O20-O34</f>
        <v>0</v>
      </c>
      <c r="R34">
        <f t="shared" ref="R34:R42" si="30">2*P34*C3/($F$32*P20)</f>
        <v>0</v>
      </c>
      <c r="S34">
        <f t="shared" ref="S34:S44" si="31">2*Q34*C3/($F$34*P20)</f>
        <v>0</v>
      </c>
    </row>
    <row r="35" spans="3:19" x14ac:dyDescent="0.3">
      <c r="D35" s="5" t="s">
        <v>110</v>
      </c>
      <c r="E35" s="59" t="s">
        <v>101</v>
      </c>
      <c r="F35" s="61">
        <v>45.935138770965942</v>
      </c>
      <c r="H35" s="20" t="s">
        <v>121</v>
      </c>
      <c r="I35" s="63" t="s">
        <v>122</v>
      </c>
      <c r="J35">
        <v>0.10199999999999999</v>
      </c>
      <c r="L35" s="60">
        <f>O19/$J$35</f>
        <v>0</v>
      </c>
      <c r="N35" s="3">
        <f t="shared" ref="N35:N41" si="32">SUM(S21:U21)+P21/2</f>
        <v>0.1194834621643087</v>
      </c>
      <c r="O35" s="3">
        <f t="shared" si="27"/>
        <v>7.8750555052295973E-2</v>
      </c>
      <c r="P35" s="75">
        <f t="shared" si="28"/>
        <v>0</v>
      </c>
      <c r="Q35" s="75">
        <f t="shared" si="29"/>
        <v>0</v>
      </c>
      <c r="R35">
        <f t="shared" si="30"/>
        <v>0</v>
      </c>
      <c r="S35">
        <f t="shared" si="31"/>
        <v>0</v>
      </c>
    </row>
    <row r="36" spans="3:19" x14ac:dyDescent="0.3">
      <c r="H36" s="54" t="s">
        <v>116</v>
      </c>
      <c r="I36" s="54" t="s">
        <v>117</v>
      </c>
      <c r="J36" s="54" t="s">
        <v>118</v>
      </c>
      <c r="K36" s="54" t="s">
        <v>119</v>
      </c>
      <c r="L36" s="60">
        <f t="shared" ref="L36:L45" si="33">O20/$J$35</f>
        <v>0.64384994350204128</v>
      </c>
      <c r="N36" s="3">
        <f t="shared" si="32"/>
        <v>0.18433945219879561</v>
      </c>
      <c r="O36" s="3">
        <f t="shared" si="27"/>
        <v>0.10241784511014068</v>
      </c>
      <c r="P36" s="75">
        <f t="shared" si="28"/>
        <v>0</v>
      </c>
      <c r="Q36" s="75">
        <f t="shared" si="29"/>
        <v>0</v>
      </c>
      <c r="R36">
        <f t="shared" si="30"/>
        <v>0</v>
      </c>
      <c r="S36">
        <f t="shared" si="31"/>
        <v>0</v>
      </c>
    </row>
    <row r="37" spans="3:19" x14ac:dyDescent="0.3">
      <c r="G37" s="62" t="s">
        <v>120</v>
      </c>
      <c r="H37" s="60">
        <f>(J26/$C$9)*($J$34/2)</f>
        <v>0.81872558441365972</v>
      </c>
      <c r="I37" s="60">
        <f>(K26/$C$9)*($J$34/2)</f>
        <v>0.78211579219720406</v>
      </c>
      <c r="J37" s="60">
        <f>(L26/$C$9)*($J$34/2)</f>
        <v>0.20538886738047077</v>
      </c>
      <c r="K37" s="60">
        <f>(M26/$C$9)*($J$34/2)</f>
        <v>0.2346544071949476</v>
      </c>
      <c r="L37" s="60">
        <f t="shared" si="33"/>
        <v>0.77206426521858784</v>
      </c>
      <c r="N37" s="3">
        <f>SUM(S23:U23)+P23/2</f>
        <v>0.20248897210053413</v>
      </c>
      <c r="O37" s="3">
        <f>SUM(V23:X23) + P23/2</f>
        <v>0.10733575283124762</v>
      </c>
      <c r="P37" s="75">
        <f t="shared" si="28"/>
        <v>0</v>
      </c>
      <c r="Q37" s="75">
        <f t="shared" si="29"/>
        <v>0</v>
      </c>
      <c r="R37">
        <f t="shared" si="30"/>
        <v>0</v>
      </c>
      <c r="S37">
        <f t="shared" si="31"/>
        <v>0</v>
      </c>
    </row>
    <row r="38" spans="3:19" x14ac:dyDescent="0.3">
      <c r="G38" s="62" t="s">
        <v>86</v>
      </c>
      <c r="H38" s="60">
        <f>H37/$J$35</f>
        <v>8.0267214158201945</v>
      </c>
      <c r="I38" s="60">
        <f>I37/$J$35</f>
        <v>7.6678018842863152</v>
      </c>
      <c r="J38" s="60">
        <f>J37/$J$35</f>
        <v>2.0136163468673605</v>
      </c>
      <c r="K38" s="60">
        <f t="shared" ref="K38" si="34">K37/$J$35</f>
        <v>2.3005334038720355</v>
      </c>
      <c r="L38" s="60">
        <f t="shared" si="33"/>
        <v>1.0040965206876538</v>
      </c>
      <c r="M38" s="73"/>
      <c r="N38" s="3">
        <f t="shared" si="32"/>
        <v>0.39604652899671206</v>
      </c>
      <c r="O38" s="3">
        <f>SUM(V24:X24) + P24/2</f>
        <v>0.14099806286834962</v>
      </c>
      <c r="P38" s="75">
        <f t="shared" si="28"/>
        <v>0</v>
      </c>
      <c r="Q38" s="75">
        <f t="shared" si="29"/>
        <v>0</v>
      </c>
      <c r="R38">
        <f t="shared" si="30"/>
        <v>0</v>
      </c>
      <c r="S38">
        <f t="shared" si="31"/>
        <v>0</v>
      </c>
    </row>
    <row r="39" spans="3:19" x14ac:dyDescent="0.3">
      <c r="H39" s="20" t="s">
        <v>123</v>
      </c>
      <c r="I39" s="63" t="s">
        <v>122</v>
      </c>
      <c r="J39">
        <v>0.10199999999999999</v>
      </c>
      <c r="L39" s="60">
        <f>O23/$J$35</f>
        <v>1.0523113022671335</v>
      </c>
      <c r="N39" s="74">
        <f>SUM(S25:U25)+P25/2</f>
        <v>0.53789705199809656</v>
      </c>
      <c r="O39" s="74">
        <f t="shared" si="27"/>
        <v>0.1663926998259565</v>
      </c>
      <c r="P39" s="3">
        <f t="shared" si="28"/>
        <v>0</v>
      </c>
      <c r="Q39" s="3">
        <f t="shared" si="29"/>
        <v>0</v>
      </c>
      <c r="R39">
        <f t="shared" si="30"/>
        <v>0</v>
      </c>
      <c r="S39">
        <f t="shared" si="31"/>
        <v>0</v>
      </c>
    </row>
    <row r="40" spans="3:19" x14ac:dyDescent="0.3">
      <c r="H40" s="54" t="s">
        <v>116</v>
      </c>
      <c r="I40" s="54" t="s">
        <v>117</v>
      </c>
      <c r="J40" s="54" t="s">
        <v>118</v>
      </c>
      <c r="K40" s="54" t="s">
        <v>119</v>
      </c>
      <c r="L40" s="60">
        <f>O24/$J$35</f>
        <v>1.3823339496897022</v>
      </c>
      <c r="N40" s="74">
        <f t="shared" si="32"/>
        <v>0.81986090628657138</v>
      </c>
      <c r="O40" s="74">
        <f>SUM(V26:X26) + P26/2</f>
        <v>0.20567367889488875</v>
      </c>
      <c r="P40" s="3">
        <f t="shared" si="28"/>
        <v>0</v>
      </c>
      <c r="Q40" s="3">
        <f t="shared" si="29"/>
        <v>0</v>
      </c>
      <c r="R40">
        <f t="shared" si="30"/>
        <v>0</v>
      </c>
      <c r="S40">
        <f t="shared" si="31"/>
        <v>0</v>
      </c>
    </row>
    <row r="41" spans="3:19" x14ac:dyDescent="0.3">
      <c r="G41" s="62" t="s">
        <v>120</v>
      </c>
      <c r="H41" s="60">
        <f>(J25/$C$8)*($J$34/2)</f>
        <v>0.53660391711807498</v>
      </c>
      <c r="I41" s="60">
        <f t="shared" ref="I41:K41" si="35">(K25/$C$8)*($J$34/2)</f>
        <v>0.51448229954655988</v>
      </c>
      <c r="J41" s="60">
        <f>(L25/$C$8)*($J$34/2)</f>
        <v>0.16599268238186268</v>
      </c>
      <c r="K41" s="60">
        <f t="shared" si="35"/>
        <v>0.18367650522281309</v>
      </c>
      <c r="L41" s="60">
        <f>O25/$J$35</f>
        <v>1.6313009786858481</v>
      </c>
      <c r="N41" s="74">
        <f t="shared" si="32"/>
        <v>0.90600405291606823</v>
      </c>
      <c r="O41" s="74">
        <f t="shared" si="27"/>
        <v>0.21753992999646515</v>
      </c>
      <c r="P41" s="3">
        <f t="shared" si="28"/>
        <v>0</v>
      </c>
      <c r="Q41" s="3">
        <f t="shared" si="29"/>
        <v>0</v>
      </c>
      <c r="R41">
        <f t="shared" si="30"/>
        <v>0</v>
      </c>
      <c r="S41">
        <f t="shared" si="31"/>
        <v>0</v>
      </c>
    </row>
    <row r="42" spans="3:19" x14ac:dyDescent="0.3">
      <c r="G42" s="62" t="s">
        <v>86</v>
      </c>
      <c r="H42" s="60">
        <f>H41/$J$35</f>
        <v>5.2608227168438724</v>
      </c>
      <c r="I42" s="60">
        <f>I41/$J$35</f>
        <v>5.0439441132015679</v>
      </c>
      <c r="J42" s="60">
        <f>J41/$J$35</f>
        <v>1.6273792390378696</v>
      </c>
      <c r="K42" s="60">
        <f t="shared" ref="K42" si="36">K41/$J$35</f>
        <v>1.80075005120405</v>
      </c>
      <c r="L42" s="60">
        <f t="shared" si="33"/>
        <v>2.0164086166165567</v>
      </c>
      <c r="N42" s="74">
        <f>SUM(S28:U28)+P28/2</f>
        <v>1.4018445299706666</v>
      </c>
      <c r="O42" s="74">
        <f t="shared" si="27"/>
        <v>0.28622508408168307</v>
      </c>
      <c r="P42" s="75">
        <f t="shared" si="28"/>
        <v>0</v>
      </c>
      <c r="Q42" s="75">
        <f t="shared" si="29"/>
        <v>0</v>
      </c>
      <c r="R42">
        <f t="shared" si="30"/>
        <v>0</v>
      </c>
      <c r="S42">
        <f t="shared" si="31"/>
        <v>0</v>
      </c>
    </row>
    <row r="43" spans="3:19" ht="90.35" x14ac:dyDescent="0.3">
      <c r="C43" t="s">
        <v>136</v>
      </c>
      <c r="D43" s="67" t="s">
        <v>137</v>
      </c>
      <c r="L43" s="82">
        <f>O27/$J$35</f>
        <v>2.1327444117300507</v>
      </c>
      <c r="N43" s="74">
        <f>SUM(S29:U29)+P29/2</f>
        <v>2.8069227969275725</v>
      </c>
      <c r="O43" s="74">
        <f>SUM(V29:X29) + P29/2</f>
        <v>0.48283670223303132</v>
      </c>
      <c r="P43" s="3">
        <f t="shared" si="28"/>
        <v>0</v>
      </c>
      <c r="Q43" s="3">
        <f t="shared" si="29"/>
        <v>0</v>
      </c>
      <c r="R43" s="3">
        <f>N29</f>
        <v>2.806922796927573</v>
      </c>
      <c r="S43">
        <f t="shared" si="31"/>
        <v>0</v>
      </c>
    </row>
    <row r="44" spans="3:19" x14ac:dyDescent="0.3">
      <c r="L44" s="60">
        <f t="shared" si="33"/>
        <v>2.8061282753106185</v>
      </c>
      <c r="N44" s="74">
        <f>SUM(S30:U30)+P30/2</f>
        <v>5.7502483636427222</v>
      </c>
      <c r="O44" s="74">
        <f>SUM(V30:X30) + P30/2</f>
        <v>0.89451128095943022</v>
      </c>
      <c r="P44" s="3">
        <f t="shared" si="28"/>
        <v>0</v>
      </c>
      <c r="Q44" s="3">
        <f t="shared" si="29"/>
        <v>0</v>
      </c>
      <c r="R44">
        <f>2*P44*C13/($F$32*P30)</f>
        <v>0</v>
      </c>
      <c r="S44">
        <f t="shared" si="31"/>
        <v>0</v>
      </c>
    </row>
    <row r="45" spans="3:19" x14ac:dyDescent="0.3">
      <c r="D45" t="s">
        <v>124</v>
      </c>
      <c r="E45" t="s">
        <v>125</v>
      </c>
      <c r="L45" s="60">
        <f>O29/$J$35</f>
        <v>4.7336931591473661</v>
      </c>
      <c r="N45" s="3"/>
    </row>
    <row r="46" spans="3:19" ht="30.15" x14ac:dyDescent="0.3">
      <c r="C46" t="s">
        <v>126</v>
      </c>
      <c r="D46" s="65" t="s">
        <v>127</v>
      </c>
      <c r="E46" s="65" t="s">
        <v>128</v>
      </c>
      <c r="L46" s="60">
        <f>O30/$J$35</f>
        <v>8.7697184407787283</v>
      </c>
    </row>
    <row r="47" spans="3:19" ht="45.2" x14ac:dyDescent="0.3">
      <c r="D47" s="65" t="s">
        <v>129</v>
      </c>
      <c r="E47" s="65" t="s">
        <v>130</v>
      </c>
    </row>
    <row r="48" spans="3:19" ht="30.15" x14ac:dyDescent="0.3">
      <c r="D48" s="66" t="s">
        <v>131</v>
      </c>
      <c r="E48" s="65"/>
    </row>
    <row r="51" spans="3:5" ht="45.2" x14ac:dyDescent="0.3">
      <c r="C51" t="s">
        <v>132</v>
      </c>
      <c r="D51" s="65" t="s">
        <v>133</v>
      </c>
      <c r="E51" s="65" t="s">
        <v>135</v>
      </c>
    </row>
    <row r="52" spans="3:5" ht="45.2" x14ac:dyDescent="0.3">
      <c r="D52" s="65" t="s">
        <v>134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2018-05-20T23:03:53Z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