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 autoCompressPictures="0"/>
  <xr:revisionPtr revIDLastSave="0" documentId="13_ncr:1_{34BB5409-0A2B-413A-B3C9-E2A3F4CF14D5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Cap Table" sheetId="4" r:id="rId1"/>
    <sheet name="Vesting" sheetId="6" r:id="rId2"/>
  </sheets>
  <definedNames>
    <definedName name="_xlnm._FilterDatabase" localSheetId="0" hidden="1">'Cap Table'!$A$4:$B$10</definedName>
    <definedName name="_xlnm._FilterDatabase" localSheetId="1" hidden="1">Vesting!$A$4:$B$8</definedName>
  </definedNames>
  <calcPr calcId="191029" iterate="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7" i="4" l="1"/>
  <c r="E27" i="4"/>
  <c r="X27" i="4"/>
  <c r="I8" i="6"/>
  <c r="E8" i="6"/>
  <c r="F8" i="6" s="1"/>
  <c r="Z37" i="4" l="1"/>
  <c r="G16" i="6" s="1"/>
  <c r="K10" i="4"/>
  <c r="M10" i="4" s="1"/>
  <c r="K9" i="4"/>
  <c r="M9" i="4" s="1"/>
  <c r="K8" i="4"/>
  <c r="I40" i="4"/>
  <c r="M8" i="4" l="1"/>
  <c r="K27" i="4"/>
  <c r="R10" i="4"/>
  <c r="T10" i="4" s="1"/>
  <c r="R8" i="4"/>
  <c r="R9" i="4"/>
  <c r="T9" i="4" s="1"/>
  <c r="R27" i="4" l="1"/>
  <c r="AB8" i="4"/>
  <c r="T8" i="4"/>
  <c r="AB9" i="4"/>
  <c r="AF9" i="4" s="1"/>
  <c r="AB10" i="4"/>
  <c r="AF10" i="4" s="1"/>
  <c r="AF8" i="4" l="1"/>
  <c r="AC56" i="4" s="1"/>
  <c r="AB27" i="4"/>
  <c r="I38" i="4"/>
  <c r="F10" i="4"/>
  <c r="F9" i="4"/>
  <c r="F8" i="4"/>
  <c r="F27" i="4" l="1"/>
  <c r="I11" i="4"/>
  <c r="I19" i="4"/>
  <c r="L19" i="4" s="1"/>
  <c r="I18" i="4"/>
  <c r="L18" i="4" s="1"/>
  <c r="I17" i="4"/>
  <c r="L17" i="4" s="1"/>
  <c r="I16" i="4"/>
  <c r="L16" i="4" s="1"/>
  <c r="I15" i="4"/>
  <c r="L15" i="4" s="1"/>
  <c r="I14" i="4"/>
  <c r="I13" i="4"/>
  <c r="L13" i="4" s="1"/>
  <c r="I12" i="4"/>
  <c r="L12" i="4" s="1"/>
  <c r="L11" i="4" l="1"/>
  <c r="I27" i="4"/>
  <c r="M15" i="4"/>
  <c r="S15" i="4"/>
  <c r="M17" i="4"/>
  <c r="S17" i="4"/>
  <c r="M12" i="4"/>
  <c r="S12" i="4"/>
  <c r="M19" i="4"/>
  <c r="S19" i="4"/>
  <c r="M18" i="4"/>
  <c r="S18" i="4"/>
  <c r="M13" i="4"/>
  <c r="S13" i="4"/>
  <c r="M16" i="4"/>
  <c r="S16" i="4"/>
  <c r="M11" i="4"/>
  <c r="S11" i="4"/>
  <c r="L14" i="4"/>
  <c r="AC11" i="4" l="1"/>
  <c r="L27" i="4"/>
  <c r="T16" i="4"/>
  <c r="AC16" i="4"/>
  <c r="T13" i="4"/>
  <c r="AC13" i="4"/>
  <c r="T18" i="4"/>
  <c r="AC18" i="4"/>
  <c r="T15" i="4"/>
  <c r="AC15" i="4"/>
  <c r="T19" i="4"/>
  <c r="AC19" i="4"/>
  <c r="T12" i="4"/>
  <c r="AC12" i="4"/>
  <c r="T17" i="4"/>
  <c r="AC17" i="4"/>
  <c r="T11" i="4"/>
  <c r="M14" i="4"/>
  <c r="M27" i="4" s="1"/>
  <c r="S14" i="4"/>
  <c r="S27" i="4" s="1"/>
  <c r="L32" i="4"/>
  <c r="AF12" i="4" l="1"/>
  <c r="AE12" i="4"/>
  <c r="AF18" i="4"/>
  <c r="AE18" i="4"/>
  <c r="AF17" i="4"/>
  <c r="AE17" i="4"/>
  <c r="AF19" i="4"/>
  <c r="AE19" i="4"/>
  <c r="AF15" i="4"/>
  <c r="AE15" i="4"/>
  <c r="AF13" i="4"/>
  <c r="AE13" i="4"/>
  <c r="T14" i="4"/>
  <c r="T27" i="4" s="1"/>
  <c r="AC14" i="4"/>
  <c r="AC27" i="4" s="1"/>
  <c r="S32" i="4"/>
  <c r="R31" i="4" l="1"/>
  <c r="AB31" i="4" s="1"/>
  <c r="N9" i="4"/>
  <c r="N8" i="4"/>
  <c r="N10" i="4"/>
  <c r="N15" i="4"/>
  <c r="N17" i="4"/>
  <c r="N18" i="4"/>
  <c r="N19" i="4"/>
  <c r="N11" i="4"/>
  <c r="N16" i="4"/>
  <c r="N12" i="4"/>
  <c r="N13" i="4"/>
  <c r="N14" i="4"/>
  <c r="N27" i="4" l="1"/>
  <c r="L57" i="4"/>
  <c r="L56" i="4"/>
  <c r="AF31" i="4"/>
  <c r="AB32" i="4"/>
  <c r="T31" i="4"/>
  <c r="R32" i="4"/>
  <c r="T32" i="4" l="1"/>
  <c r="U10" i="4"/>
  <c r="U9" i="4"/>
  <c r="U8" i="4"/>
  <c r="U19" i="4"/>
  <c r="U14" i="4"/>
  <c r="U13" i="4"/>
  <c r="U12" i="4"/>
  <c r="U16" i="4"/>
  <c r="U18" i="4"/>
  <c r="U17" i="4"/>
  <c r="U15" i="4"/>
  <c r="U11" i="4"/>
  <c r="U27" i="4" l="1"/>
  <c r="V11" i="4"/>
  <c r="Z39" i="4"/>
  <c r="Z41" i="4" s="1"/>
  <c r="AC32" i="4"/>
  <c r="S56" i="4"/>
  <c r="S57" i="4"/>
  <c r="V31" i="4"/>
  <c r="V15" i="4"/>
  <c r="V17" i="4"/>
  <c r="V19" i="4"/>
  <c r="V18" i="4"/>
  <c r="V12" i="4"/>
  <c r="V16" i="4"/>
  <c r="V13" i="4"/>
  <c r="V14" i="4"/>
  <c r="V8" i="4"/>
  <c r="V9" i="4"/>
  <c r="V10" i="4"/>
  <c r="V27" i="4" l="1"/>
  <c r="V32" i="4" s="1"/>
  <c r="Z16" i="4"/>
  <c r="Y16" i="4" s="1"/>
  <c r="Z26" i="4"/>
  <c r="G17" i="6"/>
  <c r="Z11" i="4"/>
  <c r="Z25" i="4"/>
  <c r="Z24" i="4"/>
  <c r="Z23" i="4"/>
  <c r="Z22" i="4"/>
  <c r="Z21" i="4"/>
  <c r="Z20" i="4"/>
  <c r="Z27" i="4" l="1"/>
  <c r="AD16" i="4"/>
  <c r="AE16" i="4" s="1"/>
  <c r="AD26" i="4"/>
  <c r="Y26" i="4"/>
  <c r="Y11" i="4"/>
  <c r="AD11" i="4"/>
  <c r="AD25" i="4"/>
  <c r="Y25" i="4"/>
  <c r="AD24" i="4"/>
  <c r="AE24" i="4" s="1"/>
  <c r="Y24" i="4"/>
  <c r="AE14" i="4"/>
  <c r="Y20" i="4"/>
  <c r="AD20" i="4"/>
  <c r="AE20" i="4" s="1"/>
  <c r="Y21" i="4"/>
  <c r="AD21" i="4"/>
  <c r="AE21" i="4" s="1"/>
  <c r="AD22" i="4"/>
  <c r="AE22" i="4" s="1"/>
  <c r="Y22" i="4"/>
  <c r="AD23" i="4"/>
  <c r="AE23" i="4" s="1"/>
  <c r="Y23" i="4"/>
  <c r="AD27" i="4" l="1"/>
  <c r="AI16" i="4" s="1"/>
  <c r="Y27" i="4"/>
  <c r="AF16" i="4"/>
  <c r="AF26" i="4"/>
  <c r="AE26" i="4"/>
  <c r="AF25" i="4"/>
  <c r="AE25" i="4"/>
  <c r="AF11" i="4"/>
  <c r="AE11" i="4"/>
  <c r="AF20" i="4"/>
  <c r="AF23" i="4"/>
  <c r="AF22" i="4"/>
  <c r="AF21" i="4"/>
  <c r="AF14" i="4"/>
  <c r="AF24" i="4"/>
  <c r="AF27" i="4" l="1"/>
  <c r="AG26" i="4" s="1"/>
  <c r="AI26" i="4"/>
  <c r="AE27" i="4"/>
  <c r="AI25" i="4"/>
  <c r="AI24" i="4"/>
  <c r="AI23" i="4"/>
  <c r="AI22" i="4"/>
  <c r="AI20" i="4"/>
  <c r="AI11" i="4"/>
  <c r="AI14" i="4"/>
  <c r="AI21" i="4"/>
  <c r="AD32" i="4"/>
  <c r="AC57" i="4"/>
  <c r="AI27" i="4" l="1"/>
  <c r="G14" i="6"/>
  <c r="G8" i="6" s="1"/>
  <c r="J8" i="6" s="1"/>
  <c r="G13" i="6"/>
  <c r="AG25" i="4"/>
  <c r="AG16" i="4"/>
  <c r="AG11" i="4"/>
  <c r="AG21" i="4"/>
  <c r="AG14" i="4"/>
  <c r="AG22" i="4"/>
  <c r="AF32" i="4"/>
  <c r="AG15" i="4"/>
  <c r="AG19" i="4"/>
  <c r="AG18" i="4"/>
  <c r="AG17" i="4"/>
  <c r="AG8" i="4"/>
  <c r="AG12" i="4"/>
  <c r="AG9" i="4"/>
  <c r="AG10" i="4"/>
  <c r="AG13" i="4"/>
  <c r="AG20" i="4"/>
  <c r="AG23" i="4"/>
  <c r="AG24" i="4"/>
  <c r="AG27" i="4" l="1"/>
  <c r="AH16" i="4"/>
  <c r="AH26" i="4"/>
  <c r="AH25" i="4"/>
  <c r="AD56" i="4"/>
  <c r="AD57" i="4"/>
  <c r="AH10" i="4"/>
  <c r="AH8" i="4"/>
  <c r="AH9" i="4"/>
  <c r="AH19" i="4"/>
  <c r="AH31" i="4"/>
  <c r="AH17" i="4"/>
  <c r="AH12" i="4"/>
  <c r="AH11" i="4"/>
  <c r="AH18" i="4"/>
  <c r="AH15" i="4"/>
  <c r="AH13" i="4"/>
  <c r="AH23" i="4"/>
  <c r="AH24" i="4"/>
  <c r="AH14" i="4"/>
  <c r="AH20" i="4"/>
  <c r="AH21" i="4"/>
  <c r="AH22" i="4"/>
  <c r="AH27" i="4" l="1"/>
  <c r="AH3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tc={EFA05F93-36BB-479C-BF3C-83BF47A45535}</author>
    <author>tc={C9051472-C2D8-4A02-A33F-675BFAAA3FF9}</author>
    <author>tc={C5429C4F-2F5C-4C8F-8A82-AEBC32DEB545}</author>
    <author>tc={08AF5D75-C7AA-408D-9058-ABB3D55DABED}</author>
    <author>tc={CCA98A1A-0567-4E2B-BDEE-1635AFDFFB36}</author>
    <author>tc={27A9512A-1D57-4340-AA33-28268CF1BB7F}</author>
  </authors>
  <commentList>
    <comment ref="B21" authorId="0" shapeId="0" xr:uid="{EFA05F93-36BB-479C-BF3C-83BF47A45535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Momentum Ventures Fund II GmbH &amp; Co. KG with seat in Karlsruhe (business adress: Roonstr. 23 a, 76137 Karlsruhe), registered with the Commercial Register of the local court of Mannheim under HRA 710275</t>
      </text>
    </comment>
    <comment ref="B22" authorId="1" shapeId="0" xr:uid="{C9051472-C2D8-4A02-A33F-675BFAAA3FF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 mprice@productification.com
708 Long Bridge Street apt 1606, San Francisco, CA 94158
</t>
      </text>
    </comment>
    <comment ref="B23" authorId="2" shapeId="0" xr:uid="{C5429C4F-2F5C-4C8F-8A82-AEBC32DEB545}">
      <text>
        <t>[Threaded comment]
Your version of Excel allows you to read this threaded comment; however, any edits to it will get removed if the file is opened in a newer version of Excel. Learn more: https://go.microsoft.com/fwlink/?linkid=870924
Comment:
    Has.to.be co-founder
make visions capital gmbh
Salzburger Straße 24a, A-5550 Radstadt, Austria
Web: https://make-visions.com
Reg. Council: Salzburg, Reg.-No. FN 552304m
VAT: ATU77090247, Managing director: Martin Klässner</t>
      </text>
    </comment>
    <comment ref="B24" authorId="3" shapeId="0" xr:uid="{08AF5D75-C7AA-408D-9058-ABB3D55DABE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Signed by Misha Kowatschew
(Misha also contributed EUR 20k through roundtable)
michael.kowatschew@sigma-squared.org
Investor:   Scout Fund VII, LP
Name:   Anna Swank
Title:   Authorized Signatory
Address:   2800 Sand Hill Rd, Suite 101, Menlo Park CA 94025
Email: scoutservices@sequoiacap.com
</t>
      </text>
    </comment>
    <comment ref="B25" authorId="4" shapeId="0" xr:uid="{CCA98A1A-0567-4E2B-BDEE-1635AFDFFB3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Name: Michael Kowatschew
Address: Marxergasse 24/2/EG, 1030 Vienna, Austria
</t>
      </text>
    </comment>
    <comment ref="X26" authorId="5" shapeId="0" xr:uid="{27A9512A-1D57-4340-AA33-28268CF1BB7F}">
      <text>
        <t>[Threaded comment]
Your version of Excel allows you to read this threaded comment; however, any edits to it will get removed if the file is opened in a newer version of Excel. Learn more: https://go.microsoft.com/fwlink/?linkid=870924
Comment:
    roundtable, direct Ticket von Misha Kowatschew + small ticket von Jonathan Parisot included</t>
      </text>
    </comment>
  </commentList>
</comments>
</file>

<file path=xl/sharedStrings.xml><?xml version="1.0" encoding="utf-8"?>
<sst xmlns="http://schemas.openxmlformats.org/spreadsheetml/2006/main" count="116" uniqueCount="97">
  <si>
    <t>Exit Participation</t>
  </si>
  <si>
    <t>Felix Krause</t>
  </si>
  <si>
    <t>Reinhard Hafenscher</t>
  </si>
  <si>
    <t>Status Quo (5-2024)</t>
  </si>
  <si>
    <t>Foxyflo GmbH</t>
  </si>
  <si>
    <t>Michael Schuster</t>
  </si>
  <si>
    <t>Joe Smash Ventures GmbH</t>
  </si>
  <si>
    <t>PST Beteiligungs GmbH</t>
  </si>
  <si>
    <t>Moataz Soliman Ibrahim</t>
  </si>
  <si>
    <t>TeHoch4Quadrat GmbH</t>
  </si>
  <si>
    <t>New Shares</t>
  </si>
  <si>
    <t>Cash 2024</t>
  </si>
  <si>
    <t>Pre-Money Valuation</t>
  </si>
  <si>
    <t>Fully Diluted Basis</t>
  </si>
  <si>
    <t>Share Price:</t>
  </si>
  <si>
    <t>Post-Money Valuation</t>
  </si>
  <si>
    <t>SEI Loans</t>
  </si>
  <si>
    <t>SEI Amounts</t>
  </si>
  <si>
    <t>Conversion Valuation</t>
  </si>
  <si>
    <t>Common Shares</t>
  </si>
  <si>
    <t>Resulting Shareholdings</t>
  </si>
  <si>
    <t>Total Shares</t>
  </si>
  <si>
    <t>Fully Diluted
Shareholding</t>
  </si>
  <si>
    <t>ESOP 2024</t>
  </si>
  <si>
    <t>Sum (Authorized Shares)</t>
  </si>
  <si>
    <t>ESOP 2024 (Common Shares)</t>
  </si>
  <si>
    <t>Conversion (7-2024)</t>
  </si>
  <si>
    <t>Cash Flow</t>
  </si>
  <si>
    <t>Investment Amount</t>
  </si>
  <si>
    <t>Speedinvest IV EuVECA GmbH &amp; Co KG</t>
  </si>
  <si>
    <t>Shareholder</t>
  </si>
  <si>
    <t>Issued &amp; Outstanding Shareholdings</t>
  </si>
  <si>
    <t>Series Seed Majority</t>
  </si>
  <si>
    <t>Founders</t>
  </si>
  <si>
    <t>Investors</t>
  </si>
  <si>
    <t>Record Shareholdings</t>
  </si>
  <si>
    <t>Seed Investment Round (7-2024)</t>
  </si>
  <si>
    <t>Martin Price</t>
  </si>
  <si>
    <t>make visions capital gmbh</t>
  </si>
  <si>
    <t>New Shares
(Series Seed-1)</t>
  </si>
  <si>
    <t>Pre-Seed
Preferred Shares</t>
  </si>
  <si>
    <t>New Shares
(Series Seed)</t>
  </si>
  <si>
    <t>Seed
Preferred Shares</t>
  </si>
  <si>
    <t>Total
Preferred Shares</t>
  </si>
  <si>
    <t>Total Shares
(Common &amp; Pref.)</t>
  </si>
  <si>
    <t>Initially
Unvested Shares</t>
  </si>
  <si>
    <t>Vested Shares
(After 30 Months)</t>
  </si>
  <si>
    <t>BL Minimum:</t>
  </si>
  <si>
    <t>GL Minimum:</t>
  </si>
  <si>
    <t>Scope of Purchase Option</t>
  </si>
  <si>
    <t>Good Leaver Event (after 30 months)</t>
  </si>
  <si>
    <t>Purchase Price</t>
  </si>
  <si>
    <t xml:space="preserve">
Unvested Shares</t>
  </si>
  <si>
    <t>Unvested Shares</t>
  </si>
  <si>
    <t>Vested Shares</t>
  </si>
  <si>
    <t xml:space="preserve">
Vested Shares</t>
  </si>
  <si>
    <t>Most recent post-money:</t>
  </si>
  <si>
    <t>Most recent share price:</t>
  </si>
  <si>
    <t>Tomorrow Ventures GmbH</t>
  </si>
  <si>
    <t>S</t>
  </si>
  <si>
    <t>Sum</t>
  </si>
  <si>
    <t>Holger.temme@gmail.com</t>
  </si>
  <si>
    <t xml:space="preserve">steipete@gmail.com </t>
  </si>
  <si>
    <t>scoutservices@sequoiacap.com</t>
  </si>
  <si>
    <t xml:space="preserve">Authorized Sigantories </t>
  </si>
  <si>
    <t>Authorized Sigantories E-Mail</t>
  </si>
  <si>
    <t>Anna Swank</t>
  </si>
  <si>
    <t>Holger Temme GF</t>
  </si>
  <si>
    <t>Peter Steinberger</t>
  </si>
  <si>
    <t>martin@make-visions.com</t>
  </si>
  <si>
    <t>Martin Klässner</t>
  </si>
  <si>
    <t>portfolio@roundtable.eu</t>
  </si>
  <si>
    <t>sebastian.boehmer@firstmomentum.vc</t>
  </si>
  <si>
    <t>Sebastian Böhmer</t>
  </si>
  <si>
    <t>Oliver Holle and Nora Frizberg</t>
  </si>
  <si>
    <t>alexander.gruber@speedinvest.com, nora.frizberg@speedinvest.com</t>
  </si>
  <si>
    <t>eric@hrcls.vc</t>
  </si>
  <si>
    <t>Eric Seufert</t>
  </si>
  <si>
    <t>msoliman3890@gmail.com</t>
  </si>
  <si>
    <t>Moataz Soliman</t>
  </si>
  <si>
    <t>mprice@productification.com </t>
  </si>
  <si>
    <t>Florian Gschwandtner</t>
  </si>
  <si>
    <t>florian.gschwandtner@gmail.com</t>
  </si>
  <si>
    <t>michael@morgen.ventures</t>
  </si>
  <si>
    <t>Michael Kowatschew</t>
  </si>
  <si>
    <t>Johannes Moser</t>
  </si>
  <si>
    <t>johannes@moser.wtf</t>
  </si>
  <si>
    <t xml:space="preserve">Evan Testa </t>
  </si>
  <si>
    <t>portfolio@angellist.com</t>
  </si>
  <si>
    <t>Hemal Shah &lt;me@hem.al&gt;</t>
  </si>
  <si>
    <t>Fund I, a series of Explorer34 Fund, LP</t>
  </si>
  <si>
    <t>knallgrau Beteiligungs- und Beratungs Gesellschaft m.b.H.</t>
  </si>
  <si>
    <t>Heracles Capital Fund I</t>
  </si>
  <si>
    <t>Roundtable - ContextSDK, special Limited partnership</t>
  </si>
  <si>
    <t>Roundtable - ContextSDK - SPV 2, special Limited partnership</t>
  </si>
  <si>
    <t>First Momentum Ventures Fund II GmbH &amp; Co. KG</t>
  </si>
  <si>
    <t>Scout Fund VII, 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</si>
</sst>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[$€-2]\ #,##0.00"/>
    <numFmt numFmtId="166" formatCode="_-[$€-C07]\ * #,##0.00_-;\-[$€-C07]\ * #,##0.00_-;_-[$€-C07]\ * &quot;-&quot;??_-;_-@_-"/>
    <numFmt numFmtId="167" formatCode="d/\ mmmm\ yyyy"/>
    <numFmt numFmtId="168" formatCode="&quot;$&quot;#,##0.00"/>
    <numFmt numFmtId="169" formatCode="0.0000%"/>
  </numFmts>
  <fonts count="2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9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E964B"/>
        <bgColor indexed="64"/>
      </patternFill>
    </fill>
    <fill>
      <patternFill patternType="solid">
        <fgColor rgb="FFFAF0CA"/>
        <bgColor indexed="64"/>
      </patternFill>
    </fill>
    <fill>
      <patternFill patternType="solid">
        <fgColor rgb="FFF4D35E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DF8E7"/>
        <bgColor indexed="64"/>
      </patternFill>
    </fill>
  </fills>
  <borders count="1">
    <border>
      <left/>
      <right/>
      <top/>
      <bottom/>
      <diagonal/>
    </border>
  </borders>
  <cellStyleXfs count="90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4" fontId="16" fillId="0" borderId="0" applyFont="0" applyFill="0" applyBorder="0" applyAlignment="0" applyProtection="0"/>
  </cellStyleXfs>
  <cellXfs count="102">
    <xf numFmtId="0" fontId="0" fillId="0" borderId="0" xfId="0"/>
    <xf numFmtId="166" fontId="17" fillId="5" borderId="0" xfId="89" applyNumberFormat="1" applyFont="1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8" fillId="5" borderId="0" xfId="0" applyFont="1" applyFill="1" applyAlignment="1">
      <alignment horizontal="left" vertical="center"/>
    </xf>
    <xf numFmtId="0" fontId="19" fillId="6" borderId="0" xfId="0" applyFont="1" applyFill="1" applyAlignment="1">
      <alignment horizontal="left" vertical="center"/>
    </xf>
    <xf numFmtId="0" fontId="18" fillId="6" borderId="0" xfId="0" applyFont="1" applyFill="1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13" fillId="3" borderId="0" xfId="0" applyFont="1" applyFill="1" applyAlignment="1">
      <alignment vertical="center"/>
    </xf>
    <xf numFmtId="165" fontId="20" fillId="3" borderId="0" xfId="0" applyNumberFormat="1" applyFont="1" applyFill="1" applyAlignment="1">
      <alignment vertical="center"/>
    </xf>
    <xf numFmtId="49" fontId="21" fillId="0" borderId="0" xfId="0" applyNumberFormat="1" applyFont="1" applyAlignment="1">
      <alignment vertical="center" wrapText="1"/>
    </xf>
    <xf numFmtId="165" fontId="18" fillId="0" borderId="0" xfId="0" applyNumberFormat="1" applyFont="1" applyAlignment="1">
      <alignment vertical="center"/>
    </xf>
    <xf numFmtId="4" fontId="20" fillId="3" borderId="0" xfId="0" applyNumberFormat="1" applyFont="1" applyFill="1" applyAlignment="1">
      <alignment vertical="center"/>
    </xf>
    <xf numFmtId="10" fontId="20" fillId="3" borderId="0" xfId="0" applyNumberFormat="1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4" borderId="0" xfId="0" applyFont="1" applyFill="1" applyAlignment="1">
      <alignment vertical="center"/>
    </xf>
    <xf numFmtId="4" fontId="13" fillId="4" borderId="0" xfId="0" applyNumberFormat="1" applyFont="1" applyFill="1" applyAlignment="1">
      <alignment vertical="center"/>
    </xf>
    <xf numFmtId="10" fontId="13" fillId="4" borderId="0" xfId="0" applyNumberFormat="1" applyFont="1" applyFill="1" applyAlignment="1">
      <alignment vertical="center"/>
    </xf>
    <xf numFmtId="4" fontId="13" fillId="3" borderId="0" xfId="0" applyNumberFormat="1" applyFont="1" applyFill="1" applyAlignment="1">
      <alignment vertical="center"/>
    </xf>
    <xf numFmtId="165" fontId="13" fillId="4" borderId="0" xfId="0" applyNumberFormat="1" applyFont="1" applyFill="1" applyAlignment="1">
      <alignment vertical="center"/>
    </xf>
    <xf numFmtId="0" fontId="24" fillId="2" borderId="0" xfId="0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0" fontId="26" fillId="7" borderId="0" xfId="0" applyFont="1" applyFill="1" applyAlignment="1">
      <alignment horizontal="left" vertical="center" indent="1"/>
    </xf>
    <xf numFmtId="0" fontId="26" fillId="7" borderId="0" xfId="0" applyFont="1" applyFill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0" fontId="18" fillId="8" borderId="0" xfId="0" applyFont="1" applyFill="1" applyAlignment="1">
      <alignment horizontal="left" vertical="center"/>
    </xf>
    <xf numFmtId="4" fontId="20" fillId="9" borderId="0" xfId="0" applyNumberFormat="1" applyFont="1" applyFill="1" applyAlignment="1">
      <alignment vertical="center"/>
    </xf>
    <xf numFmtId="10" fontId="20" fillId="9" borderId="0" xfId="0" applyNumberFormat="1" applyFont="1" applyFill="1" applyAlignment="1">
      <alignment vertical="center"/>
    </xf>
    <xf numFmtId="4" fontId="13" fillId="9" borderId="0" xfId="0" applyNumberFormat="1" applyFont="1" applyFill="1" applyAlignment="1">
      <alignment vertical="center"/>
    </xf>
    <xf numFmtId="0" fontId="13" fillId="9" borderId="0" xfId="0" applyFont="1" applyFill="1" applyAlignment="1">
      <alignment vertical="center"/>
    </xf>
    <xf numFmtId="0" fontId="18" fillId="10" borderId="0" xfId="0" applyFont="1" applyFill="1" applyAlignment="1">
      <alignment horizontal="left" vertical="center"/>
    </xf>
    <xf numFmtId="166" fontId="17" fillId="10" borderId="0" xfId="89" applyNumberFormat="1" applyFont="1" applyFill="1" applyBorder="1" applyAlignment="1">
      <alignment horizontal="left" vertical="center"/>
    </xf>
    <xf numFmtId="4" fontId="22" fillId="11" borderId="0" xfId="0" applyNumberFormat="1" applyFont="1" applyFill="1" applyAlignment="1">
      <alignment vertical="center"/>
    </xf>
    <xf numFmtId="10" fontId="13" fillId="9" borderId="0" xfId="0" applyNumberFormat="1" applyFont="1" applyFill="1" applyAlignment="1">
      <alignment vertical="center"/>
    </xf>
    <xf numFmtId="10" fontId="22" fillId="11" borderId="0" xfId="0" applyNumberFormat="1" applyFont="1" applyFill="1" applyAlignment="1">
      <alignment vertical="center"/>
    </xf>
    <xf numFmtId="0" fontId="25" fillId="2" borderId="0" xfId="0" applyFont="1" applyFill="1" applyAlignment="1">
      <alignment horizontal="left" vertical="center" indent="1"/>
    </xf>
    <xf numFmtId="165" fontId="20" fillId="0" borderId="0" xfId="0" applyNumberFormat="1" applyFont="1" applyAlignment="1">
      <alignment vertical="center"/>
    </xf>
    <xf numFmtId="165" fontId="20" fillId="9" borderId="0" xfId="0" applyNumberFormat="1" applyFont="1" applyFill="1" applyAlignment="1">
      <alignment vertical="center"/>
    </xf>
    <xf numFmtId="0" fontId="13" fillId="0" borderId="0" xfId="0" applyFont="1"/>
    <xf numFmtId="165" fontId="13" fillId="0" borderId="0" xfId="0" applyNumberFormat="1" applyFont="1" applyAlignment="1">
      <alignment vertical="center"/>
    </xf>
    <xf numFmtId="10" fontId="18" fillId="5" borderId="0" xfId="0" applyNumberFormat="1" applyFont="1" applyFill="1" applyAlignment="1">
      <alignment horizontal="left" vertical="center"/>
    </xf>
    <xf numFmtId="0" fontId="18" fillId="0" borderId="0" xfId="0" applyFont="1" applyAlignment="1">
      <alignment horizontal="center" vertical="center"/>
    </xf>
    <xf numFmtId="167" fontId="13" fillId="0" borderId="0" xfId="0" applyNumberFormat="1" applyFont="1"/>
    <xf numFmtId="165" fontId="13" fillId="0" borderId="0" xfId="0" applyNumberFormat="1" applyFont="1"/>
    <xf numFmtId="0" fontId="13" fillId="6" borderId="0" xfId="0" applyFont="1" applyFill="1" applyAlignment="1">
      <alignment vertical="center"/>
    </xf>
    <xf numFmtId="10" fontId="18" fillId="6" borderId="0" xfId="0" applyNumberFormat="1" applyFont="1" applyFill="1" applyAlignment="1">
      <alignment horizontal="left" vertical="center"/>
    </xf>
    <xf numFmtId="49" fontId="21" fillId="4" borderId="0" xfId="0" applyNumberFormat="1" applyFont="1" applyFill="1" applyAlignment="1">
      <alignment vertical="center" wrapText="1"/>
    </xf>
    <xf numFmtId="166" fontId="19" fillId="0" borderId="0" xfId="89" applyNumberFormat="1" applyFont="1" applyFill="1" applyBorder="1" applyAlignment="1">
      <alignment horizontal="left" vertical="center"/>
    </xf>
    <xf numFmtId="166" fontId="17" fillId="0" borderId="0" xfId="89" applyNumberFormat="1" applyFont="1" applyFill="1" applyBorder="1" applyAlignment="1">
      <alignment horizontal="left" vertical="center"/>
    </xf>
    <xf numFmtId="0" fontId="13" fillId="5" borderId="0" xfId="0" applyFont="1" applyFill="1" applyAlignment="1">
      <alignment vertical="center"/>
    </xf>
    <xf numFmtId="165" fontId="13" fillId="8" borderId="0" xfId="0" applyNumberFormat="1" applyFont="1" applyFill="1" applyAlignment="1">
      <alignment vertical="center"/>
    </xf>
    <xf numFmtId="0" fontId="13" fillId="8" borderId="0" xfId="0" applyFont="1" applyFill="1" applyAlignment="1">
      <alignment vertical="center"/>
    </xf>
    <xf numFmtId="0" fontId="13" fillId="10" borderId="0" xfId="0" applyFont="1" applyFill="1" applyAlignment="1">
      <alignment vertical="center"/>
    </xf>
    <xf numFmtId="0" fontId="13" fillId="11" borderId="0" xfId="0" applyFont="1" applyFill="1" applyAlignment="1">
      <alignment vertical="center"/>
    </xf>
    <xf numFmtId="4" fontId="13" fillId="12" borderId="0" xfId="0" applyNumberFormat="1" applyFont="1" applyFill="1" applyAlignment="1">
      <alignment vertical="center"/>
    </xf>
    <xf numFmtId="0" fontId="13" fillId="12" borderId="0" xfId="0" applyFont="1" applyFill="1" applyAlignment="1">
      <alignment vertical="center"/>
    </xf>
    <xf numFmtId="10" fontId="13" fillId="12" borderId="0" xfId="0" applyNumberFormat="1" applyFont="1" applyFill="1" applyAlignment="1">
      <alignment vertical="center"/>
    </xf>
    <xf numFmtId="49" fontId="21" fillId="12" borderId="0" xfId="0" applyNumberFormat="1" applyFont="1" applyFill="1" applyAlignment="1">
      <alignment vertical="center" wrapText="1"/>
    </xf>
    <xf numFmtId="0" fontId="13" fillId="9" borderId="0" xfId="0" applyFont="1" applyFill="1" applyAlignment="1">
      <alignment horizontal="center" vertical="center"/>
    </xf>
    <xf numFmtId="0" fontId="22" fillId="11" borderId="0" xfId="0" applyFont="1" applyFill="1" applyAlignment="1">
      <alignment vertical="center"/>
    </xf>
    <xf numFmtId="0" fontId="13" fillId="8" borderId="0" xfId="0" applyFont="1" applyFill="1" applyAlignment="1">
      <alignment horizontal="center" vertical="center"/>
    </xf>
    <xf numFmtId="166" fontId="17" fillId="8" borderId="0" xfId="89" applyNumberFormat="1" applyFont="1" applyFill="1" applyBorder="1" applyAlignment="1">
      <alignment horizontal="left" vertical="center"/>
    </xf>
    <xf numFmtId="4" fontId="13" fillId="0" borderId="0" xfId="0" applyNumberFormat="1" applyFont="1" applyAlignment="1">
      <alignment vertical="center"/>
    </xf>
    <xf numFmtId="4" fontId="13" fillId="8" borderId="0" xfId="0" applyNumberFormat="1" applyFont="1" applyFill="1" applyAlignment="1">
      <alignment vertical="center"/>
    </xf>
    <xf numFmtId="4" fontId="13" fillId="10" borderId="0" xfId="0" applyNumberFormat="1" applyFont="1" applyFill="1" applyAlignment="1">
      <alignment vertical="center"/>
    </xf>
    <xf numFmtId="0" fontId="12" fillId="9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10" fontId="13" fillId="0" borderId="0" xfId="0" applyNumberFormat="1" applyFont="1" applyAlignment="1">
      <alignment horizontal="center" vertical="center"/>
    </xf>
    <xf numFmtId="0" fontId="10" fillId="9" borderId="0" xfId="0" applyFont="1" applyFill="1" applyAlignment="1">
      <alignment vertical="center"/>
    </xf>
    <xf numFmtId="168" fontId="20" fillId="3" borderId="0" xfId="0" applyNumberFormat="1" applyFont="1" applyFill="1" applyAlignment="1">
      <alignment vertical="center"/>
    </xf>
    <xf numFmtId="168" fontId="13" fillId="4" borderId="0" xfId="0" applyNumberFormat="1" applyFont="1" applyFill="1" applyAlignment="1">
      <alignment vertical="center"/>
    </xf>
    <xf numFmtId="165" fontId="13" fillId="3" borderId="0" xfId="0" applyNumberFormat="1" applyFont="1" applyFill="1" applyAlignment="1">
      <alignment vertical="center"/>
    </xf>
    <xf numFmtId="169" fontId="13" fillId="9" borderId="0" xfId="0" applyNumberFormat="1" applyFont="1" applyFill="1" applyAlignment="1">
      <alignment vertical="center"/>
    </xf>
    <xf numFmtId="0" fontId="9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168" fontId="13" fillId="0" borderId="0" xfId="0" applyNumberFormat="1" applyFont="1" applyAlignment="1">
      <alignment vertical="center"/>
    </xf>
    <xf numFmtId="168" fontId="13" fillId="0" borderId="0" xfId="0" applyNumberFormat="1" applyFont="1"/>
    <xf numFmtId="0" fontId="7" fillId="9" borderId="0" xfId="0" applyFont="1" applyFill="1" applyAlignment="1">
      <alignment vertical="center"/>
    </xf>
    <xf numFmtId="0" fontId="26" fillId="7" borderId="0" xfId="0" applyFont="1" applyFill="1" applyAlignment="1">
      <alignment horizontal="left" vertical="center" wrapText="1"/>
    </xf>
    <xf numFmtId="0" fontId="23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/>
    </xf>
    <xf numFmtId="0" fontId="26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4" fontId="20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0" fontId="25" fillId="2" borderId="0" xfId="0" applyFont="1" applyFill="1" applyAlignment="1">
      <alignment horizontal="left" vertical="center" wrapText="1" indent="1"/>
    </xf>
    <xf numFmtId="0" fontId="23" fillId="0" borderId="0" xfId="0" applyFont="1" applyAlignment="1">
      <alignment horizontal="left" vertical="center" wrapText="1" indent="1"/>
    </xf>
    <xf numFmtId="168" fontId="20" fillId="9" borderId="0" xfId="0" applyNumberFormat="1" applyFont="1" applyFill="1" applyAlignment="1">
      <alignment vertical="center"/>
    </xf>
    <xf numFmtId="0" fontId="5" fillId="9" borderId="0" xfId="0" applyFont="1" applyFill="1" applyAlignment="1">
      <alignment vertical="center"/>
    </xf>
    <xf numFmtId="0" fontId="4" fillId="0" borderId="0" xfId="0" applyFont="1"/>
    <xf numFmtId="0" fontId="4" fillId="9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2" fillId="9" borderId="0" xfId="0" applyFont="1" applyFill="1" applyAlignment="1">
      <alignment vertical="center"/>
    </xf>
    <xf numFmtId="0" fontId="1" fillId="9" borderId="0" xfId="0" applyFont="1" applyFill="1" applyAlignment="1">
      <alignment vertical="center"/>
    </xf>
    <xf numFmtId="0" fontId="19" fillId="6" borderId="0" xfId="0" applyFont="1" applyFill="1" applyAlignment="1">
      <alignment horizontal="center" vertical="center" wrapText="1"/>
    </xf>
    <xf numFmtId="0" fontId="19" fillId="6" borderId="0" xfId="0" applyFont="1" applyFill="1" applyAlignment="1">
      <alignment horizontal="center" vertical="center"/>
    </xf>
    <xf numFmtId="0" fontId="26" fillId="7" borderId="0" xfId="0" applyFont="1" applyFill="1" applyAlignment="1">
      <alignment horizontal="left" vertical="center" wrapText="1" indent="1"/>
    </xf>
  </cellXfs>
  <cellStyles count="90">
    <cellStyle name="Comma" xfId="8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2" defaultPivotStyle="PivotStyleMedium9"/>
  <colors>
    <mruColors>
      <color rgb="FFFDF8E7"/>
      <color rgb="FFFAF0CA"/>
      <color rgb="FFF4D35E"/>
      <color rgb="FFF95738"/>
      <color rgb="FFEE964B"/>
      <color rgb="FF0D3B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6146356725281842"/>
          <c:y val="0.26673186027489504"/>
          <c:w val="0.28333333333333333"/>
          <c:h val="0.4722222222222222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69-4A00-81FF-288C5720EE0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69-4A00-81FF-288C5720EE0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669-4A00-81FF-288C5720EE08}"/>
              </c:ext>
            </c:extLst>
          </c:dPt>
          <c:dLbls>
            <c:dLbl>
              <c:idx val="0"/>
              <c:layout>
                <c:manualLayout>
                  <c:x val="0.16666666666666657"/>
                  <c:y val="1.851851851851843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669-4A00-81FF-288C5720EE08}"/>
                </c:ext>
              </c:extLst>
            </c:dLbl>
            <c:dLbl>
              <c:idx val="1"/>
              <c:layout>
                <c:manualLayout>
                  <c:x val="-0.19444444444444448"/>
                  <c:y val="0.3009259259259259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69-4A00-81FF-288C5720EE08}"/>
                </c:ext>
              </c:extLst>
            </c:dLbl>
            <c:dLbl>
              <c:idx val="2"/>
              <c:layout>
                <c:manualLayout>
                  <c:x val="-0.29444444444444445"/>
                  <c:y val="-6.481481481481481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69-4A00-81FF-288C5720EE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'Cap Table'!$B$8:$B$10</c:f>
              <c:strCache>
                <c:ptCount val="3"/>
                <c:pt idx="0">
                  <c:v>Felix Krause</c:v>
                </c:pt>
                <c:pt idx="1">
                  <c:v>knallgrau Beteiligungs- und Beratungs Gesellschaft m.b.H.</c:v>
                </c:pt>
                <c:pt idx="2">
                  <c:v>Reinhard Hafenscher</c:v>
                </c:pt>
              </c:strCache>
            </c:strRef>
          </c:cat>
          <c:val>
            <c:numRef>
              <c:f>'Cap Table'!$E$8:$E$10</c:f>
              <c:numCache>
                <c:formatCode>#,##0.00</c:formatCode>
                <c:ptCount val="3"/>
                <c:pt idx="0">
                  <c:v>7350000</c:v>
                </c:pt>
                <c:pt idx="1">
                  <c:v>2450000</c:v>
                </c:pt>
                <c:pt idx="2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9-4A00-81FF-288C5720EE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6087335958005251"/>
          <c:y val="0.27296004666083412"/>
          <c:w val="0.27547572178477692"/>
          <c:h val="0.4591262029746281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52-4693-B851-62CA781138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E52-4693-B851-62CA781138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E52-4693-B851-62CA781138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E52-4693-B851-62CA781138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E52-4693-B851-62CA7811388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E52-4693-B851-62CA7811388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E52-4693-B851-62CA7811388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E52-4693-B851-62CA7811388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E52-4693-B851-62CA7811388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52-4693-B851-62CA7811388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E52-4693-B851-62CA7811388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52-4693-B851-62CA7811388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52-4693-B851-62CA7811388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E52-4693-B851-62CA7811388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52-4693-B851-62CA78113881}"/>
              </c:ext>
            </c:extLst>
          </c:dPt>
          <c:dLbls>
            <c:dLbl>
              <c:idx val="0"/>
              <c:layout>
                <c:manualLayout>
                  <c:x val="0.13953415807176539"/>
                  <c:y val="0.124757703068948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E52-4693-B851-62CA78113881}"/>
                </c:ext>
              </c:extLst>
            </c:dLbl>
            <c:dLbl>
              <c:idx val="1"/>
              <c:layout>
                <c:manualLayout>
                  <c:x val="-0.17166052354925185"/>
                  <c:y val="0.196739058748819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109319057089"/>
                      <c:h val="0.2975131681201968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7E52-4693-B851-62CA78113881}"/>
                </c:ext>
              </c:extLst>
            </c:dLbl>
            <c:dLbl>
              <c:idx val="2"/>
              <c:layout>
                <c:manualLayout>
                  <c:x val="-0.21219146828493807"/>
                  <c:y val="-6.907866332786467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E52-4693-B851-62CA7811388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E52-4693-B851-62CA7811388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E52-4693-B851-62CA7811388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E52-4693-B851-62CA7811388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E52-4693-B851-62CA7811388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E52-4693-B851-62CA7811388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E52-4693-B851-62CA7811388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E52-4693-B851-62CA7811388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E52-4693-B851-62CA7811388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E52-4693-B851-62CA78113881}"/>
                </c:ext>
              </c:extLst>
            </c:dLbl>
            <c:dLbl>
              <c:idx val="12"/>
              <c:layout>
                <c:manualLayout>
                  <c:x val="-6.4185712713012072E-2"/>
                  <c:y val="-0.1826809223509599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E52-4693-B851-62CA78113881}"/>
                </c:ext>
              </c:extLst>
            </c:dLbl>
            <c:dLbl>
              <c:idx val="13"/>
              <c:layout>
                <c:manualLayout>
                  <c:x val="2.232546529148241E-2"/>
                  <c:y val="-0.1604027610886478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E52-4693-B851-62CA78113881}"/>
                </c:ext>
              </c:extLst>
            </c:dLbl>
            <c:dLbl>
              <c:idx val="14"/>
              <c:layout>
                <c:manualLayout>
                  <c:x val="0.20092918762334216"/>
                  <c:y val="-0.1336689675738731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E52-4693-B851-62CA781138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'Cap Table'!$B$8:$B$21</c:f>
              <c:strCache>
                <c:ptCount val="14"/>
                <c:pt idx="0">
                  <c:v>Felix Krause</c:v>
                </c:pt>
                <c:pt idx="1">
                  <c:v>knallgrau Beteiligungs- und Beratungs Gesellschaft m.b.H.</c:v>
                </c:pt>
                <c:pt idx="2">
                  <c:v>Reinhard Hafenscher</c:v>
                </c:pt>
                <c:pt idx="3">
                  <c:v>Heracles Capital Fund I</c:v>
                </c:pt>
                <c:pt idx="4">
                  <c:v>Foxyflo GmbH</c:v>
                </c:pt>
                <c:pt idx="5">
                  <c:v>Michael Schuster</c:v>
                </c:pt>
                <c:pt idx="6">
                  <c:v>Roundtable - ContextSDK, special Limited partnership</c:v>
                </c:pt>
                <c:pt idx="7">
                  <c:v>Joe Smash Ventures GmbH</c:v>
                </c:pt>
                <c:pt idx="8">
                  <c:v>PST Beteiligungs GmbH</c:v>
                </c:pt>
                <c:pt idx="9">
                  <c:v>Fund I, a series of Explorer34 Fund, LP</c:v>
                </c:pt>
                <c:pt idx="10">
                  <c:v>Moataz Soliman Ibrahim</c:v>
                </c:pt>
                <c:pt idx="11">
                  <c:v>TeHoch4Quadrat GmbH</c:v>
                </c:pt>
                <c:pt idx="12">
                  <c:v>Speedinvest IV EuVECA GmbH &amp; Co KG</c:v>
                </c:pt>
                <c:pt idx="13">
                  <c:v>First Momentum Ventures Fund II GmbH &amp; Co. KG</c:v>
                </c:pt>
              </c:strCache>
            </c:strRef>
          </c:cat>
          <c:val>
            <c:numRef>
              <c:f>'Cap Table'!$M$8:$M$21</c:f>
              <c:numCache>
                <c:formatCode>#,##0.00</c:formatCode>
                <c:ptCount val="14"/>
                <c:pt idx="0">
                  <c:v>7350000</c:v>
                </c:pt>
                <c:pt idx="1">
                  <c:v>2450000</c:v>
                </c:pt>
                <c:pt idx="2">
                  <c:v>200000</c:v>
                </c:pt>
                <c:pt idx="3">
                  <c:v>150000</c:v>
                </c:pt>
                <c:pt idx="4">
                  <c:v>50000</c:v>
                </c:pt>
                <c:pt idx="5">
                  <c:v>40000</c:v>
                </c:pt>
                <c:pt idx="6">
                  <c:v>208999.99999999997</c:v>
                </c:pt>
                <c:pt idx="7">
                  <c:v>100000</c:v>
                </c:pt>
                <c:pt idx="8">
                  <c:v>50000</c:v>
                </c:pt>
                <c:pt idx="9">
                  <c:v>9250</c:v>
                </c:pt>
                <c:pt idx="10">
                  <c:v>9250</c:v>
                </c:pt>
                <c:pt idx="11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2-4693-B851-62CA781138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Record</a:t>
            </a:r>
            <a:r>
              <a:rPr lang="en-US" baseline="0">
                <a:solidFill>
                  <a:sysClr val="windowText" lastClr="000000"/>
                </a:solidFill>
              </a:rPr>
              <a:t> Holdings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550051565799595"/>
          <c:y val="0.31020318846953604"/>
          <c:w val="0.3563309160159554"/>
          <c:h val="0.5846813213732896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EE-454F-9664-CACE3F4118A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EE-454F-9664-CACE3F4118A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9EE-454F-9664-CACE3F4118A3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9EE-454F-9664-CACE3F4118A3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9EE-454F-9664-CACE3F4118A3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9EE-454F-9664-CACE3F4118A3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9EE-454F-9664-CACE3F4118A3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9EE-454F-9664-CACE3F4118A3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9EE-454F-9664-CACE3F4118A3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9EE-454F-9664-CACE3F4118A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EE-454F-9664-CACE3F4118A3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9EE-454F-9664-CACE3F4118A3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9EE-454F-9664-CACE3F4118A3}"/>
              </c:ext>
            </c:extLst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9EE-454F-9664-CACE3F4118A3}"/>
              </c:ext>
            </c:extLst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9EE-454F-9664-CACE3F4118A3}"/>
              </c:ext>
            </c:extLst>
          </c:dPt>
          <c:dPt>
            <c:idx val="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206E-4472-B93D-9C0F23F0E01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06E-4472-B93D-9C0F23F0E017}"/>
              </c:ext>
            </c:extLst>
          </c:dPt>
          <c:dPt>
            <c:idx val="1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206E-4472-B93D-9C0F23F0E017}"/>
              </c:ext>
            </c:extLst>
          </c:dPt>
          <c:dLbls>
            <c:dLbl>
              <c:idx val="0"/>
              <c:layout>
                <c:manualLayout>
                  <c:x val="0.18295218295218305"/>
                  <c:y val="-8.414554044752041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20709807323982"/>
                      <c:h val="0.1545094058920143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9EE-454F-9664-CACE3F4118A3}"/>
                </c:ext>
              </c:extLst>
            </c:dLbl>
            <c:dLbl>
              <c:idx val="1"/>
              <c:layout>
                <c:manualLayout>
                  <c:x val="-0.14137214137214138"/>
                  <c:y val="9.096815183515710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Knallgrau</a:t>
                    </a:r>
                    <a:br>
                      <a:rPr lang="en-US" baseline="0"/>
                    </a:br>
                    <a:r>
                      <a:rPr lang="en-US" baseline="0"/>
                      <a:t>(Dieter Rappold)
</a:t>
                    </a:r>
                    <a:fld id="{2C420666-F7B7-41DA-9663-AE0340B2F91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9EE-454F-9664-CACE3F4118A3}"/>
                </c:ext>
              </c:extLst>
            </c:dLbl>
            <c:dLbl>
              <c:idx val="2"/>
              <c:layout>
                <c:manualLayout>
                  <c:x val="-0.19126819126819128"/>
                  <c:y val="-9.096815183515710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9EE-454F-9664-CACE3F4118A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9EE-454F-9664-CACE3F4118A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9EE-454F-9664-CACE3F4118A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9EE-454F-9664-CACE3F4118A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9EE-454F-9664-CACE3F4118A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9EE-454F-9664-CACE3F4118A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9EE-454F-9664-CACE3F4118A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9EE-454F-9664-CACE3F4118A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9EE-454F-9664-CACE3F4118A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9EE-454F-9664-CACE3F4118A3}"/>
                </c:ext>
              </c:extLst>
            </c:dLbl>
            <c:dLbl>
              <c:idx val="12"/>
              <c:layout>
                <c:manualLayout>
                  <c:x val="-0.21067221067221067"/>
                  <c:y val="-2.729044555054713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Speedinvest</a:t>
                    </a:r>
                    <a:r>
                      <a:rPr lang="en-US" baseline="0"/>
                      <a:t>
</a:t>
                    </a:r>
                    <a:fld id="{1E206C45-530E-4995-91FA-1CC99D27EC3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9EE-454F-9664-CACE3F4118A3}"/>
                </c:ext>
              </c:extLst>
            </c:dLbl>
            <c:dLbl>
              <c:idx val="13"/>
              <c:layout>
                <c:manualLayout>
                  <c:x val="-0.21344421344421349"/>
                  <c:y val="-0.1637426733032828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9EE-454F-9664-CACE3F4118A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9EE-454F-9664-CACE3F4118A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06E-4472-B93D-9C0F23F0E017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06E-4472-B93D-9C0F23F0E017}"/>
                </c:ext>
              </c:extLst>
            </c:dLbl>
            <c:dLbl>
              <c:idx val="17"/>
              <c:layout>
                <c:manualLayout>
                  <c:x val="0.41554366211185767"/>
                  <c:y val="-0.11475843502263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06E-4472-B93D-9C0F23F0E0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'Cap Table'!$B$8:$B$24</c:f>
              <c:strCache>
                <c:ptCount val="17"/>
                <c:pt idx="0">
                  <c:v>Felix Krause</c:v>
                </c:pt>
                <c:pt idx="1">
                  <c:v>knallgrau Beteiligungs- und Beratungs Gesellschaft m.b.H.</c:v>
                </c:pt>
                <c:pt idx="2">
                  <c:v>Reinhard Hafenscher</c:v>
                </c:pt>
                <c:pt idx="3">
                  <c:v>Heracles Capital Fund I</c:v>
                </c:pt>
                <c:pt idx="4">
                  <c:v>Foxyflo GmbH</c:v>
                </c:pt>
                <c:pt idx="5">
                  <c:v>Michael Schuster</c:v>
                </c:pt>
                <c:pt idx="6">
                  <c:v>Roundtable - ContextSDK, special Limited partnership</c:v>
                </c:pt>
                <c:pt idx="7">
                  <c:v>Joe Smash Ventures GmbH</c:v>
                </c:pt>
                <c:pt idx="8">
                  <c:v>PST Beteiligungs GmbH</c:v>
                </c:pt>
                <c:pt idx="9">
                  <c:v>Fund I, a series of Explorer34 Fund, LP</c:v>
                </c:pt>
                <c:pt idx="10">
                  <c:v>Moataz Soliman Ibrahim</c:v>
                </c:pt>
                <c:pt idx="11">
                  <c:v>TeHoch4Quadrat GmbH</c:v>
                </c:pt>
                <c:pt idx="12">
                  <c:v>Speedinvest IV EuVECA GmbH &amp; Co KG</c:v>
                </c:pt>
                <c:pt idx="13">
                  <c:v>First Momentum Ventures Fund II GmbH &amp; Co. KG</c:v>
                </c:pt>
                <c:pt idx="14">
                  <c:v>Martin Price</c:v>
                </c:pt>
                <c:pt idx="15">
                  <c:v>make visions capital gmbh</c:v>
                </c:pt>
                <c:pt idx="16">
                  <c:v>Scout Fund VII, LP</c:v>
                </c:pt>
              </c:strCache>
            </c:strRef>
          </c:cat>
          <c:val>
            <c:numRef>
              <c:f>'Cap Table'!$AG$8:$AG$24</c:f>
              <c:numCache>
                <c:formatCode>0.00%</c:formatCode>
                <c:ptCount val="17"/>
                <c:pt idx="0">
                  <c:v>0.54107108665551595</c:v>
                </c:pt>
                <c:pt idx="1">
                  <c:v>0.18035702888517199</c:v>
                </c:pt>
                <c:pt idx="2">
                  <c:v>1.4723022766136488E-2</c:v>
                </c:pt>
                <c:pt idx="3">
                  <c:v>1.6495233016496337E-2</c:v>
                </c:pt>
                <c:pt idx="4">
                  <c:v>3.680755691534122E-3</c:v>
                </c:pt>
                <c:pt idx="5">
                  <c:v>2.9446045532272977E-3</c:v>
                </c:pt>
                <c:pt idx="6">
                  <c:v>1.5385558790612628E-2</c:v>
                </c:pt>
                <c:pt idx="7">
                  <c:v>7.3615113830682441E-3</c:v>
                </c:pt>
                <c:pt idx="8">
                  <c:v>4.4986932213068346E-3</c:v>
                </c:pt>
                <c:pt idx="9">
                  <c:v>6.8093980293381263E-4</c:v>
                </c:pt>
                <c:pt idx="10">
                  <c:v>6.8093980293381263E-4</c:v>
                </c:pt>
                <c:pt idx="11">
                  <c:v>7.3615113830682441E-3</c:v>
                </c:pt>
                <c:pt idx="12">
                  <c:v>0.16358912548704679</c:v>
                </c:pt>
                <c:pt idx="13">
                  <c:v>3.2717795651363825E-2</c:v>
                </c:pt>
                <c:pt idx="14">
                  <c:v>1.3632782930304082E-3</c:v>
                </c:pt>
                <c:pt idx="15">
                  <c:v>1.0906079114015603E-3</c:v>
                </c:pt>
                <c:pt idx="16">
                  <c:v>1.0906079114015603E-3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E-454F-9664-CACE3F411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Founder vs. Investor Shares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'Cap Table'!$AB$56</c:f>
              <c:strCache>
                <c:ptCount val="1"/>
                <c:pt idx="0">
                  <c:v>Founders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'Cap Table'!$AD$56</c:f>
              <c:numCache>
                <c:formatCode>0.00%</c:formatCode>
                <c:ptCount val="1"/>
                <c:pt idx="0">
                  <c:v>0.73615113830682444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719E-4212-842F-D2A047DC47CD}"/>
            </c:ext>
          </c:extLst>
        </c:ser>
        <c:ser>
          <c:idx val="1"/>
          <c:order val="1"/>
          <c:tx>
            <c:strRef>
              <c:f>'Cap Table'!$AB$57</c:f>
              <c:strCache>
                <c:ptCount val="1"/>
                <c:pt idx="0">
                  <c:v>Investors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'Cap Table'!$AD$57</c:f>
              <c:numCache>
                <c:formatCode>0.00%</c:formatCode>
                <c:ptCount val="1"/>
                <c:pt idx="0">
                  <c:v>0.25894116289942554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719E-4212-842F-D2A047DC4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9852511"/>
        <c:axId val="1489851551"/>
        <c:axId val="0"/>
      </c:bar3DChart>
      <c:catAx>
        <c:axId val="148985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851551"/>
        <c:crosses val="autoZero"/>
        <c:auto val="1"/>
        <c:lblAlgn val="ctr"/>
        <c:lblOffset val="100"/>
        <c:noMultiLvlLbl val="0"/>
      </c:catAx>
      <c:valAx>
        <c:axId val="14898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85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Seed Preferred Majority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51A-4583-AA9B-572F6B9E67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51A-4583-AA9B-572F6B9E67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51A-4583-AA9B-572F6B9E67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1A-4583-AA9B-572F6B9E671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51A-4583-AA9B-572F6B9E671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1A-4583-AA9B-572F6B9E671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51A-4583-AA9B-572F6B9E671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51A-4583-AA9B-572F6B9E671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1A-4583-AA9B-572F6B9E671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1A-4583-AA9B-572F6B9E671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51A-4583-AA9B-572F6B9E671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C51A-4583-AA9B-572F6B9E671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51A-4583-AA9B-572F6B9E671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C51A-4583-AA9B-572F6B9E671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51A-4583-AA9B-572F6B9E6712}"/>
              </c:ext>
            </c:extLst>
          </c:dPt>
          <c:dLbls>
            <c:dLbl>
              <c:idx val="0"/>
              <c:layout>
                <c:manualLayout>
                  <c:x val="0.34457353036206728"/>
                  <c:y val="-0.1100994546663646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302144879342897"/>
                      <c:h val="0.1649434672844971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C51A-4583-AA9B-572F6B9E671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51A-4583-AA9B-572F6B9E671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51A-4583-AA9B-572F6B9E6712}"/>
                </c:ext>
              </c:extLst>
            </c:dLbl>
            <c:dLbl>
              <c:idx val="3"/>
              <c:layout>
                <c:manualLayout>
                  <c:x val="0.23750967125589226"/>
                  <c:y val="6.422489260030263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61450505001109"/>
                      <c:h val="0.2657306737436863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C51A-4583-AA9B-572F6B9E6712}"/>
                </c:ext>
              </c:extLst>
            </c:dLbl>
            <c:dLbl>
              <c:idx val="4"/>
              <c:layout>
                <c:manualLayout>
                  <c:x val="0.21348806178426147"/>
                  <c:y val="0.2706620473869896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51A-4583-AA9B-572F6B9E671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51A-4583-AA9B-572F6B9E671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51A-4583-AA9B-572F6B9E671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51A-4583-AA9B-572F6B9E6712}"/>
                </c:ext>
              </c:extLst>
            </c:dLbl>
            <c:dLbl>
              <c:idx val="8"/>
              <c:layout>
                <c:manualLayout>
                  <c:x val="0.18298976724365276"/>
                  <c:y val="0.3807618632732227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51A-4583-AA9B-572F6B9E6712}"/>
                </c:ext>
              </c:extLst>
            </c:dLbl>
            <c:dLbl>
              <c:idx val="9"/>
              <c:layout>
                <c:manualLayout>
                  <c:x val="-0.29666522871319467"/>
                  <c:y val="9.174984657186005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1A-4583-AA9B-572F6B9E6712}"/>
                </c:ext>
              </c:extLst>
            </c:dLbl>
            <c:dLbl>
              <c:idx val="10"/>
              <c:layout>
                <c:manualLayout>
                  <c:x val="-0.17189947831979502"/>
                  <c:y val="-7.339987725748871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51A-4583-AA9B-572F6B9E671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51A-4583-AA9B-572F6B9E671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51A-4583-AA9B-572F6B9E671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51A-4583-AA9B-572F6B9E671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51A-4583-AA9B-572F6B9E67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'Cap Table'!$B$11:$B$24</c:f>
              <c:strCache>
                <c:ptCount val="14"/>
                <c:pt idx="0">
                  <c:v>Heracles Capital Fund I</c:v>
                </c:pt>
                <c:pt idx="1">
                  <c:v>Foxyflo GmbH</c:v>
                </c:pt>
                <c:pt idx="2">
                  <c:v>Michael Schuster</c:v>
                </c:pt>
                <c:pt idx="3">
                  <c:v>Roundtable - ContextSDK, special Limited partnership</c:v>
                </c:pt>
                <c:pt idx="4">
                  <c:v>Joe Smash Ventures GmbH</c:v>
                </c:pt>
                <c:pt idx="5">
                  <c:v>PST Beteiligungs GmbH</c:v>
                </c:pt>
                <c:pt idx="6">
                  <c:v>Fund I, a series of Explorer34 Fund, LP</c:v>
                </c:pt>
                <c:pt idx="7">
                  <c:v>Moataz Soliman Ibrahim</c:v>
                </c:pt>
                <c:pt idx="8">
                  <c:v>TeHoch4Quadrat GmbH</c:v>
                </c:pt>
                <c:pt idx="9">
                  <c:v>Speedinvest IV EuVECA GmbH &amp; Co KG</c:v>
                </c:pt>
                <c:pt idx="10">
                  <c:v>First Momentum Ventures Fund II GmbH &amp; Co. KG</c:v>
                </c:pt>
                <c:pt idx="11">
                  <c:v>Martin Price</c:v>
                </c:pt>
                <c:pt idx="12">
                  <c:v>make visions capital gmbh</c:v>
                </c:pt>
                <c:pt idx="13">
                  <c:v>Scout Fund VII, LP</c:v>
                </c:pt>
              </c:strCache>
            </c:strRef>
          </c:cat>
          <c:val>
            <c:numRef>
              <c:f>'Cap Table'!$AI$11:$AI$24</c:f>
              <c:numCache>
                <c:formatCode>0.00%</c:formatCode>
                <c:ptCount val="14"/>
                <c:pt idx="0">
                  <c:v>2.5839764437236692E-2</c:v>
                </c:pt>
                <c:pt idx="3">
                  <c:v>0</c:v>
                </c:pt>
                <c:pt idx="5">
                  <c:v>3.8759297818686299E-3</c:v>
                </c:pt>
                <c:pt idx="9">
                  <c:v>0.77519363079143833</c:v>
                </c:pt>
                <c:pt idx="10">
                  <c:v>0.15503858662342015</c:v>
                </c:pt>
                <c:pt idx="11">
                  <c:v>6.4601155278935429E-3</c:v>
                </c:pt>
                <c:pt idx="12">
                  <c:v>5.1680226548810864E-3</c:v>
                </c:pt>
                <c:pt idx="13">
                  <c:v>5.1680226548810864E-3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A-4583-AA9B-572F6B9E67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80115</xdr:colOff>
      <xdr:row>0</xdr:row>
      <xdr:rowOff>387142</xdr:rowOff>
    </xdr:from>
    <xdr:to>
      <xdr:col>4</xdr:col>
      <xdr:colOff>1100408</xdr:colOff>
      <xdr:row>1</xdr:row>
      <xdr:rowOff>225320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4301" y="387142"/>
          <a:ext cx="1001243" cy="454601"/>
        </a:xfrm>
        <a:prstGeom prst="rect">
          <a:avLst/>
        </a:prstGeom>
      </xdr:spPr>
    </xdr:pic>
    <xdr:clientData/>
  </xdr:twoCellAnchor>
  <xdr:twoCellAnchor editAs="oneCell">
    <xdr:from>
      <xdr:col>0</xdr:col>
      <xdr:colOff>80117</xdr:colOff>
      <xdr:row>0</xdr:row>
      <xdr:rowOff>80118</xdr:rowOff>
    </xdr:from>
    <xdr:to>
      <xdr:col>1</xdr:col>
      <xdr:colOff>3157605</xdr:colOff>
      <xdr:row>1</xdr:row>
      <xdr:rowOff>148769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BB2E2D-FBEE-3929-A268-F4E561CC9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117" y="80118"/>
          <a:ext cx="3354105" cy="685444"/>
        </a:xfrm>
        <a:prstGeom prst="rect">
          <a:avLst/>
        </a:prstGeom>
      </xdr:spPr>
    </xdr:pic>
    <xdr:clientData/>
  </xdr:twoCellAnchor>
  <xdr:twoCellAnchor>
    <xdr:from>
      <xdr:col>1</xdr:col>
      <xdr:colOff>3186381</xdr:colOff>
      <xdr:row>42</xdr:row>
      <xdr:rowOff>30193</xdr:rowOff>
    </xdr:from>
    <xdr:to>
      <xdr:col>6</xdr:col>
      <xdr:colOff>197689</xdr:colOff>
      <xdr:row>56</xdr:row>
      <xdr:rowOff>125802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F4B28F-AA48-4DA9-4277-F6CF46E1F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452461</xdr:colOff>
      <xdr:row>42</xdr:row>
      <xdr:rowOff>135318</xdr:rowOff>
    </xdr:from>
    <xdr:to>
      <xdr:col>9</xdr:col>
      <xdr:colOff>109904</xdr:colOff>
      <xdr:row>64</xdr:row>
      <xdr:rowOff>109903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5E2545-8F0C-F8C1-3233-0186CC963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127908</xdr:colOff>
      <xdr:row>33</xdr:row>
      <xdr:rowOff>137431</xdr:rowOff>
    </xdr:from>
    <xdr:to>
      <xdr:col>32</xdr:col>
      <xdr:colOff>1080408</xdr:colOff>
      <xdr:row>52</xdr:row>
      <xdr:rowOff>34017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D1811F5-6BD2-F2A8-EF0E-D90B9BEB9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61232</xdr:colOff>
      <xdr:row>59</xdr:row>
      <xdr:rowOff>70756</xdr:rowOff>
    </xdr:from>
    <xdr:to>
      <xdr:col>32</xdr:col>
      <xdr:colOff>1013732</xdr:colOff>
      <xdr:row>77</xdr:row>
      <xdr:rowOff>119741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1241D86-F09B-EA6D-2A5E-A83E3620E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4430</xdr:colOff>
      <xdr:row>33</xdr:row>
      <xdr:rowOff>134679</xdr:rowOff>
    </xdr:from>
    <xdr:to>
      <xdr:col>39</xdr:col>
      <xdr:colOff>48733</xdr:colOff>
      <xdr:row>53</xdr:row>
      <xdr:rowOff>33670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56D085-B7F1-CA35-96BE-219DC945E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80115</xdr:colOff>
      <xdr:row>0</xdr:row>
      <xdr:rowOff>387142</xdr:rowOff>
    </xdr:from>
    <xdr:to>
      <xdr:col>2</xdr:col>
      <xdr:colOff>1100408</xdr:colOff>
      <xdr:row>1</xdr:row>
      <xdr:rowOff>225320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A11671-6A04-4F58-85CB-196DE0F25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7715" y="387142"/>
          <a:ext cx="1020293" cy="463018"/>
        </a:xfrm>
        <a:prstGeom prst="rect">
          <a:avLst/>
        </a:prstGeom>
      </xdr:spPr>
    </xdr:pic>
    <xdr:clientData/>
  </xdr:twoCellAnchor>
  <xdr:twoCellAnchor editAs="oneCell">
    <xdr:from>
      <xdr:col>0</xdr:col>
      <xdr:colOff>80117</xdr:colOff>
      <xdr:row>0</xdr:row>
      <xdr:rowOff>80118</xdr:rowOff>
    </xdr:from>
    <xdr:to>
      <xdr:col>4</xdr:col>
      <xdr:colOff>82935</xdr:colOff>
      <xdr:row>1</xdr:row>
      <xdr:rowOff>148769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2D9C2E-412D-4FFA-8EF6-E7858B59D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117" y="80118"/>
          <a:ext cx="3382288" cy="6934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1" dT="2024-07-15T10:26:46.00" personId="{00000000-0000-0000-0000-000000000000}" id="{EFA05F93-36BB-479C-BF3C-83BF47A45535}">
    <text>First Momentum Ventures Fund II GmbH &amp; Co. KG with seat in Karlsruhe (business adress: Roonstr. 23 a, 76137 Karlsruhe), registered with the Commercial Register of the local court of Mannheim under HRA 710275</text>
  </threadedComment>
  <threadedComment ref="B22" dT="2024-07-15T10:26:05.08" personId="{00000000-0000-0000-0000-000000000000}" id="{C9051472-C2D8-4A02-A33F-675BFAAA3FF9}">
    <text xml:space="preserve"> mprice@productification.com
708 Long Bridge Street apt 1606, San Francisco, CA 94158
</text>
    <extLst>
      <x:ext xmlns:xltc2="http://schemas.microsoft.com/office/spreadsheetml/2020/threadedcomments2" uri="{F7C98A9C-CBB3-438F-8F68-D28B6AF4A901}">
        <xltc2:checksum>4097730065</xltc2:checksum>
        <xltc2:hyperlink startIndex="1" length="27" url="mprice@productification.com"/>
      </x:ext>
    </extLst>
  </threadedComment>
  <threadedComment ref="B23" dT="2024-07-15T10:22:24.03" personId="{00000000-0000-0000-0000-000000000000}" id="{C5429C4F-2F5C-4C8F-8A82-AEBC32DEB545}">
    <text>Has.to.be co-founder
make visions capital gmbh
Salzburger Straße 24a, A-5550 Radstadt, Austria
Web: https://make-visions.com
Reg. Council: Salzburg, Reg.-No. FN 552304m
VAT: ATU77090247, Managing director: Martin Klässner</text>
    <extLst>
      <x:ext xmlns:xltc2="http://schemas.microsoft.com/office/spreadsheetml/2020/threadedcomments2" uri="{F7C98A9C-CBB3-438F-8F68-D28B6AF4A901}">
        <xltc2:checksum>964996008</xltc2:checksum>
        <xltc2:hyperlink startIndex="101" length="24" url="https://make-visions.com"/>
      </x:ext>
    </extLst>
  </threadedComment>
  <threadedComment ref="B24" dT="2024-07-15T10:20:46.02" personId="{00000000-0000-0000-0000-000000000000}" id="{08AF5D75-C7AA-408D-9058-ABB3D55DABED}">
    <text xml:space="preserve">Signed by Misha Kowatschew
(Misha also contributed EUR 20k through roundtable)
michael.kowatschew@sigma-squared.org
Investor:   Scout Fund VII, LP
Name:   Anna Swank
Title:   Authorized Signatory
Address:   2800 Sand Hill Rd, Suite 101, Menlo Park CA 94025
Email: scoutservices@sequoiacap.com
</text>
    <extLst>
      <x:ext xmlns:xltc2="http://schemas.microsoft.com/office/spreadsheetml/2020/threadedcomments2" uri="{F7C98A9C-CBB3-438F-8F68-D28B6AF4A901}">
        <xltc2:checksum>826913443</xltc2:checksum>
        <xltc2:hyperlink startIndex="81" length="36" url="michael.kowatschew@sigma-squared.org"/>
        <xltc2:hyperlink startIndex="267" length="28" url="mailto:scoutservices@sequoiacap.com"/>
      </x:ext>
    </extLst>
  </threadedComment>
  <threadedComment ref="B25" dT="2024-07-22T15:10:13.65" personId="{00000000-0000-0000-0000-000000000000}" id="{CCA98A1A-0567-4E2B-BDEE-1635AFDFFB36}">
    <text xml:space="preserve">Name: Michael Kowatschew
Address: Marxergasse 24/2/EG, 1030 Vienna, Austria
</text>
    <extLst>
      <x:ext xmlns:xltc2="http://schemas.microsoft.com/office/spreadsheetml/2020/threadedcomments2" uri="{F7C98A9C-CBB3-438F-8F68-D28B6AF4A901}">
        <xltc2:checksum>3593889839</xltc2:checksum>
        <xltc2:hyperlink startIndex="34" length="14" url="https://www.google.com/maps/search/Marxergasse+24?entry=gmail&amp;source=g"/>
      </x:ext>
    </extLst>
  </threadedComment>
  <threadedComment ref="X26" dT="2024-07-15T10:21:47.17" personId="{00000000-0000-0000-0000-000000000000}" id="{27A9512A-1D57-4340-AA33-28268CF1BB7F}">
    <text>roundtable, direct Ticket von Misha Kowatschew + small ticket von Jonathan Parisot included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ric@hrcls.vc" TargetMode="External"/><Relationship Id="rId13" Type="http://schemas.openxmlformats.org/officeDocument/2006/relationships/hyperlink" Target="mailto:johannes@moser.wtf" TargetMode="External"/><Relationship Id="rId18" Type="http://schemas.openxmlformats.org/officeDocument/2006/relationships/comments" Target="../comments1.xml"/><Relationship Id="rId3" Type="http://schemas.openxmlformats.org/officeDocument/2006/relationships/hyperlink" Target="mailto:scoutservices@sequoiacap.com" TargetMode="External"/><Relationship Id="rId7" Type="http://schemas.openxmlformats.org/officeDocument/2006/relationships/hyperlink" Target="mailto:alexander.gruber@speedinvest.com" TargetMode="External"/><Relationship Id="rId12" Type="http://schemas.openxmlformats.org/officeDocument/2006/relationships/hyperlink" Target="mailto:michael@morgen.ventures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mailto:steipete@gmail.com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mailto:Holger.temme@gmail.com" TargetMode="External"/><Relationship Id="rId6" Type="http://schemas.openxmlformats.org/officeDocument/2006/relationships/hyperlink" Target="mailto:sebastian.boehmer@firstmomentum.vc" TargetMode="External"/><Relationship Id="rId11" Type="http://schemas.openxmlformats.org/officeDocument/2006/relationships/hyperlink" Target="mailto:florian.gschwandtner@gmail.com" TargetMode="External"/><Relationship Id="rId5" Type="http://schemas.openxmlformats.org/officeDocument/2006/relationships/hyperlink" Target="mailto:portfolio@roundtable.eu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mprice@productification.com" TargetMode="External"/><Relationship Id="rId19" Type="http://schemas.microsoft.com/office/2017/10/relationships/threadedComment" Target="../threadedComments/threadedComment1.xml"/><Relationship Id="rId4" Type="http://schemas.openxmlformats.org/officeDocument/2006/relationships/hyperlink" Target="mailto:martin@make-visions.com" TargetMode="External"/><Relationship Id="rId9" Type="http://schemas.openxmlformats.org/officeDocument/2006/relationships/hyperlink" Target="mailto:msoliman3890@gmail.com" TargetMode="External"/><Relationship Id="rId14" Type="http://schemas.openxmlformats.org/officeDocument/2006/relationships/hyperlink" Target="mailto:portfolio@roundtable.e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AK57"/>
  <sheetViews>
    <sheetView tabSelected="1" topLeftCell="A6" zoomScaleNormal="100" zoomScalePageLayoutView="130" workbookViewId="0">
      <pane xSplit="2" topLeftCell="AA1" activePane="topRight" state="frozen"/>
      <selection pane="topRight" activeCell="AD26" sqref="AD26"/>
    </sheetView>
  </sheetViews>
  <sheetFormatPr defaultColWidth="8.7109375" defaultRowHeight="12" x14ac:dyDescent="0.25"/>
  <cols>
    <col min="1" max="1" width="4.42578125" style="15" customWidth="1"/>
    <col min="2" max="2" width="48.85546875" style="15" customWidth="1"/>
    <col min="3" max="3" width="25.7109375" style="15" hidden="1" customWidth="1"/>
    <col min="4" max="4" width="25.28515625" style="15" hidden="1" customWidth="1"/>
    <col min="5" max="5" width="18.7109375" style="15" customWidth="1"/>
    <col min="6" max="6" width="22.7109375" style="15" customWidth="1"/>
    <col min="7" max="7" width="3.140625" style="15" customWidth="1"/>
    <col min="8" max="8" width="17.7109375" style="15" customWidth="1"/>
    <col min="9" max="9" width="15.5703125" style="15" customWidth="1"/>
    <col min="10" max="10" width="3.140625" style="15" customWidth="1"/>
    <col min="11" max="11" width="19.85546875" style="15" customWidth="1"/>
    <col min="12" max="12" width="19" style="15" customWidth="1"/>
    <col min="13" max="13" width="15.5703125" style="15" customWidth="1"/>
    <col min="14" max="14" width="17.85546875" style="15" customWidth="1"/>
    <col min="15" max="15" width="3.140625" style="15" customWidth="1"/>
    <col min="16" max="16" width="17.85546875" style="15" customWidth="1"/>
    <col min="17" max="17" width="3.140625" style="15" customWidth="1"/>
    <col min="18" max="18" width="19.85546875" style="15" customWidth="1"/>
    <col min="19" max="19" width="19" style="15" customWidth="1"/>
    <col min="20" max="21" width="15.5703125" style="15" customWidth="1"/>
    <col min="22" max="22" width="17.85546875" style="15" customWidth="1"/>
    <col min="23" max="23" width="3.85546875" style="15" customWidth="1"/>
    <col min="24" max="25" width="15.5703125" style="15" customWidth="1"/>
    <col min="26" max="26" width="22.28515625" style="15" customWidth="1"/>
    <col min="27" max="27" width="3.140625" style="15" customWidth="1"/>
    <col min="28" max="28" width="19.85546875" style="15" customWidth="1"/>
    <col min="29" max="30" width="19" style="15" customWidth="1"/>
    <col min="31" max="31" width="15.28515625" style="15" hidden="1" customWidth="1"/>
    <col min="32" max="32" width="15.5703125" style="15" customWidth="1"/>
    <col min="33" max="33" width="19.140625" style="15" customWidth="1"/>
    <col min="34" max="34" width="17.85546875" style="15" customWidth="1"/>
    <col min="35" max="35" width="19.140625" style="15" customWidth="1"/>
    <col min="36" max="36" width="3.140625" style="15" customWidth="1"/>
    <col min="37" max="16384" width="8.7109375" style="15"/>
  </cols>
  <sheetData>
    <row r="1" spans="1:37" ht="49.5" customHeight="1" x14ac:dyDescent="0.25">
      <c r="A1" s="2"/>
      <c r="B1" s="3"/>
      <c r="C1" s="3"/>
      <c r="D1" s="3"/>
    </row>
    <row r="2" spans="1:37" ht="19.5" customHeight="1" x14ac:dyDescent="0.25"/>
    <row r="3" spans="1:37" ht="7.5" customHeight="1" x14ac:dyDescent="0.25"/>
    <row r="4" spans="1:37" s="24" customFormat="1" ht="24" customHeight="1" x14ac:dyDescent="0.25">
      <c r="A4" s="25"/>
      <c r="B4" s="25"/>
      <c r="C4" s="25"/>
      <c r="D4" s="25"/>
      <c r="E4" s="25" t="s">
        <v>3</v>
      </c>
      <c r="F4" s="25"/>
      <c r="H4" s="38" t="s">
        <v>26</v>
      </c>
      <c r="I4" s="23"/>
      <c r="K4" s="25" t="s">
        <v>20</v>
      </c>
      <c r="L4" s="26"/>
      <c r="M4" s="26"/>
      <c r="N4" s="26"/>
      <c r="P4" s="38" t="s">
        <v>23</v>
      </c>
      <c r="R4" s="25" t="s">
        <v>20</v>
      </c>
      <c r="S4" s="26"/>
      <c r="T4" s="26"/>
      <c r="U4" s="26"/>
      <c r="V4" s="26"/>
      <c r="X4" s="38" t="s">
        <v>36</v>
      </c>
      <c r="Y4" s="23"/>
      <c r="Z4" s="23"/>
      <c r="AB4" s="25" t="s">
        <v>20</v>
      </c>
      <c r="AC4" s="26"/>
      <c r="AD4" s="26"/>
      <c r="AE4" s="26"/>
      <c r="AF4" s="26"/>
      <c r="AG4" s="26"/>
      <c r="AH4" s="26"/>
      <c r="AI4" s="26"/>
    </row>
    <row r="5" spans="1:37" ht="6" customHeight="1" x14ac:dyDescent="0.25">
      <c r="A5" s="33"/>
      <c r="B5" s="33"/>
      <c r="C5" s="33"/>
      <c r="D5" s="33"/>
      <c r="E5" s="33"/>
      <c r="F5" s="33"/>
      <c r="H5" s="4"/>
      <c r="I5" s="1"/>
      <c r="K5" s="33"/>
      <c r="L5" s="34"/>
      <c r="M5" s="34"/>
      <c r="N5" s="34"/>
      <c r="P5" s="4"/>
      <c r="R5" s="33"/>
      <c r="S5" s="34"/>
      <c r="T5" s="34"/>
      <c r="U5" s="34"/>
      <c r="V5" s="34"/>
      <c r="X5" s="1"/>
      <c r="Y5" s="1"/>
      <c r="Z5" s="1"/>
      <c r="AB5" s="33"/>
      <c r="AC5" s="34"/>
      <c r="AD5" s="34"/>
      <c r="AE5" s="34"/>
      <c r="AF5" s="34"/>
      <c r="AG5" s="34"/>
      <c r="AH5" s="34"/>
      <c r="AI5" s="34"/>
    </row>
    <row r="6" spans="1:37" ht="23.25" customHeight="1" x14ac:dyDescent="0.25">
      <c r="A6" s="27"/>
      <c r="B6" s="27"/>
      <c r="C6" s="27"/>
      <c r="D6" s="27"/>
      <c r="E6" s="27"/>
      <c r="F6" s="27"/>
      <c r="H6" s="5"/>
      <c r="I6" s="6"/>
      <c r="K6" s="27"/>
      <c r="L6" s="28"/>
      <c r="M6" s="28"/>
      <c r="N6" s="28"/>
      <c r="P6" s="5"/>
      <c r="R6" s="27"/>
      <c r="S6" s="28"/>
      <c r="T6" s="28"/>
      <c r="U6" s="28"/>
      <c r="V6" s="28"/>
      <c r="X6" s="6"/>
      <c r="Y6" s="6"/>
      <c r="Z6" s="6"/>
      <c r="AB6" s="27"/>
      <c r="AC6" s="28"/>
      <c r="AD6" s="28"/>
      <c r="AE6" s="28"/>
      <c r="AF6" s="28"/>
      <c r="AG6" s="28"/>
      <c r="AH6" s="28"/>
      <c r="AI6" s="28"/>
    </row>
    <row r="7" spans="1:37" s="17" customFormat="1" ht="33" customHeight="1" x14ac:dyDescent="0.25">
      <c r="A7" s="16"/>
      <c r="B7" s="7" t="s">
        <v>30</v>
      </c>
      <c r="C7" s="7" t="s">
        <v>64</v>
      </c>
      <c r="D7" s="8" t="s">
        <v>65</v>
      </c>
      <c r="E7" s="8" t="s">
        <v>19</v>
      </c>
      <c r="F7" s="8" t="s">
        <v>0</v>
      </c>
      <c r="H7" s="8" t="s">
        <v>17</v>
      </c>
      <c r="I7" s="8" t="s">
        <v>39</v>
      </c>
      <c r="K7" s="8" t="s">
        <v>19</v>
      </c>
      <c r="L7" s="8" t="s">
        <v>40</v>
      </c>
      <c r="M7" s="8" t="s">
        <v>21</v>
      </c>
      <c r="N7" s="8" t="s">
        <v>22</v>
      </c>
      <c r="P7" s="8" t="s">
        <v>10</v>
      </c>
      <c r="R7" s="8" t="s">
        <v>19</v>
      </c>
      <c r="S7" s="8" t="s">
        <v>40</v>
      </c>
      <c r="T7" s="8" t="s">
        <v>21</v>
      </c>
      <c r="U7" s="8" t="s">
        <v>31</v>
      </c>
      <c r="V7" s="8" t="s">
        <v>22</v>
      </c>
      <c r="X7" s="8" t="s">
        <v>28</v>
      </c>
      <c r="Y7" s="8" t="s">
        <v>27</v>
      </c>
      <c r="Z7" s="8" t="s">
        <v>41</v>
      </c>
      <c r="AB7" s="8" t="s">
        <v>19</v>
      </c>
      <c r="AC7" s="8" t="s">
        <v>40</v>
      </c>
      <c r="AD7" s="8" t="s">
        <v>42</v>
      </c>
      <c r="AE7" s="8" t="s">
        <v>43</v>
      </c>
      <c r="AF7" s="8" t="s">
        <v>44</v>
      </c>
      <c r="AG7" s="8" t="s">
        <v>35</v>
      </c>
      <c r="AH7" s="8" t="s">
        <v>22</v>
      </c>
      <c r="AI7" s="8" t="s">
        <v>32</v>
      </c>
    </row>
    <row r="8" spans="1:37" ht="15.75" customHeight="1" x14ac:dyDescent="0.25">
      <c r="A8" s="61">
        <v>1</v>
      </c>
      <c r="B8" s="32" t="s">
        <v>1</v>
      </c>
      <c r="C8" s="32"/>
      <c r="D8" s="32"/>
      <c r="E8" s="29">
        <v>7350000</v>
      </c>
      <c r="F8" s="30">
        <f>E8/$E$27</f>
        <v>0.73499999999999999</v>
      </c>
      <c r="H8" s="13"/>
      <c r="I8" s="14"/>
      <c r="K8" s="29">
        <f>E8</f>
        <v>7350000</v>
      </c>
      <c r="L8" s="30"/>
      <c r="M8" s="31">
        <f>SUM(K8:L8)</f>
        <v>7350000</v>
      </c>
      <c r="N8" s="36">
        <f t="shared" ref="N8:N19" si="0">M8/$M$27</f>
        <v>0.6857942617214835</v>
      </c>
      <c r="P8" s="13"/>
      <c r="R8" s="29">
        <f>K8</f>
        <v>7350000</v>
      </c>
      <c r="S8" s="30"/>
      <c r="T8" s="31">
        <f>SUM(R8:S8)</f>
        <v>7350000</v>
      </c>
      <c r="U8" s="36">
        <f t="shared" ref="U8:U19" si="1">T8/$T$27</f>
        <v>0.6857942617214835</v>
      </c>
      <c r="V8" s="36">
        <f t="shared" ref="V8:V19" si="2">T8/$T$32</f>
        <v>0.6179006057695775</v>
      </c>
      <c r="X8" s="14"/>
      <c r="Y8" s="14"/>
      <c r="Z8" s="21"/>
      <c r="AB8" s="29">
        <f>R8</f>
        <v>7350000</v>
      </c>
      <c r="AC8" s="30"/>
      <c r="AD8" s="30"/>
      <c r="AE8" s="31"/>
      <c r="AF8" s="31">
        <f>SUM(AB8:AD8)</f>
        <v>7350000</v>
      </c>
      <c r="AG8" s="36">
        <f t="shared" ref="AG8:AG25" si="3">AF8/$AF$27</f>
        <v>0.54107108665551595</v>
      </c>
      <c r="AH8" s="36">
        <f t="shared" ref="AH8:AH25" si="4">AF8/$AF$32</f>
        <v>0.49790729900938802</v>
      </c>
      <c r="AI8" s="36"/>
    </row>
    <row r="9" spans="1:37" ht="15" customHeight="1" x14ac:dyDescent="0.25">
      <c r="A9" s="61">
        <v>2</v>
      </c>
      <c r="B9" s="98" t="s">
        <v>91</v>
      </c>
      <c r="C9" s="32"/>
      <c r="D9" s="32"/>
      <c r="E9" s="29">
        <v>2450000</v>
      </c>
      <c r="F9" s="30">
        <f>E9/$E$27</f>
        <v>0.245</v>
      </c>
      <c r="G9" s="11"/>
      <c r="H9" s="13"/>
      <c r="I9" s="14"/>
      <c r="J9" s="11"/>
      <c r="K9" s="29">
        <f>E9</f>
        <v>2450000</v>
      </c>
      <c r="L9" s="30"/>
      <c r="M9" s="31">
        <f t="shared" ref="M9:M19" si="5">SUM(K9:L9)</f>
        <v>2450000</v>
      </c>
      <c r="N9" s="36">
        <f t="shared" si="0"/>
        <v>0.22859808724049452</v>
      </c>
      <c r="O9" s="11"/>
      <c r="P9" s="13"/>
      <c r="Q9" s="11"/>
      <c r="R9" s="29">
        <f>K9</f>
        <v>2450000</v>
      </c>
      <c r="S9" s="30"/>
      <c r="T9" s="31">
        <f t="shared" ref="T9:T19" si="6">SUM(R9:S9)</f>
        <v>2450000</v>
      </c>
      <c r="U9" s="36">
        <f t="shared" si="1"/>
        <v>0.22859808724049452</v>
      </c>
      <c r="V9" s="36">
        <f t="shared" si="2"/>
        <v>0.20596686858985919</v>
      </c>
      <c r="X9" s="14"/>
      <c r="Y9" s="14"/>
      <c r="Z9" s="21"/>
      <c r="AA9" s="11"/>
      <c r="AB9" s="29">
        <f>R9</f>
        <v>2450000</v>
      </c>
      <c r="AC9" s="30"/>
      <c r="AD9" s="30"/>
      <c r="AE9" s="31"/>
      <c r="AF9" s="31">
        <f t="shared" ref="AF9:AF25" si="7">SUM(AB9:AD9)</f>
        <v>2450000</v>
      </c>
      <c r="AG9" s="36">
        <f t="shared" si="3"/>
        <v>0.18035702888517199</v>
      </c>
      <c r="AH9" s="36">
        <f t="shared" si="4"/>
        <v>0.16596909966979601</v>
      </c>
      <c r="AI9" s="36"/>
      <c r="AJ9" s="11"/>
    </row>
    <row r="10" spans="1:37" ht="15" customHeight="1" x14ac:dyDescent="0.25">
      <c r="A10" s="61">
        <v>3</v>
      </c>
      <c r="B10" s="32" t="s">
        <v>2</v>
      </c>
      <c r="C10" s="32"/>
      <c r="D10" s="32"/>
      <c r="E10" s="29">
        <v>200000</v>
      </c>
      <c r="F10" s="30">
        <f>E10/$E$27</f>
        <v>0.02</v>
      </c>
      <c r="G10" s="11"/>
      <c r="H10" s="13"/>
      <c r="I10" s="14"/>
      <c r="J10" s="11"/>
      <c r="K10" s="29">
        <f>E10</f>
        <v>200000</v>
      </c>
      <c r="L10" s="30"/>
      <c r="M10" s="31">
        <f t="shared" si="5"/>
        <v>200000</v>
      </c>
      <c r="N10" s="36">
        <f t="shared" si="0"/>
        <v>1.8661068346162817E-2</v>
      </c>
      <c r="O10" s="11"/>
      <c r="P10" s="13"/>
      <c r="Q10" s="11"/>
      <c r="R10" s="29">
        <f>K10</f>
        <v>200000</v>
      </c>
      <c r="S10" s="30"/>
      <c r="T10" s="31">
        <f t="shared" si="6"/>
        <v>200000</v>
      </c>
      <c r="U10" s="36">
        <f t="shared" si="1"/>
        <v>1.8661068346162817E-2</v>
      </c>
      <c r="V10" s="36">
        <f t="shared" si="2"/>
        <v>1.681362192570279E-2</v>
      </c>
      <c r="X10" s="14"/>
      <c r="Y10" s="14"/>
      <c r="Z10" s="21"/>
      <c r="AA10" s="11"/>
      <c r="AB10" s="29">
        <f>R10</f>
        <v>200000</v>
      </c>
      <c r="AC10" s="30"/>
      <c r="AD10" s="30"/>
      <c r="AE10" s="31"/>
      <c r="AF10" s="31">
        <f t="shared" si="7"/>
        <v>200000</v>
      </c>
      <c r="AG10" s="36">
        <f t="shared" si="3"/>
        <v>1.4723022766136488E-2</v>
      </c>
      <c r="AH10" s="36">
        <f t="shared" si="4"/>
        <v>1.3548497932228246E-2</v>
      </c>
      <c r="AI10" s="36"/>
      <c r="AJ10" s="11"/>
    </row>
    <row r="11" spans="1:37" s="41" customFormat="1" ht="17.100000000000001" customHeight="1" x14ac:dyDescent="0.2">
      <c r="A11" s="61">
        <v>4</v>
      </c>
      <c r="B11" s="98" t="s">
        <v>92</v>
      </c>
      <c r="C11" s="95" t="s">
        <v>77</v>
      </c>
      <c r="D11" s="32" t="s">
        <v>76</v>
      </c>
      <c r="E11" s="40"/>
      <c r="F11" s="40"/>
      <c r="G11" s="39"/>
      <c r="H11" s="75">
        <v>150000</v>
      </c>
      <c r="I11" s="21">
        <f t="shared" ref="I11:I19" si="8">H11/$I$36*$I$38</f>
        <v>150000</v>
      </c>
      <c r="J11" s="39"/>
      <c r="K11" s="29"/>
      <c r="L11" s="29">
        <f>I11</f>
        <v>150000</v>
      </c>
      <c r="M11" s="31">
        <f t="shared" si="5"/>
        <v>150000</v>
      </c>
      <c r="N11" s="36">
        <f t="shared" si="0"/>
        <v>1.3995801259622114E-2</v>
      </c>
      <c r="O11" s="39"/>
      <c r="P11" s="10"/>
      <c r="Q11" s="39"/>
      <c r="R11" s="29"/>
      <c r="S11" s="29">
        <f>L11</f>
        <v>150000</v>
      </c>
      <c r="T11" s="31">
        <f t="shared" si="6"/>
        <v>150000</v>
      </c>
      <c r="U11" s="36">
        <f t="shared" si="1"/>
        <v>1.3995801259622114E-2</v>
      </c>
      <c r="V11" s="36">
        <f t="shared" si="2"/>
        <v>1.2610216444277093E-2</v>
      </c>
      <c r="X11" s="73">
        <v>100000</v>
      </c>
      <c r="Y11" s="73">
        <f>ROUND(Z11*$Z$41,2)</f>
        <v>99999.9</v>
      </c>
      <c r="Z11" s="21">
        <f>ROUND(X11/$Z$41,0)</f>
        <v>74074</v>
      </c>
      <c r="AA11" s="39"/>
      <c r="AB11" s="29"/>
      <c r="AC11" s="29">
        <f>S11</f>
        <v>150000</v>
      </c>
      <c r="AD11" s="31">
        <f t="shared" ref="AD11" si="9">Z11</f>
        <v>74074</v>
      </c>
      <c r="AE11" s="31">
        <f t="shared" ref="AE11:AE25" si="10">SUM(AC11:AD11)</f>
        <v>224074</v>
      </c>
      <c r="AF11" s="31">
        <f t="shared" si="7"/>
        <v>224074</v>
      </c>
      <c r="AG11" s="36">
        <f t="shared" si="3"/>
        <v>1.6495233016496337E-2</v>
      </c>
      <c r="AH11" s="36">
        <f t="shared" si="4"/>
        <v>1.5179330628330559E-2</v>
      </c>
      <c r="AI11" s="36">
        <f>AD11/$AD$27</f>
        <v>2.5839764437236692E-2</v>
      </c>
      <c r="AJ11" s="39"/>
    </row>
    <row r="12" spans="1:37" s="41" customFormat="1" ht="17.100000000000001" customHeight="1" x14ac:dyDescent="0.2">
      <c r="A12" s="61">
        <v>5</v>
      </c>
      <c r="B12" s="32" t="s">
        <v>4</v>
      </c>
      <c r="C12" s="95" t="s">
        <v>81</v>
      </c>
      <c r="D12" s="32" t="s">
        <v>82</v>
      </c>
      <c r="E12" s="40"/>
      <c r="F12" s="40"/>
      <c r="G12" s="39"/>
      <c r="H12" s="75">
        <v>50000</v>
      </c>
      <c r="I12" s="21">
        <f t="shared" si="8"/>
        <v>50000</v>
      </c>
      <c r="J12" s="39"/>
      <c r="K12" s="29"/>
      <c r="L12" s="29">
        <f t="shared" ref="L12:L19" si="11">I12</f>
        <v>50000</v>
      </c>
      <c r="M12" s="31">
        <f t="shared" si="5"/>
        <v>50000</v>
      </c>
      <c r="N12" s="36">
        <f t="shared" si="0"/>
        <v>4.6652670865407041E-3</v>
      </c>
      <c r="O12" s="39"/>
      <c r="P12" s="10"/>
      <c r="Q12" s="39"/>
      <c r="R12" s="29"/>
      <c r="S12" s="29">
        <f t="shared" ref="S12:S19" si="12">L12</f>
        <v>50000</v>
      </c>
      <c r="T12" s="31">
        <f t="shared" si="6"/>
        <v>50000</v>
      </c>
      <c r="U12" s="36">
        <f t="shared" si="1"/>
        <v>4.6652670865407041E-3</v>
      </c>
      <c r="V12" s="36">
        <f t="shared" si="2"/>
        <v>4.2034054814256974E-3</v>
      </c>
      <c r="X12" s="9"/>
      <c r="Y12" s="9"/>
      <c r="Z12" s="21"/>
      <c r="AA12" s="39"/>
      <c r="AB12" s="29"/>
      <c r="AC12" s="29">
        <f t="shared" ref="AC12:AC19" si="13">S12</f>
        <v>50000</v>
      </c>
      <c r="AD12" s="31"/>
      <c r="AE12" s="31">
        <f t="shared" si="10"/>
        <v>50000</v>
      </c>
      <c r="AF12" s="31">
        <f t="shared" si="7"/>
        <v>50000</v>
      </c>
      <c r="AG12" s="36">
        <f t="shared" si="3"/>
        <v>3.680755691534122E-3</v>
      </c>
      <c r="AH12" s="36">
        <f t="shared" si="4"/>
        <v>3.3871244830570614E-3</v>
      </c>
      <c r="AI12" s="36"/>
      <c r="AJ12" s="39"/>
    </row>
    <row r="13" spans="1:37" s="41" customFormat="1" ht="17.100000000000001" customHeight="1" x14ac:dyDescent="0.2">
      <c r="A13" s="61">
        <v>6</v>
      </c>
      <c r="B13" s="32" t="s">
        <v>5</v>
      </c>
      <c r="C13" s="32"/>
      <c r="D13" s="32"/>
      <c r="E13" s="40"/>
      <c r="F13" s="40"/>
      <c r="G13" s="39"/>
      <c r="H13" s="75">
        <v>40000</v>
      </c>
      <c r="I13" s="21">
        <f t="shared" si="8"/>
        <v>40000</v>
      </c>
      <c r="J13" s="39"/>
      <c r="K13" s="29"/>
      <c r="L13" s="29">
        <f t="shared" si="11"/>
        <v>40000</v>
      </c>
      <c r="M13" s="31">
        <f t="shared" si="5"/>
        <v>40000</v>
      </c>
      <c r="N13" s="36">
        <f t="shared" si="0"/>
        <v>3.7322136692325637E-3</v>
      </c>
      <c r="O13" s="39"/>
      <c r="P13" s="10"/>
      <c r="Q13" s="39"/>
      <c r="R13" s="29"/>
      <c r="S13" s="29">
        <f t="shared" si="12"/>
        <v>40000</v>
      </c>
      <c r="T13" s="31">
        <f t="shared" si="6"/>
        <v>40000</v>
      </c>
      <c r="U13" s="36">
        <f t="shared" si="1"/>
        <v>3.7322136692325637E-3</v>
      </c>
      <c r="V13" s="36">
        <f t="shared" si="2"/>
        <v>3.362724385140558E-3</v>
      </c>
      <c r="X13" s="9"/>
      <c r="Y13" s="9"/>
      <c r="Z13" s="21"/>
      <c r="AA13" s="39"/>
      <c r="AB13" s="29"/>
      <c r="AC13" s="29">
        <f t="shared" si="13"/>
        <v>40000</v>
      </c>
      <c r="AD13" s="31"/>
      <c r="AE13" s="31">
        <f t="shared" si="10"/>
        <v>40000</v>
      </c>
      <c r="AF13" s="31">
        <f t="shared" si="7"/>
        <v>40000</v>
      </c>
      <c r="AG13" s="36">
        <f t="shared" si="3"/>
        <v>2.9446045532272977E-3</v>
      </c>
      <c r="AH13" s="36">
        <f t="shared" si="4"/>
        <v>2.7096995864456493E-3</v>
      </c>
      <c r="AI13" s="36"/>
      <c r="AJ13" s="39"/>
    </row>
    <row r="14" spans="1:37" s="41" customFormat="1" ht="17.100000000000001" customHeight="1" x14ac:dyDescent="0.2">
      <c r="A14" s="61">
        <v>7</v>
      </c>
      <c r="B14" s="98" t="s">
        <v>93</v>
      </c>
      <c r="C14" s="32" t="s">
        <v>87</v>
      </c>
      <c r="D14" s="32" t="s">
        <v>71</v>
      </c>
      <c r="E14" s="40"/>
      <c r="F14" s="40"/>
      <c r="G14" s="39"/>
      <c r="H14" s="75">
        <v>209000</v>
      </c>
      <c r="I14" s="21">
        <f t="shared" si="8"/>
        <v>208999.99999999997</v>
      </c>
      <c r="J14" s="39"/>
      <c r="K14" s="29"/>
      <c r="L14" s="29">
        <f t="shared" si="11"/>
        <v>208999.99999999997</v>
      </c>
      <c r="M14" s="31">
        <f t="shared" si="5"/>
        <v>208999.99999999997</v>
      </c>
      <c r="N14" s="36">
        <f t="shared" si="0"/>
        <v>1.9500816421740143E-2</v>
      </c>
      <c r="O14" s="39"/>
      <c r="P14" s="10"/>
      <c r="Q14" s="39"/>
      <c r="R14" s="29"/>
      <c r="S14" s="29">
        <f t="shared" si="12"/>
        <v>208999.99999999997</v>
      </c>
      <c r="T14" s="31">
        <f t="shared" si="6"/>
        <v>208999.99999999997</v>
      </c>
      <c r="U14" s="36">
        <f t="shared" si="1"/>
        <v>1.9500816421740143E-2</v>
      </c>
      <c r="V14" s="36">
        <f t="shared" si="2"/>
        <v>1.7570234912359414E-2</v>
      </c>
      <c r="X14" s="73"/>
      <c r="Y14" s="73"/>
      <c r="Z14" s="21"/>
      <c r="AA14" s="39"/>
      <c r="AB14" s="29"/>
      <c r="AC14" s="29">
        <f t="shared" si="13"/>
        <v>208999.99999999997</v>
      </c>
      <c r="AD14" s="31"/>
      <c r="AE14" s="31">
        <f t="shared" si="10"/>
        <v>208999.99999999997</v>
      </c>
      <c r="AF14" s="31">
        <f t="shared" si="7"/>
        <v>208999.99999999997</v>
      </c>
      <c r="AG14" s="36">
        <f t="shared" si="3"/>
        <v>1.5385558790612628E-2</v>
      </c>
      <c r="AH14" s="36">
        <f t="shared" si="4"/>
        <v>1.4158180339178515E-2</v>
      </c>
      <c r="AI14" s="36">
        <f>AD14/$AD$27</f>
        <v>0</v>
      </c>
      <c r="AJ14" s="39"/>
      <c r="AK14" s="94" t="s">
        <v>59</v>
      </c>
    </row>
    <row r="15" spans="1:37" s="41" customFormat="1" ht="17.100000000000001" customHeight="1" x14ac:dyDescent="0.2">
      <c r="A15" s="61">
        <v>8</v>
      </c>
      <c r="B15" s="95" t="s">
        <v>6</v>
      </c>
      <c r="C15" s="95" t="s">
        <v>85</v>
      </c>
      <c r="D15" s="32" t="s">
        <v>86</v>
      </c>
      <c r="E15" s="40"/>
      <c r="F15" s="40"/>
      <c r="G15" s="39"/>
      <c r="H15" s="75">
        <v>100000</v>
      </c>
      <c r="I15" s="21">
        <f t="shared" si="8"/>
        <v>100000</v>
      </c>
      <c r="J15" s="39"/>
      <c r="K15" s="29"/>
      <c r="L15" s="29">
        <f t="shared" si="11"/>
        <v>100000</v>
      </c>
      <c r="M15" s="31">
        <f t="shared" si="5"/>
        <v>100000</v>
      </c>
      <c r="N15" s="36">
        <f t="shared" si="0"/>
        <v>9.3305341730814083E-3</v>
      </c>
      <c r="O15" s="39"/>
      <c r="P15" s="10"/>
      <c r="Q15" s="39"/>
      <c r="R15" s="29"/>
      <c r="S15" s="29">
        <f t="shared" si="12"/>
        <v>100000</v>
      </c>
      <c r="T15" s="31">
        <f t="shared" si="6"/>
        <v>100000</v>
      </c>
      <c r="U15" s="36">
        <f t="shared" si="1"/>
        <v>9.3305341730814083E-3</v>
      </c>
      <c r="V15" s="36">
        <f t="shared" si="2"/>
        <v>8.4068109628513948E-3</v>
      </c>
      <c r="X15" s="9"/>
      <c r="Y15" s="9"/>
      <c r="Z15" s="21"/>
      <c r="AA15" s="39"/>
      <c r="AB15" s="29"/>
      <c r="AC15" s="29">
        <f t="shared" si="13"/>
        <v>100000</v>
      </c>
      <c r="AD15" s="31"/>
      <c r="AE15" s="31">
        <f t="shared" si="10"/>
        <v>100000</v>
      </c>
      <c r="AF15" s="31">
        <f t="shared" si="7"/>
        <v>100000</v>
      </c>
      <c r="AG15" s="36">
        <f t="shared" si="3"/>
        <v>7.3615113830682441E-3</v>
      </c>
      <c r="AH15" s="36">
        <f t="shared" si="4"/>
        <v>6.7742489661141228E-3</v>
      </c>
      <c r="AI15" s="36"/>
      <c r="AJ15" s="39"/>
    </row>
    <row r="16" spans="1:37" s="41" customFormat="1" ht="17.100000000000001" customHeight="1" x14ac:dyDescent="0.2">
      <c r="A16" s="61">
        <v>9</v>
      </c>
      <c r="B16" s="32" t="s">
        <v>7</v>
      </c>
      <c r="C16" s="95" t="s">
        <v>68</v>
      </c>
      <c r="D16" s="40" t="s">
        <v>62</v>
      </c>
      <c r="E16" s="40"/>
      <c r="F16" s="40"/>
      <c r="G16" s="39"/>
      <c r="H16" s="75">
        <v>50000</v>
      </c>
      <c r="I16" s="21">
        <f t="shared" si="8"/>
        <v>50000</v>
      </c>
      <c r="J16" s="39"/>
      <c r="K16" s="29"/>
      <c r="L16" s="29">
        <f t="shared" si="11"/>
        <v>50000</v>
      </c>
      <c r="M16" s="31">
        <f t="shared" si="5"/>
        <v>50000</v>
      </c>
      <c r="N16" s="36">
        <f t="shared" si="0"/>
        <v>4.6652670865407041E-3</v>
      </c>
      <c r="O16" s="39"/>
      <c r="P16" s="10"/>
      <c r="Q16" s="39"/>
      <c r="R16" s="29"/>
      <c r="S16" s="29">
        <f t="shared" si="12"/>
        <v>50000</v>
      </c>
      <c r="T16" s="31">
        <f t="shared" si="6"/>
        <v>50000</v>
      </c>
      <c r="U16" s="36">
        <f t="shared" si="1"/>
        <v>4.6652670865407041E-3</v>
      </c>
      <c r="V16" s="36">
        <f t="shared" si="2"/>
        <v>4.2034054814256974E-3</v>
      </c>
      <c r="X16" s="73">
        <v>15000</v>
      </c>
      <c r="Y16" s="73">
        <f>ROUND(Z16*$Z$41,2)</f>
        <v>14999.85</v>
      </c>
      <c r="Z16" s="21">
        <f>ROUND(X16/$Z$41,0)</f>
        <v>11111</v>
      </c>
      <c r="AA16" s="39"/>
      <c r="AB16" s="29"/>
      <c r="AC16" s="29">
        <f t="shared" si="13"/>
        <v>50000</v>
      </c>
      <c r="AD16" s="31">
        <f t="shared" ref="AD16" si="14">Z16</f>
        <v>11111</v>
      </c>
      <c r="AE16" s="31">
        <f t="shared" ref="AE16" si="15">SUM(AC16:AD16)</f>
        <v>61111</v>
      </c>
      <c r="AF16" s="31">
        <f t="shared" ref="AF16" si="16">SUM(AB16:AD16)</f>
        <v>61111</v>
      </c>
      <c r="AG16" s="36">
        <f t="shared" si="3"/>
        <v>4.4986932213068346E-3</v>
      </c>
      <c r="AH16" s="36">
        <f t="shared" si="4"/>
        <v>4.1398112856820017E-3</v>
      </c>
      <c r="AI16" s="36">
        <f>AD16/$AD$27</f>
        <v>3.8759297818686299E-3</v>
      </c>
      <c r="AJ16" s="39"/>
    </row>
    <row r="17" spans="1:37" s="41" customFormat="1" ht="17.100000000000001" customHeight="1" x14ac:dyDescent="0.2">
      <c r="A17" s="61">
        <v>10</v>
      </c>
      <c r="B17" s="98" t="s">
        <v>90</v>
      </c>
      <c r="C17" s="32" t="s">
        <v>89</v>
      </c>
      <c r="D17" s="32" t="s">
        <v>88</v>
      </c>
      <c r="E17" s="40"/>
      <c r="F17" s="40"/>
      <c r="G17" s="39"/>
      <c r="H17" s="75">
        <v>9250</v>
      </c>
      <c r="I17" s="21">
        <f t="shared" si="8"/>
        <v>9250</v>
      </c>
      <c r="J17" s="39"/>
      <c r="K17" s="29"/>
      <c r="L17" s="29">
        <f t="shared" si="11"/>
        <v>9250</v>
      </c>
      <c r="M17" s="31">
        <f t="shared" si="5"/>
        <v>9250</v>
      </c>
      <c r="N17" s="36">
        <f t="shared" si="0"/>
        <v>8.6307441101003029E-4</v>
      </c>
      <c r="O17" s="39"/>
      <c r="P17" s="10"/>
      <c r="Q17" s="39"/>
      <c r="R17" s="29"/>
      <c r="S17" s="29">
        <f t="shared" si="12"/>
        <v>9250</v>
      </c>
      <c r="T17" s="31">
        <f t="shared" si="6"/>
        <v>9250</v>
      </c>
      <c r="U17" s="36">
        <f t="shared" si="1"/>
        <v>8.6307441101003029E-4</v>
      </c>
      <c r="V17" s="36">
        <f t="shared" si="2"/>
        <v>7.7763001406375403E-4</v>
      </c>
      <c r="X17" s="9"/>
      <c r="Y17" s="9"/>
      <c r="Z17" s="21"/>
      <c r="AA17" s="39"/>
      <c r="AB17" s="29"/>
      <c r="AC17" s="29">
        <f t="shared" si="13"/>
        <v>9250</v>
      </c>
      <c r="AD17" s="31"/>
      <c r="AE17" s="31">
        <f t="shared" si="10"/>
        <v>9250</v>
      </c>
      <c r="AF17" s="31">
        <f t="shared" si="7"/>
        <v>9250</v>
      </c>
      <c r="AG17" s="36">
        <f t="shared" si="3"/>
        <v>6.8093980293381263E-4</v>
      </c>
      <c r="AH17" s="36">
        <f t="shared" si="4"/>
        <v>6.2661802936555633E-4</v>
      </c>
      <c r="AI17" s="36"/>
      <c r="AJ17" s="39"/>
    </row>
    <row r="18" spans="1:37" s="41" customFormat="1" ht="17.100000000000001" customHeight="1" x14ac:dyDescent="0.2">
      <c r="A18" s="61">
        <v>11</v>
      </c>
      <c r="B18" s="32" t="s">
        <v>8</v>
      </c>
      <c r="C18" s="32" t="s">
        <v>79</v>
      </c>
      <c r="D18" s="32" t="s">
        <v>78</v>
      </c>
      <c r="E18" s="40"/>
      <c r="F18" s="40"/>
      <c r="G18" s="39"/>
      <c r="H18" s="75">
        <v>9250</v>
      </c>
      <c r="I18" s="21">
        <f t="shared" si="8"/>
        <v>9250</v>
      </c>
      <c r="J18" s="39"/>
      <c r="K18" s="29"/>
      <c r="L18" s="29">
        <f t="shared" si="11"/>
        <v>9250</v>
      </c>
      <c r="M18" s="31">
        <f t="shared" si="5"/>
        <v>9250</v>
      </c>
      <c r="N18" s="36">
        <f t="shared" si="0"/>
        <v>8.6307441101003029E-4</v>
      </c>
      <c r="O18" s="39"/>
      <c r="P18" s="10"/>
      <c r="Q18" s="39"/>
      <c r="R18" s="29"/>
      <c r="S18" s="29">
        <f t="shared" si="12"/>
        <v>9250</v>
      </c>
      <c r="T18" s="31">
        <f t="shared" si="6"/>
        <v>9250</v>
      </c>
      <c r="U18" s="36">
        <f t="shared" si="1"/>
        <v>8.6307441101003029E-4</v>
      </c>
      <c r="V18" s="36">
        <f t="shared" si="2"/>
        <v>7.7763001406375403E-4</v>
      </c>
      <c r="X18" s="9"/>
      <c r="Y18" s="9"/>
      <c r="Z18" s="21"/>
      <c r="AA18" s="39"/>
      <c r="AB18" s="29"/>
      <c r="AC18" s="29">
        <f t="shared" si="13"/>
        <v>9250</v>
      </c>
      <c r="AD18" s="31"/>
      <c r="AE18" s="31">
        <f t="shared" si="10"/>
        <v>9250</v>
      </c>
      <c r="AF18" s="31">
        <f t="shared" si="7"/>
        <v>9250</v>
      </c>
      <c r="AG18" s="36">
        <f t="shared" si="3"/>
        <v>6.8093980293381263E-4</v>
      </c>
      <c r="AH18" s="36">
        <f t="shared" si="4"/>
        <v>6.2661802936555633E-4</v>
      </c>
      <c r="AI18" s="36"/>
      <c r="AJ18" s="39"/>
    </row>
    <row r="19" spans="1:37" s="41" customFormat="1" ht="16.899999999999999" customHeight="1" x14ac:dyDescent="0.2">
      <c r="A19" s="61">
        <v>12</v>
      </c>
      <c r="B19" s="32" t="s">
        <v>9</v>
      </c>
      <c r="C19" s="95" t="s">
        <v>67</v>
      </c>
      <c r="D19" s="40" t="s">
        <v>61</v>
      </c>
      <c r="E19" s="40"/>
      <c r="F19" s="40"/>
      <c r="G19" s="39"/>
      <c r="H19" s="75">
        <v>100000</v>
      </c>
      <c r="I19" s="21">
        <f t="shared" si="8"/>
        <v>100000</v>
      </c>
      <c r="J19" s="39"/>
      <c r="K19" s="29"/>
      <c r="L19" s="29">
        <f t="shared" si="11"/>
        <v>100000</v>
      </c>
      <c r="M19" s="31">
        <f t="shared" si="5"/>
        <v>100000</v>
      </c>
      <c r="N19" s="36">
        <f t="shared" si="0"/>
        <v>9.3305341730814083E-3</v>
      </c>
      <c r="O19" s="39"/>
      <c r="P19" s="10"/>
      <c r="Q19" s="39"/>
      <c r="R19" s="29"/>
      <c r="S19" s="29">
        <f t="shared" si="12"/>
        <v>100000</v>
      </c>
      <c r="T19" s="31">
        <f t="shared" si="6"/>
        <v>100000</v>
      </c>
      <c r="U19" s="36">
        <f t="shared" si="1"/>
        <v>9.3305341730814083E-3</v>
      </c>
      <c r="V19" s="36">
        <f t="shared" si="2"/>
        <v>8.4068109628513948E-3</v>
      </c>
      <c r="X19" s="9"/>
      <c r="Y19" s="9"/>
      <c r="Z19" s="21"/>
      <c r="AA19" s="39"/>
      <c r="AB19" s="29"/>
      <c r="AC19" s="29">
        <f t="shared" si="13"/>
        <v>100000</v>
      </c>
      <c r="AD19" s="31"/>
      <c r="AE19" s="31">
        <f t="shared" si="10"/>
        <v>100000</v>
      </c>
      <c r="AF19" s="31">
        <f t="shared" si="7"/>
        <v>100000</v>
      </c>
      <c r="AG19" s="36">
        <f t="shared" si="3"/>
        <v>7.3615113830682441E-3</v>
      </c>
      <c r="AH19" s="36">
        <f t="shared" si="4"/>
        <v>6.7742489661141228E-3</v>
      </c>
      <c r="AI19" s="36"/>
      <c r="AJ19" s="39"/>
    </row>
    <row r="20" spans="1:37" s="41" customFormat="1" ht="16.899999999999999" customHeight="1" x14ac:dyDescent="0.2">
      <c r="A20" s="61">
        <v>13</v>
      </c>
      <c r="B20" s="68" t="s">
        <v>29</v>
      </c>
      <c r="C20" s="95" t="s">
        <v>74</v>
      </c>
      <c r="D20" s="40" t="s">
        <v>75</v>
      </c>
      <c r="E20" s="40"/>
      <c r="F20" s="40"/>
      <c r="G20" s="39"/>
      <c r="H20" s="10"/>
      <c r="I20" s="9"/>
      <c r="J20" s="39"/>
      <c r="K20" s="40"/>
      <c r="L20" s="31"/>
      <c r="M20" s="31"/>
      <c r="N20" s="36"/>
      <c r="O20" s="39"/>
      <c r="P20" s="10"/>
      <c r="Q20" s="39"/>
      <c r="R20" s="40"/>
      <c r="S20" s="31"/>
      <c r="T20" s="31"/>
      <c r="U20" s="31"/>
      <c r="V20" s="36"/>
      <c r="X20" s="73">
        <v>3000000</v>
      </c>
      <c r="Y20" s="73">
        <f t="shared" ref="Y20:Y25" si="17">ROUND(Z20*$Z$41,2)</f>
        <v>2999999.7</v>
      </c>
      <c r="Z20" s="21">
        <f t="shared" ref="Z20:Z25" si="18">ROUND(X20/$Z$41,0)</f>
        <v>2222222</v>
      </c>
      <c r="AA20" s="39"/>
      <c r="AB20" s="40"/>
      <c r="AC20" s="31"/>
      <c r="AD20" s="31">
        <f>Z20</f>
        <v>2222222</v>
      </c>
      <c r="AE20" s="31">
        <f t="shared" si="10"/>
        <v>2222222</v>
      </c>
      <c r="AF20" s="31">
        <f t="shared" si="7"/>
        <v>2222222</v>
      </c>
      <c r="AG20" s="36">
        <f t="shared" si="3"/>
        <v>0.16358912548704679</v>
      </c>
      <c r="AH20" s="36">
        <f t="shared" si="4"/>
        <v>0.15053885085976057</v>
      </c>
      <c r="AI20" s="36">
        <f t="shared" ref="AI20:AI25" si="19">AD20/$AD$27</f>
        <v>0.77519363079143833</v>
      </c>
      <c r="AJ20" s="39"/>
    </row>
    <row r="21" spans="1:37" s="41" customFormat="1" ht="16.899999999999999" customHeight="1" x14ac:dyDescent="0.2">
      <c r="A21" s="61">
        <v>14</v>
      </c>
      <c r="B21" s="98" t="s">
        <v>95</v>
      </c>
      <c r="C21" s="97" t="s">
        <v>73</v>
      </c>
      <c r="D21" s="68" t="s">
        <v>72</v>
      </c>
      <c r="E21" s="40"/>
      <c r="F21" s="40"/>
      <c r="G21" s="39"/>
      <c r="H21" s="10"/>
      <c r="I21" s="9"/>
      <c r="J21" s="39"/>
      <c r="K21" s="40"/>
      <c r="L21" s="31"/>
      <c r="M21" s="31"/>
      <c r="N21" s="36"/>
      <c r="O21" s="39"/>
      <c r="P21" s="10"/>
      <c r="Q21" s="39"/>
      <c r="R21" s="40"/>
      <c r="S21" s="31"/>
      <c r="T21" s="31"/>
      <c r="U21" s="31"/>
      <c r="V21" s="36"/>
      <c r="X21" s="73">
        <v>600000</v>
      </c>
      <c r="Y21" s="73">
        <f t="shared" si="17"/>
        <v>599999.4</v>
      </c>
      <c r="Z21" s="21">
        <f t="shared" si="18"/>
        <v>444444</v>
      </c>
      <c r="AA21" s="39"/>
      <c r="AB21" s="40"/>
      <c r="AC21" s="31"/>
      <c r="AD21" s="31">
        <f>Z21</f>
        <v>444444</v>
      </c>
      <c r="AE21" s="31">
        <f t="shared" si="10"/>
        <v>444444</v>
      </c>
      <c r="AF21" s="31">
        <f t="shared" si="7"/>
        <v>444444</v>
      </c>
      <c r="AG21" s="36">
        <f t="shared" si="3"/>
        <v>3.2717795651363825E-2</v>
      </c>
      <c r="AH21" s="36">
        <f t="shared" si="4"/>
        <v>3.0107743074956252E-2</v>
      </c>
      <c r="AI21" s="36">
        <f t="shared" si="19"/>
        <v>0.15503858662342015</v>
      </c>
      <c r="AJ21" s="39"/>
    </row>
    <row r="22" spans="1:37" s="41" customFormat="1" ht="16.899999999999999" customHeight="1" x14ac:dyDescent="0.2">
      <c r="A22" s="61">
        <v>15</v>
      </c>
      <c r="B22" s="72" t="s">
        <v>37</v>
      </c>
      <c r="C22" s="96" t="s">
        <v>37</v>
      </c>
      <c r="D22" s="68" t="s">
        <v>80</v>
      </c>
      <c r="E22" s="40"/>
      <c r="F22" s="40"/>
      <c r="G22" s="39"/>
      <c r="H22" s="10"/>
      <c r="I22" s="9"/>
      <c r="J22" s="39"/>
      <c r="K22" s="40"/>
      <c r="L22" s="31"/>
      <c r="M22" s="31"/>
      <c r="N22" s="36"/>
      <c r="O22" s="39"/>
      <c r="P22" s="10"/>
      <c r="Q22" s="39"/>
      <c r="R22" s="40"/>
      <c r="S22" s="31"/>
      <c r="T22" s="31"/>
      <c r="U22" s="31"/>
      <c r="V22" s="36"/>
      <c r="X22" s="73">
        <v>25000</v>
      </c>
      <c r="Y22" s="73">
        <f t="shared" si="17"/>
        <v>25000.65</v>
      </c>
      <c r="Z22" s="21">
        <f t="shared" si="18"/>
        <v>18519</v>
      </c>
      <c r="AA22" s="39"/>
      <c r="AB22" s="40"/>
      <c r="AC22" s="31"/>
      <c r="AD22" s="31">
        <f t="shared" ref="AD22:AD25" si="20">Z22</f>
        <v>18519</v>
      </c>
      <c r="AE22" s="31">
        <f t="shared" si="10"/>
        <v>18519</v>
      </c>
      <c r="AF22" s="31">
        <f t="shared" si="7"/>
        <v>18519</v>
      </c>
      <c r="AG22" s="36">
        <f t="shared" si="3"/>
        <v>1.3632782930304082E-3</v>
      </c>
      <c r="AH22" s="36">
        <f t="shared" si="4"/>
        <v>1.2545231660346743E-3</v>
      </c>
      <c r="AI22" s="36">
        <f t="shared" si="19"/>
        <v>6.4601155278935429E-3</v>
      </c>
      <c r="AJ22" s="39"/>
    </row>
    <row r="23" spans="1:37" s="41" customFormat="1" ht="16.899999999999999" customHeight="1" x14ac:dyDescent="0.2">
      <c r="A23" s="77">
        <v>16</v>
      </c>
      <c r="B23" s="78" t="s">
        <v>38</v>
      </c>
      <c r="C23" s="95" t="s">
        <v>70</v>
      </c>
      <c r="D23" s="81" t="s">
        <v>69</v>
      </c>
      <c r="E23" s="40"/>
      <c r="F23" s="40"/>
      <c r="G23" s="39"/>
      <c r="H23" s="10"/>
      <c r="I23" s="9"/>
      <c r="J23" s="39"/>
      <c r="K23" s="40"/>
      <c r="L23" s="31"/>
      <c r="M23" s="31"/>
      <c r="N23" s="36"/>
      <c r="O23" s="39"/>
      <c r="P23" s="10"/>
      <c r="Q23" s="39"/>
      <c r="R23" s="40"/>
      <c r="S23" s="31"/>
      <c r="T23" s="31"/>
      <c r="U23" s="31"/>
      <c r="V23" s="36"/>
      <c r="X23" s="73">
        <v>20000</v>
      </c>
      <c r="Y23" s="73">
        <f t="shared" si="17"/>
        <v>20000.25</v>
      </c>
      <c r="Z23" s="21">
        <f t="shared" si="18"/>
        <v>14815</v>
      </c>
      <c r="AA23" s="39"/>
      <c r="AB23" s="40"/>
      <c r="AC23" s="31"/>
      <c r="AD23" s="31">
        <f t="shared" si="20"/>
        <v>14815</v>
      </c>
      <c r="AE23" s="31">
        <f t="shared" si="10"/>
        <v>14815</v>
      </c>
      <c r="AF23" s="31">
        <f t="shared" si="7"/>
        <v>14815</v>
      </c>
      <c r="AG23" s="36">
        <f t="shared" si="3"/>
        <v>1.0906079114015603E-3</v>
      </c>
      <c r="AH23" s="36">
        <f t="shared" si="4"/>
        <v>1.0036049843298073E-3</v>
      </c>
      <c r="AI23" s="36">
        <f t="shared" si="19"/>
        <v>5.1680226548810864E-3</v>
      </c>
      <c r="AJ23" s="39"/>
    </row>
    <row r="24" spans="1:37" s="41" customFormat="1" ht="16.899999999999999" customHeight="1" x14ac:dyDescent="0.2">
      <c r="A24" s="61">
        <v>17</v>
      </c>
      <c r="B24" s="98" t="s">
        <v>96</v>
      </c>
      <c r="C24" s="97" t="s">
        <v>66</v>
      </c>
      <c r="D24" s="40" t="s">
        <v>63</v>
      </c>
      <c r="E24" s="40"/>
      <c r="F24" s="40"/>
      <c r="G24" s="39"/>
      <c r="H24" s="10"/>
      <c r="I24" s="9"/>
      <c r="J24" s="39"/>
      <c r="K24" s="40"/>
      <c r="L24" s="31"/>
      <c r="M24" s="31"/>
      <c r="N24" s="36"/>
      <c r="O24" s="39"/>
      <c r="P24" s="10"/>
      <c r="Q24" s="39"/>
      <c r="R24" s="40"/>
      <c r="S24" s="31"/>
      <c r="T24" s="31"/>
      <c r="U24" s="31"/>
      <c r="V24" s="36"/>
      <c r="X24" s="73">
        <v>20000</v>
      </c>
      <c r="Y24" s="73">
        <f t="shared" si="17"/>
        <v>20000.25</v>
      </c>
      <c r="Z24" s="21">
        <f t="shared" si="18"/>
        <v>14815</v>
      </c>
      <c r="AA24" s="39"/>
      <c r="AB24" s="40"/>
      <c r="AC24" s="31"/>
      <c r="AD24" s="31">
        <f t="shared" si="20"/>
        <v>14815</v>
      </c>
      <c r="AE24" s="31">
        <f t="shared" si="10"/>
        <v>14815</v>
      </c>
      <c r="AF24" s="31">
        <f t="shared" si="7"/>
        <v>14815</v>
      </c>
      <c r="AG24" s="36">
        <f t="shared" si="3"/>
        <v>1.0906079114015603E-3</v>
      </c>
      <c r="AH24" s="36">
        <f t="shared" si="4"/>
        <v>1.0036049843298073E-3</v>
      </c>
      <c r="AI24" s="36">
        <f t="shared" si="19"/>
        <v>5.1680226548810864E-3</v>
      </c>
      <c r="AJ24" s="39"/>
    </row>
    <row r="25" spans="1:37" s="41" customFormat="1" ht="16.899999999999999" customHeight="1" x14ac:dyDescent="0.2">
      <c r="A25" s="61">
        <v>19</v>
      </c>
      <c r="B25" s="93" t="s">
        <v>58</v>
      </c>
      <c r="C25" s="95" t="s">
        <v>84</v>
      </c>
      <c r="D25" s="40" t="s">
        <v>83</v>
      </c>
      <c r="E25" s="40"/>
      <c r="F25" s="40"/>
      <c r="G25" s="39"/>
      <c r="H25" s="10"/>
      <c r="I25" s="9"/>
      <c r="J25" s="39"/>
      <c r="K25" s="40"/>
      <c r="L25" s="31"/>
      <c r="M25" s="31"/>
      <c r="N25" s="36"/>
      <c r="O25" s="39"/>
      <c r="P25" s="10"/>
      <c r="Q25" s="39"/>
      <c r="R25" s="40"/>
      <c r="S25" s="31"/>
      <c r="T25" s="31"/>
      <c r="U25" s="31"/>
      <c r="V25" s="36"/>
      <c r="X25" s="73">
        <v>20000</v>
      </c>
      <c r="Y25" s="73">
        <f t="shared" si="17"/>
        <v>20000.25</v>
      </c>
      <c r="Z25" s="21">
        <f t="shared" si="18"/>
        <v>14815</v>
      </c>
      <c r="AA25" s="39"/>
      <c r="AB25" s="40"/>
      <c r="AC25" s="31"/>
      <c r="AD25" s="31">
        <f t="shared" si="20"/>
        <v>14815</v>
      </c>
      <c r="AE25" s="31">
        <f t="shared" si="10"/>
        <v>14815</v>
      </c>
      <c r="AF25" s="31">
        <f t="shared" si="7"/>
        <v>14815</v>
      </c>
      <c r="AG25" s="36">
        <f t="shared" si="3"/>
        <v>1.0906079114015603E-3</v>
      </c>
      <c r="AH25" s="36">
        <f t="shared" si="4"/>
        <v>1.0036049843298073E-3</v>
      </c>
      <c r="AI25" s="36">
        <f t="shared" si="19"/>
        <v>5.1680226548810864E-3</v>
      </c>
      <c r="AJ25" s="39"/>
    </row>
    <row r="26" spans="1:37" s="41" customFormat="1" ht="17.100000000000001" customHeight="1" x14ac:dyDescent="0.2">
      <c r="A26" s="61">
        <v>7</v>
      </c>
      <c r="B26" s="98" t="s">
        <v>94</v>
      </c>
      <c r="C26" s="32" t="s">
        <v>87</v>
      </c>
      <c r="D26" s="32" t="s">
        <v>71</v>
      </c>
      <c r="E26" s="40"/>
      <c r="F26" s="40"/>
      <c r="G26" s="39"/>
      <c r="H26" s="75"/>
      <c r="I26" s="21"/>
      <c r="J26" s="39"/>
      <c r="K26" s="29"/>
      <c r="L26" s="29"/>
      <c r="M26" s="31"/>
      <c r="N26" s="36"/>
      <c r="O26" s="39"/>
      <c r="P26" s="10"/>
      <c r="Q26" s="39"/>
      <c r="R26" s="29"/>
      <c r="S26" s="29"/>
      <c r="T26" s="31"/>
      <c r="U26" s="36"/>
      <c r="V26" s="36"/>
      <c r="X26" s="73">
        <v>70000</v>
      </c>
      <c r="Y26" s="73">
        <f>ROUND(Z26*$Z$41,2)</f>
        <v>70000.2</v>
      </c>
      <c r="Z26" s="21">
        <f>ROUND(X26/$Z$41,0)</f>
        <v>51852</v>
      </c>
      <c r="AA26" s="39"/>
      <c r="AB26" s="29"/>
      <c r="AC26" s="29"/>
      <c r="AD26" s="31">
        <f>Z26</f>
        <v>51852</v>
      </c>
      <c r="AE26" s="31">
        <f t="shared" ref="AE26" si="21">SUM(AC26:AD26)</f>
        <v>51852</v>
      </c>
      <c r="AF26" s="31">
        <f t="shared" ref="AF26" si="22">SUM(AB26:AD26)</f>
        <v>51852</v>
      </c>
      <c r="AG26" s="36">
        <f t="shared" ref="AG26" si="23">AF26/$AF$27</f>
        <v>3.8170908823485458E-3</v>
      </c>
      <c r="AH26" s="36">
        <f t="shared" ref="AH26" si="24">AF26/$AF$32</f>
        <v>3.5125835739094951E-3</v>
      </c>
      <c r="AI26" s="36">
        <f>AD26/$AD$27</f>
        <v>1.8087904873499434E-2</v>
      </c>
      <c r="AJ26" s="39"/>
      <c r="AK26" s="94" t="s">
        <v>59</v>
      </c>
    </row>
    <row r="27" spans="1:37" ht="18.75" customHeight="1" x14ac:dyDescent="0.25">
      <c r="A27" s="62"/>
      <c r="B27" s="62" t="s">
        <v>60</v>
      </c>
      <c r="C27" s="62"/>
      <c r="D27" s="62"/>
      <c r="E27" s="35">
        <f>SUM(E8:E26)</f>
        <v>10000000</v>
      </c>
      <c r="F27" s="37">
        <f>SUM(F8:F26)</f>
        <v>1</v>
      </c>
      <c r="G27" s="11"/>
      <c r="H27" s="22">
        <f>SUM(H8:H26)</f>
        <v>717500</v>
      </c>
      <c r="I27" s="19">
        <f>SUM(I8:I26)</f>
        <v>717500</v>
      </c>
      <c r="J27" s="11"/>
      <c r="K27" s="35">
        <f>SUM(K8:K26)</f>
        <v>10000000</v>
      </c>
      <c r="L27" s="35">
        <f>SUM(L8:L26)</f>
        <v>717500</v>
      </c>
      <c r="M27" s="35">
        <f>SUM(M8:M26)</f>
        <v>10717500</v>
      </c>
      <c r="N27" s="37">
        <f>SUM(N8:N26)</f>
        <v>1</v>
      </c>
      <c r="O27" s="11"/>
      <c r="P27" s="22"/>
      <c r="Q27" s="11"/>
      <c r="R27" s="35">
        <f>SUM(R8:R26)</f>
        <v>10000000</v>
      </c>
      <c r="S27" s="35">
        <f t="shared" ref="S27:T27" si="25">SUM(S8:S26)</f>
        <v>717500</v>
      </c>
      <c r="T27" s="35">
        <f t="shared" si="25"/>
        <v>10717500</v>
      </c>
      <c r="U27" s="37">
        <f>SUM(U8:U26)</f>
        <v>1</v>
      </c>
      <c r="V27" s="37">
        <f>SUM(V8:V26)</f>
        <v>0.90099996494359813</v>
      </c>
      <c r="X27" s="74">
        <f>SUM(X8:X26)</f>
        <v>3870000</v>
      </c>
      <c r="Y27" s="74">
        <f>SUM(Y8:Y26)</f>
        <v>3870000.45</v>
      </c>
      <c r="Z27" s="19">
        <f>SUM(Z8:Z26)</f>
        <v>2866667</v>
      </c>
      <c r="AA27" s="11"/>
      <c r="AB27" s="35">
        <f>SUM(AB8:AB26)</f>
        <v>10000000</v>
      </c>
      <c r="AC27" s="35">
        <f>SUM(AC8:AC26)</f>
        <v>717500</v>
      </c>
      <c r="AD27" s="35">
        <f>SUM(AD8:AD26)</f>
        <v>2866667</v>
      </c>
      <c r="AE27" s="35">
        <f t="shared" ref="AE27" si="26">SUM(AE8:AE25)</f>
        <v>3532315</v>
      </c>
      <c r="AF27" s="35">
        <f>SUM(AF8:AF26)</f>
        <v>13584167</v>
      </c>
      <c r="AG27" s="37">
        <f>SUM(AG8:AG26)</f>
        <v>1.0000000000000002</v>
      </c>
      <c r="AH27" s="37">
        <f>SUM(AH8:AH26)</f>
        <v>0.9202252925527159</v>
      </c>
      <c r="AI27" s="37">
        <f>SUM(AI8:AI26)</f>
        <v>0.99999999999999989</v>
      </c>
      <c r="AJ27" s="11"/>
    </row>
    <row r="28" spans="1:37" ht="10.5" customHeight="1" x14ac:dyDescent="0.25">
      <c r="F28" s="12"/>
      <c r="R28" s="65"/>
      <c r="T28" s="65"/>
      <c r="U28" s="65"/>
    </row>
    <row r="29" spans="1:37" ht="24" customHeight="1" x14ac:dyDescent="0.25">
      <c r="A29" s="63"/>
      <c r="B29" s="27"/>
      <c r="C29" s="27"/>
      <c r="D29" s="27"/>
      <c r="E29" s="28"/>
      <c r="F29" s="64"/>
      <c r="G29" s="50"/>
      <c r="H29" s="47"/>
      <c r="I29" s="6"/>
      <c r="K29" s="53"/>
      <c r="L29" s="54"/>
      <c r="M29" s="54"/>
      <c r="N29" s="54"/>
      <c r="P29" s="47"/>
      <c r="R29" s="66"/>
      <c r="S29" s="54"/>
      <c r="T29" s="66"/>
      <c r="U29" s="66"/>
      <c r="V29" s="54"/>
      <c r="X29" s="48"/>
      <c r="Y29" s="48"/>
      <c r="Z29" s="48"/>
      <c r="AB29" s="53"/>
      <c r="AC29" s="54"/>
      <c r="AD29" s="54"/>
      <c r="AE29" s="54"/>
      <c r="AF29" s="54"/>
      <c r="AG29" s="54"/>
      <c r="AH29" s="54"/>
      <c r="AI29" s="54"/>
    </row>
    <row r="30" spans="1:37" ht="3" customHeight="1" x14ac:dyDescent="0.25">
      <c r="A30" s="55"/>
      <c r="B30" s="55"/>
      <c r="C30" s="55"/>
      <c r="D30" s="55"/>
      <c r="E30" s="55"/>
      <c r="F30" s="55"/>
      <c r="G30" s="51"/>
      <c r="H30" s="52"/>
      <c r="I30" s="4"/>
      <c r="K30" s="55"/>
      <c r="L30" s="55"/>
      <c r="M30" s="55"/>
      <c r="N30" s="55"/>
      <c r="P30" s="52"/>
      <c r="R30" s="67"/>
      <c r="S30" s="55"/>
      <c r="T30" s="67"/>
      <c r="U30" s="67"/>
      <c r="V30" s="55"/>
      <c r="X30" s="43"/>
      <c r="Y30" s="43"/>
      <c r="Z30" s="43"/>
      <c r="AB30" s="55"/>
      <c r="AC30" s="55"/>
      <c r="AD30" s="55"/>
      <c r="AE30" s="55"/>
      <c r="AF30" s="55"/>
      <c r="AG30" s="55"/>
      <c r="AH30" s="55"/>
      <c r="AI30" s="55"/>
    </row>
    <row r="31" spans="1:37" ht="17.25" customHeight="1" x14ac:dyDescent="0.25">
      <c r="A31" s="32"/>
      <c r="B31" s="32" t="s">
        <v>25</v>
      </c>
      <c r="C31" s="32"/>
      <c r="D31" s="32"/>
      <c r="E31" s="32"/>
      <c r="F31" s="32"/>
      <c r="G31" s="42"/>
      <c r="H31" s="60"/>
      <c r="I31" s="58"/>
      <c r="J31" s="11"/>
      <c r="K31" s="32"/>
      <c r="L31" s="32"/>
      <c r="M31" s="32"/>
      <c r="N31" s="32"/>
      <c r="P31" s="57">
        <v>1177617</v>
      </c>
      <c r="Q31" s="11"/>
      <c r="R31" s="31">
        <f>P31</f>
        <v>1177617</v>
      </c>
      <c r="S31" s="32"/>
      <c r="T31" s="31">
        <f>SUM(R31:R31)</f>
        <v>1177617</v>
      </c>
      <c r="U31" s="31"/>
      <c r="V31" s="36">
        <f>T31/$T$32</f>
        <v>9.9000035056401717E-2</v>
      </c>
      <c r="X31" s="59"/>
      <c r="Y31" s="59"/>
      <c r="Z31" s="59"/>
      <c r="AA31" s="11"/>
      <c r="AB31" s="31">
        <f>R31</f>
        <v>1177617</v>
      </c>
      <c r="AC31" s="32"/>
      <c r="AD31" s="32"/>
      <c r="AE31" s="32"/>
      <c r="AF31" s="31">
        <f>SUM(AB31:AD31)</f>
        <v>1177617</v>
      </c>
      <c r="AG31" s="31"/>
      <c r="AH31" s="76">
        <f>AF31/$AF$32</f>
        <v>7.9774707447284154E-2</v>
      </c>
      <c r="AI31" s="31"/>
    </row>
    <row r="32" spans="1:37" ht="17.25" customHeight="1" x14ac:dyDescent="0.25">
      <c r="A32" s="62"/>
      <c r="B32" s="62" t="s">
        <v>60</v>
      </c>
      <c r="C32" s="62"/>
      <c r="D32" s="62"/>
      <c r="E32" s="62"/>
      <c r="F32" s="62"/>
      <c r="G32" s="12"/>
      <c r="H32" s="49"/>
      <c r="I32" s="18"/>
      <c r="J32" s="11"/>
      <c r="K32" s="56"/>
      <c r="L32" s="35">
        <f>SUM(L27,L31)</f>
        <v>717500</v>
      </c>
      <c r="M32" s="56"/>
      <c r="N32" s="56"/>
      <c r="P32" s="22"/>
      <c r="Q32" s="11"/>
      <c r="R32" s="35">
        <f>SUM(R27,R31)</f>
        <v>11177617</v>
      </c>
      <c r="S32" s="35">
        <f>SUM(S27,S31)</f>
        <v>717500</v>
      </c>
      <c r="T32" s="35">
        <f>SUM(T27,T31)</f>
        <v>11895117</v>
      </c>
      <c r="U32" s="35"/>
      <c r="V32" s="37">
        <f>SUM(V27,V31)</f>
        <v>0.99999999999999989</v>
      </c>
      <c r="X32" s="20"/>
      <c r="Y32" s="20"/>
      <c r="Z32" s="20"/>
      <c r="AA32" s="11"/>
      <c r="AB32" s="35">
        <f>SUM(AB27,AB31)</f>
        <v>11177617</v>
      </c>
      <c r="AC32" s="35">
        <f>SUM(AC27,AC31)</f>
        <v>717500</v>
      </c>
      <c r="AD32" s="35">
        <f>SUM(AD27,AD31)</f>
        <v>2866667</v>
      </c>
      <c r="AE32" s="35"/>
      <c r="AF32" s="35">
        <f>SUM(AF27,AF31)</f>
        <v>14761784</v>
      </c>
      <c r="AG32" s="35"/>
      <c r="AH32" s="37">
        <f>SUM(AH27,AH31)</f>
        <v>1</v>
      </c>
      <c r="AI32" s="35"/>
    </row>
    <row r="33" spans="6:35" ht="10.5" customHeight="1" x14ac:dyDescent="0.25">
      <c r="F33" s="12"/>
    </row>
    <row r="34" spans="6:35" x14ac:dyDescent="0.25">
      <c r="I34" s="44" t="s">
        <v>16</v>
      </c>
      <c r="L34" s="44"/>
      <c r="M34" s="44"/>
      <c r="N34" s="44"/>
      <c r="S34" s="44"/>
      <c r="T34" s="44"/>
      <c r="U34" s="44"/>
      <c r="V34" s="44"/>
      <c r="X34" s="44"/>
      <c r="Y34" s="44"/>
      <c r="Z34" s="44" t="s">
        <v>11</v>
      </c>
      <c r="AC34" s="44"/>
      <c r="AD34" s="44"/>
      <c r="AE34" s="44"/>
      <c r="AF34" s="44"/>
      <c r="AG34" s="44"/>
      <c r="AH34" s="44"/>
      <c r="AI34" s="44"/>
    </row>
    <row r="35" spans="6:35" x14ac:dyDescent="0.2">
      <c r="H35" s="41"/>
      <c r="I35" s="45"/>
      <c r="K35" s="41"/>
      <c r="L35" s="45"/>
      <c r="M35" s="45"/>
      <c r="N35" s="41"/>
      <c r="P35" s="41"/>
      <c r="R35" s="41"/>
      <c r="S35" s="45"/>
      <c r="T35" s="45"/>
      <c r="U35" s="45"/>
      <c r="V35" s="41"/>
      <c r="X35" s="45"/>
      <c r="Y35" s="45"/>
      <c r="Z35" s="41"/>
      <c r="AB35" s="41"/>
      <c r="AC35" s="45"/>
      <c r="AD35" s="45"/>
      <c r="AE35" s="45"/>
      <c r="AF35" s="45"/>
      <c r="AG35" s="45"/>
      <c r="AH35" s="41"/>
      <c r="AI35" s="45"/>
    </row>
    <row r="36" spans="6:35" x14ac:dyDescent="0.25">
      <c r="H36" s="15" t="s">
        <v>18</v>
      </c>
      <c r="I36" s="42">
        <v>10000000</v>
      </c>
      <c r="L36" s="42"/>
      <c r="N36" s="42"/>
      <c r="S36" s="42"/>
      <c r="V36" s="42"/>
      <c r="X36" s="15" t="s">
        <v>12</v>
      </c>
      <c r="Z36" s="79">
        <v>16000000</v>
      </c>
      <c r="AC36" s="42"/>
      <c r="AD36" s="42"/>
      <c r="AE36" s="42"/>
      <c r="AH36" s="42"/>
    </row>
    <row r="37" spans="6:35" x14ac:dyDescent="0.2">
      <c r="N37" s="46"/>
      <c r="V37" s="46"/>
      <c r="X37" s="15" t="s">
        <v>15</v>
      </c>
      <c r="Z37" s="80">
        <f>Z36+X27</f>
        <v>19870000</v>
      </c>
      <c r="AH37" s="46"/>
    </row>
    <row r="38" spans="6:35" x14ac:dyDescent="0.25">
      <c r="H38" s="15" t="s">
        <v>13</v>
      </c>
      <c r="I38" s="65">
        <f>E27</f>
        <v>10000000</v>
      </c>
      <c r="L38" s="42"/>
      <c r="S38" s="42"/>
      <c r="AC38" s="42"/>
      <c r="AD38" s="42"/>
      <c r="AE38" s="42"/>
    </row>
    <row r="39" spans="6:35" x14ac:dyDescent="0.25">
      <c r="N39" s="42"/>
      <c r="V39" s="42"/>
      <c r="X39" s="15" t="s">
        <v>13</v>
      </c>
      <c r="Z39" s="65">
        <f>T32</f>
        <v>11895117</v>
      </c>
      <c r="AH39" s="42"/>
    </row>
    <row r="40" spans="6:35" x14ac:dyDescent="0.2">
      <c r="H40" s="15" t="s">
        <v>14</v>
      </c>
      <c r="I40" s="46">
        <f>I36/E27</f>
        <v>1</v>
      </c>
      <c r="L40" s="46"/>
      <c r="M40" s="41"/>
      <c r="N40" s="41"/>
      <c r="S40" s="46"/>
      <c r="T40" s="41"/>
      <c r="U40" s="41"/>
      <c r="V40" s="41"/>
      <c r="X40" s="41"/>
      <c r="Y40" s="41"/>
      <c r="Z40" s="41"/>
      <c r="AC40" s="46"/>
      <c r="AD40" s="46"/>
      <c r="AE40" s="46"/>
      <c r="AF40" s="41"/>
      <c r="AG40" s="41"/>
      <c r="AH40" s="41"/>
      <c r="AI40" s="41"/>
    </row>
    <row r="41" spans="6:35" x14ac:dyDescent="0.2">
      <c r="N41" s="46"/>
      <c r="V41" s="46"/>
      <c r="X41" s="15" t="s">
        <v>14</v>
      </c>
      <c r="Z41" s="80">
        <f>ROUND(Z36/Z39,2)</f>
        <v>1.35</v>
      </c>
      <c r="AH41" s="46"/>
    </row>
    <row r="43" spans="6:35" x14ac:dyDescent="0.2">
      <c r="H43" s="41"/>
      <c r="I43" s="41"/>
      <c r="K43" s="41"/>
      <c r="L43" s="41"/>
      <c r="P43" s="41"/>
      <c r="R43" s="41"/>
      <c r="S43" s="41"/>
      <c r="Z43" s="79"/>
      <c r="AB43" s="41"/>
      <c r="AC43" s="41"/>
      <c r="AD43" s="41"/>
      <c r="AE43" s="41"/>
    </row>
    <row r="45" spans="6:35" x14ac:dyDescent="0.2">
      <c r="H45" s="41"/>
      <c r="I45" s="41"/>
      <c r="K45" s="41"/>
      <c r="L45" s="41"/>
      <c r="M45" s="41"/>
      <c r="N45" s="41"/>
      <c r="P45" s="41"/>
      <c r="R45" s="41"/>
      <c r="S45" s="41"/>
      <c r="T45" s="41"/>
      <c r="U45" s="41"/>
      <c r="V45" s="41"/>
      <c r="X45" s="41"/>
      <c r="Y45" s="41"/>
      <c r="Z45" s="41"/>
      <c r="AB45" s="41"/>
      <c r="AC45" s="41"/>
      <c r="AD45" s="41"/>
      <c r="AE45" s="41"/>
      <c r="AF45" s="41"/>
      <c r="AG45" s="41"/>
      <c r="AH45" s="41"/>
      <c r="AI45" s="41"/>
    </row>
    <row r="46" spans="6:35" x14ac:dyDescent="0.2">
      <c r="H46" s="41"/>
      <c r="I46" s="41"/>
      <c r="K46" s="41"/>
      <c r="L46" s="41"/>
      <c r="P46" s="41"/>
      <c r="R46" s="41"/>
      <c r="S46" s="41"/>
      <c r="AB46" s="41"/>
      <c r="AC46" s="41"/>
      <c r="AD46" s="41"/>
      <c r="AE46" s="41"/>
    </row>
    <row r="55" spans="12:31" x14ac:dyDescent="0.25">
      <c r="L55" s="69"/>
      <c r="S55" s="69"/>
      <c r="AC55" s="69"/>
      <c r="AD55" s="69"/>
      <c r="AE55" s="69"/>
    </row>
    <row r="56" spans="12:31" x14ac:dyDescent="0.25">
      <c r="L56" s="71">
        <f>SUM(N8:N10)</f>
        <v>0.93305341730814084</v>
      </c>
      <c r="S56" s="71">
        <f>SUM(U8:U10)</f>
        <v>0.93305341730814084</v>
      </c>
      <c r="AB56" s="70" t="s">
        <v>33</v>
      </c>
      <c r="AC56" s="71">
        <f>SUM(AF8:AF10)</f>
        <v>10000000</v>
      </c>
      <c r="AD56" s="71">
        <f>SUM(AG8:AG10)</f>
        <v>0.73615113830682444</v>
      </c>
      <c r="AE56" s="71"/>
    </row>
    <row r="57" spans="12:31" x14ac:dyDescent="0.25">
      <c r="L57" s="71">
        <f>SUM(N11:N24)</f>
        <v>6.6946582691859116E-2</v>
      </c>
      <c r="S57" s="71">
        <f>SUM(U11:U24)</f>
        <v>6.6946582691859116E-2</v>
      </c>
      <c r="AB57" s="70" t="s">
        <v>34</v>
      </c>
      <c r="AC57" s="71">
        <f>SUM(AF11:AF24)</f>
        <v>3517500</v>
      </c>
      <c r="AD57" s="71">
        <f>SUM(AG11:AG24)</f>
        <v>0.25894116289942554</v>
      </c>
      <c r="AE57" s="71"/>
    </row>
  </sheetData>
  <hyperlinks>
    <hyperlink ref="D19" r:id="rId1" display="mailto:Holger.temme@gmail.com" xr:uid="{EB7AD0BF-85BA-497C-9D1B-5C1248071B75}"/>
    <hyperlink ref="D16" r:id="rId2" display="mailto:steipete@gmail.com" xr:uid="{FEA1C2D9-107B-49B3-98E5-445824F9111B}"/>
    <hyperlink ref="D24" r:id="rId3" display="mailto:scoutservices@sequoiacap.com" xr:uid="{77B210E6-705F-46BB-8C7A-DEF485911C2D}"/>
    <hyperlink ref="D23" r:id="rId4" xr:uid="{7F93758D-DA35-442A-B0C4-959E25550C01}"/>
    <hyperlink ref="D14" r:id="rId5" display="mailto:portfolio@roundtable.eu" xr:uid="{BFACCA0C-261F-4706-870F-BAFF0F9164E3}"/>
    <hyperlink ref="D21" r:id="rId6" display="mailto:sebastian.boehmer@firstmomentum.vc" xr:uid="{4B7C7302-D43E-4EC4-8E8D-F76B0871ECF2}"/>
    <hyperlink ref="D20" r:id="rId7" display="mailto:alexander.gruber@speedinvest.com" xr:uid="{C6FDA728-D2C4-480E-83AC-5DE1B5479416}"/>
    <hyperlink ref="D11" r:id="rId8" display="mailto:eric@hrcls.vc" xr:uid="{C66C944D-9D7D-42DE-A46D-DCBC5B9E2E6A}"/>
    <hyperlink ref="D18" r:id="rId9" display="mailto:msoliman3890@gmail.com" xr:uid="{BD3D1106-9054-4B1E-A6D9-9BE5B44C3F13}"/>
    <hyperlink ref="D22" r:id="rId10" display="mailto:mprice@productification.com" xr:uid="{910F0312-9837-4AE5-B512-DA0DF6BB84DB}"/>
    <hyperlink ref="D12" r:id="rId11" display="mailto:florian.gschwandtner@gmail.com" xr:uid="{CF991F5D-E8D8-4066-ADAB-A3D5135B047D}"/>
    <hyperlink ref="D25" r:id="rId12" display="mailto:michael@morgen.ventures" xr:uid="{CE39044D-2A6B-4476-802B-8AB8682E6BBD}"/>
    <hyperlink ref="D15" r:id="rId13" display="mailto:johannes@moser.wtf" xr:uid="{3EA4400B-5B9E-4229-9AF1-B42404EA0FFC}"/>
    <hyperlink ref="D26" r:id="rId14" display="mailto:portfolio@roundtable.eu" xr:uid="{CA1EDFCE-ADBD-4105-B8BD-1D4A3B8E3A50}"/>
  </hyperlinks>
  <pageMargins left="0.7" right="0.7" top="0.75" bottom="0.75" header="0.3" footer="0.3"/>
  <pageSetup paperSize="9" orientation="portrait" horizontalDpi="4294967292" verticalDpi="4294967292" r:id="rId15"/>
  <drawing r:id="rId16"/>
  <legacy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FFB1F-EB26-407C-A1DA-84CC14802920}">
  <sheetPr>
    <tabColor theme="8"/>
  </sheetPr>
  <dimension ref="A1:J17"/>
  <sheetViews>
    <sheetView zoomScaleNormal="100" zoomScalePageLayoutView="130" workbookViewId="0">
      <pane xSplit="2" topLeftCell="C1" activePane="topRight" state="frozen"/>
      <selection pane="topRight" activeCell="C1" sqref="C1"/>
    </sheetView>
  </sheetViews>
  <sheetFormatPr defaultColWidth="8.7109375" defaultRowHeight="12" x14ac:dyDescent="0.25"/>
  <cols>
    <col min="1" max="1" width="4.42578125" style="15" customWidth="1"/>
    <col min="2" max="2" width="23.85546875" style="15" customWidth="1"/>
    <col min="3" max="3" width="17.5703125" style="15" customWidth="1"/>
    <col min="4" max="4" width="3.28515625" style="15" customWidth="1"/>
    <col min="5" max="5" width="18.85546875" style="15" customWidth="1"/>
    <col min="6" max="6" width="19.5703125" style="15" customWidth="1"/>
    <col min="7" max="7" width="17.28515625" style="15" customWidth="1"/>
    <col min="8" max="8" width="3.140625" style="15" customWidth="1"/>
    <col min="9" max="9" width="19" style="15" customWidth="1"/>
    <col min="10" max="10" width="18" style="15" customWidth="1"/>
    <col min="11" max="11" width="11.28515625" style="15" customWidth="1"/>
    <col min="12" max="16384" width="8.7109375" style="15"/>
  </cols>
  <sheetData>
    <row r="1" spans="1:10" ht="49.5" customHeight="1" x14ac:dyDescent="0.25">
      <c r="A1" s="2"/>
      <c r="B1" s="3"/>
    </row>
    <row r="2" spans="1:10" ht="19.5" customHeight="1" x14ac:dyDescent="0.25"/>
    <row r="3" spans="1:10" ht="7.5" customHeight="1" x14ac:dyDescent="0.25"/>
    <row r="4" spans="1:10" s="83" customFormat="1" ht="21" customHeight="1" x14ac:dyDescent="0.25">
      <c r="A4" s="82"/>
      <c r="B4" s="82"/>
      <c r="C4" s="82"/>
      <c r="D4" s="85"/>
      <c r="E4" s="38" t="s">
        <v>50</v>
      </c>
      <c r="F4" s="38"/>
      <c r="G4" s="90"/>
      <c r="H4" s="91"/>
      <c r="I4" s="101" t="s">
        <v>51</v>
      </c>
      <c r="J4" s="101"/>
    </row>
    <row r="5" spans="1:10" ht="3.75" customHeight="1" x14ac:dyDescent="0.25">
      <c r="A5" s="33"/>
      <c r="B5" s="33"/>
      <c r="C5" s="33"/>
      <c r="D5" s="86"/>
      <c r="E5" s="4"/>
      <c r="F5" s="4"/>
      <c r="G5" s="4"/>
      <c r="I5" s="33"/>
      <c r="J5" s="33"/>
    </row>
    <row r="6" spans="1:10" ht="23.25" customHeight="1" x14ac:dyDescent="0.25">
      <c r="A6" s="27"/>
      <c r="B6" s="27"/>
      <c r="C6" s="27"/>
      <c r="D6" s="87"/>
      <c r="E6" s="5"/>
      <c r="F6" s="99" t="s">
        <v>49</v>
      </c>
      <c r="G6" s="100"/>
      <c r="I6" s="27"/>
      <c r="J6" s="27"/>
    </row>
    <row r="7" spans="1:10" s="17" customFormat="1" ht="42" customHeight="1" x14ac:dyDescent="0.25">
      <c r="A7" s="16"/>
      <c r="B7" s="7" t="s">
        <v>30</v>
      </c>
      <c r="C7" s="8" t="s">
        <v>45</v>
      </c>
      <c r="D7" s="8"/>
      <c r="E7" s="8" t="s">
        <v>46</v>
      </c>
      <c r="F7" s="8" t="s">
        <v>53</v>
      </c>
      <c r="G7" s="8" t="s">
        <v>54</v>
      </c>
      <c r="I7" s="8" t="s">
        <v>52</v>
      </c>
      <c r="J7" s="8" t="s">
        <v>55</v>
      </c>
    </row>
    <row r="8" spans="1:10" ht="18.75" customHeight="1" x14ac:dyDescent="0.25">
      <c r="A8" s="61">
        <v>1</v>
      </c>
      <c r="B8" s="32" t="s">
        <v>1</v>
      </c>
      <c r="C8" s="29">
        <v>7350000</v>
      </c>
      <c r="D8" s="88"/>
      <c r="E8" s="21">
        <f>C8/48*30</f>
        <v>4593750</v>
      </c>
      <c r="F8" s="21">
        <f>C8-E8</f>
        <v>2756250</v>
      </c>
      <c r="G8" s="21">
        <f>E8-G14</f>
        <v>2556125</v>
      </c>
      <c r="I8" s="92">
        <f>E8*0.00001</f>
        <v>45.937500000000007</v>
      </c>
      <c r="J8" s="92">
        <f>G8*G17*0.75</f>
        <v>2588076.5625</v>
      </c>
    </row>
    <row r="9" spans="1:10" ht="17.25" customHeight="1" x14ac:dyDescent="0.25">
      <c r="A9" s="62"/>
      <c r="B9" s="62" t="s">
        <v>24</v>
      </c>
      <c r="C9" s="62"/>
      <c r="D9" s="89"/>
      <c r="E9" s="49"/>
      <c r="F9" s="49"/>
      <c r="G9" s="49"/>
      <c r="H9" s="12"/>
      <c r="I9" s="62"/>
      <c r="J9" s="62"/>
    </row>
    <row r="10" spans="1:10" ht="10.5" customHeight="1" x14ac:dyDescent="0.25"/>
    <row r="13" spans="1:10" x14ac:dyDescent="0.25">
      <c r="F13" s="84" t="s">
        <v>47</v>
      </c>
      <c r="G13" s="65">
        <f>ROUND(0.07*'Cap Table'!AF27,0)</f>
        <v>950892</v>
      </c>
    </row>
    <row r="14" spans="1:10" x14ac:dyDescent="0.25">
      <c r="F14" s="84" t="s">
        <v>48</v>
      </c>
      <c r="G14" s="65">
        <f>ROUND(0.15*'Cap Table'!AF27,0)</f>
        <v>2037625</v>
      </c>
    </row>
    <row r="16" spans="1:10" x14ac:dyDescent="0.25">
      <c r="F16" s="84" t="s">
        <v>56</v>
      </c>
      <c r="G16" s="79">
        <f>'Cap Table'!Z37</f>
        <v>19870000</v>
      </c>
    </row>
    <row r="17" spans="6:7" x14ac:dyDescent="0.25">
      <c r="F17" s="84" t="s">
        <v>57</v>
      </c>
      <c r="G17" s="15">
        <f>'Cap Table'!Z41</f>
        <v>1.35</v>
      </c>
    </row>
  </sheetData>
  <mergeCells count="2">
    <mergeCell ref="F6:G6"/>
    <mergeCell ref="I4:J4"/>
  </mergeCells>
  <pageMargins left="0.7" right="0.7" top="0.75" bottom="0.75" header="0.3" footer="0.3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 Table</vt:lpstr>
      <vt:lpstr>Vesting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2024-08-06T19:32:43Z</dcterms:modified>
</cp:coreProperties>
</file>