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930" firstSheet="6" activeTab="10"/>
  </bookViews>
  <sheets>
    <sheet name="Functions,Cell formating" sheetId="1" r:id="rId1"/>
    <sheet name="Charts" sheetId="2" r:id="rId2"/>
    <sheet name="Database,Pivot table and Data v" sheetId="3" r:id="rId3"/>
    <sheet name="Database Functions" sheetId="4" r:id="rId4"/>
    <sheet name="Data Validation and Consolidati" sheetId="5" r:id="rId5"/>
    <sheet name="Dynamic Data Range and Control" sheetId="6" r:id="rId6"/>
    <sheet name="What if analysis" sheetId="7" r:id="rId7"/>
    <sheet name="Scenario" sheetId="13" r:id="rId8"/>
    <sheet name="Scenario Summary " sheetId="12" r:id="rId9"/>
    <sheet name="Statistical Functions" sheetId="10" r:id="rId10"/>
    <sheet name="Sheet1" sheetId="14" r:id="rId11"/>
  </sheets>
  <definedNames>
    <definedName name="Smith1">Charts!$C$3:$E$3</definedName>
    <definedName name="_xlnm._FilterDatabase" localSheetId="2" hidden="1">'Database,Pivot table and Data v'!$A$2:$G$16</definedName>
    <definedName name="_xlnm.Criteria" localSheetId="2">'Database,Pivot table and Data v'!$A$30:$B$31</definedName>
    <definedName name="_xlnm.Extract" localSheetId="2">'Database,Pivot table and Data v'!$A$33</definedName>
    <definedName name="Data">OFFSET('Dynamic Data Range and Control'!$A$1,0,0,COUNTA('Dynamic Data Range and Control'!$A$1:$A$100),4)</definedName>
    <definedName name="MARSAL">OFFSET('Dynamic Data Range and Control'!$A$1,1,3,COUNTA('Dynamic Data Range and Control'!$A$2:$A$100),1)</definedName>
    <definedName name="DATA1">OFFSET('Dynamic Data Range and Control'!$A$2,0,0,COUNTA('Dynamic Data Range and Control'!$A$2:$A$100),1)</definedName>
    <definedName name="COND">'Dynamic Data Range and Control'!$B$42:$B$43</definedName>
    <definedName name="Dept">OFFSET('Dynamic Data Range and Control'!$K$2,0,0,COUNTA('Dynamic Data Range and Control'!$K$2:$K$15),8)</definedName>
    <definedName name="Dept1">OFFSET('Dynamic Data Range and Control'!$K$3,0,0,COUNTA('Dynamic Data Range and Control'!$K$3:$K$15),1)</definedName>
    <definedName name="COND1">'Dynamic Data Range and Control'!$K$22:$L$23</definedName>
    <definedName name="solver_opt" localSheetId="6" hidden="1">'What if analysis'!#REF!</definedName>
    <definedName name="solver_typ" localSheetId="6" hidden="1">1</definedName>
    <definedName name="solver_val" localSheetId="6" hidden="1">0</definedName>
    <definedName name="solver_neg" localSheetId="6" hidden="1">1</definedName>
    <definedName name="solver_num" localSheetId="6" hidden="1">0</definedName>
    <definedName name="solver_lin" localSheetId="6" hidden="1">0</definedName>
    <definedName name="solver_eng" localSheetId="6" hidden="1">1</definedName>
    <definedName name="solver_ver" localSheetId="6" hidden="1">3</definedName>
    <definedName name="price">'What if analysis'!$J$4</definedName>
    <definedName name="interest_rate">'What if analysis'!$K$4</definedName>
    <definedName name="term">'What if analysis'!$L$4</definedName>
    <definedName name="loan_amount">'What if analysis'!$M$4</definedName>
    <definedName name="payment">'What if analysis'!$J$10</definedName>
    <definedName name="CUSTOMER">OFFSET('Statistical Functions'!$A$1,0,0,COUNTA('Statistical Functions'!$A$1:$A$200),COUNTA('Statistical Functions'!$1:$1))</definedName>
    <definedName name="interest_rate" localSheetId="8">Scenario!$B$5</definedName>
    <definedName name="loan_amount" localSheetId="8">Scenario!$D$5</definedName>
    <definedName name="payment" localSheetId="8">Scenario!$A$11</definedName>
    <definedName name="price" localSheetId="8">Scenario!$A$5</definedName>
    <definedName name="term" localSheetId="8">Scenario!$C$5</definedName>
    <definedName name="interest_rate" localSheetId="7">Scenario!$B$5</definedName>
    <definedName name="loan_amount" localSheetId="7">Scenario!$D$5</definedName>
    <definedName name="payment" localSheetId="7">Scenario!$A$11</definedName>
    <definedName name="price" localSheetId="7">Scenario!$A$5</definedName>
    <definedName name="term" localSheetId="7">Scenario!$C$5</definedName>
  </definedNames>
  <calcPr calcId="144525"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<sst xmlns="http://schemas.openxmlformats.org/spreadsheetml/2006/main" count="650" uniqueCount="241">
  <si>
    <t>Order ID</t>
  </si>
  <si>
    <t>Order Date</t>
  </si>
  <si>
    <t>Units</t>
  </si>
  <si>
    <t>Price</t>
  </si>
  <si>
    <t>Sales</t>
  </si>
  <si>
    <t>Commision to salesman</t>
  </si>
  <si>
    <t>Remark</t>
  </si>
  <si>
    <t>Total Sales</t>
  </si>
  <si>
    <t>Highest Sales</t>
  </si>
  <si>
    <t xml:space="preserve">Sales </t>
  </si>
  <si>
    <t>Commision</t>
  </si>
  <si>
    <t xml:space="preserve">Lowest sales </t>
  </si>
  <si>
    <t>less than 500</t>
  </si>
  <si>
    <t>Average sales</t>
  </si>
  <si>
    <t>500 to 2500</t>
  </si>
  <si>
    <t>2% of sales</t>
  </si>
  <si>
    <t>sum of sales below 5000</t>
  </si>
  <si>
    <t>above 2500</t>
  </si>
  <si>
    <t>5% of sales</t>
  </si>
  <si>
    <t>sum of sales between 500-2500</t>
  </si>
  <si>
    <t>sum of sales above 2500</t>
  </si>
  <si>
    <t>Count of sales in march and september</t>
  </si>
  <si>
    <t>Count of excellent remarks</t>
  </si>
  <si>
    <t>Sum of sales with good remarks</t>
  </si>
  <si>
    <t>Marks Report</t>
  </si>
  <si>
    <t>ID No</t>
  </si>
  <si>
    <t>Name</t>
  </si>
  <si>
    <t>Subject 1</t>
  </si>
  <si>
    <t>Subject 2</t>
  </si>
  <si>
    <t>Subject 3</t>
  </si>
  <si>
    <t>Total</t>
  </si>
  <si>
    <t>Average marks</t>
  </si>
  <si>
    <t>Grade</t>
  </si>
  <si>
    <t>Smith</t>
  </si>
  <si>
    <t>Kivell</t>
  </si>
  <si>
    <t>Kevin</t>
  </si>
  <si>
    <t>James</t>
  </si>
  <si>
    <t>Andrews</t>
  </si>
  <si>
    <t>Gill</t>
  </si>
  <si>
    <t>Morgan</t>
  </si>
  <si>
    <t>Barney</t>
  </si>
  <si>
    <t>Fin</t>
  </si>
  <si>
    <t>Leon</t>
  </si>
  <si>
    <t>Jardine</t>
  </si>
  <si>
    <t>Karen</t>
  </si>
  <si>
    <t>Adam</t>
  </si>
  <si>
    <t>Ruth</t>
  </si>
  <si>
    <t>Tom</t>
  </si>
  <si>
    <t>Harry</t>
  </si>
  <si>
    <t>Raw Data</t>
  </si>
  <si>
    <t>Item</t>
  </si>
  <si>
    <t>Category</t>
  </si>
  <si>
    <t>Customer</t>
  </si>
  <si>
    <t>City</t>
  </si>
  <si>
    <t>Quantity</t>
  </si>
  <si>
    <t>Rate</t>
  </si>
  <si>
    <t>Notebooks</t>
  </si>
  <si>
    <t>Office Supplies</t>
  </si>
  <si>
    <t>Muhammed MacIntyre</t>
  </si>
  <si>
    <t>Portland</t>
  </si>
  <si>
    <t>Files</t>
  </si>
  <si>
    <t>Ruben Dartt</t>
  </si>
  <si>
    <t>Boston</t>
  </si>
  <si>
    <t>Chair</t>
  </si>
  <si>
    <t>Furniture</t>
  </si>
  <si>
    <t>Valerie Takahito</t>
  </si>
  <si>
    <t>Las Vegas</t>
  </si>
  <si>
    <t>Pen stand</t>
  </si>
  <si>
    <t>Tamara Dahlen</t>
  </si>
  <si>
    <t>Cable wire</t>
  </si>
  <si>
    <t>Technology</t>
  </si>
  <si>
    <t>Helen Wasserman</t>
  </si>
  <si>
    <t>Charger</t>
  </si>
  <si>
    <t>Roy Collins</t>
  </si>
  <si>
    <t>Stapler</t>
  </si>
  <si>
    <t>Julie Creighton</t>
  </si>
  <si>
    <t>Seattle</t>
  </si>
  <si>
    <t>pen-drive</t>
  </si>
  <si>
    <t>Anne Pryor</t>
  </si>
  <si>
    <t>Las vegas</t>
  </si>
  <si>
    <t>Battery</t>
  </si>
  <si>
    <t>Sample Company A</t>
  </si>
  <si>
    <t>Pasadena</t>
  </si>
  <si>
    <t>Mouse</t>
  </si>
  <si>
    <t>White Board</t>
  </si>
  <si>
    <t>Liz Pelletier</t>
  </si>
  <si>
    <t>Clock</t>
  </si>
  <si>
    <t>Michael Dominguez</t>
  </si>
  <si>
    <t>CD</t>
  </si>
  <si>
    <t>Emily Phan</t>
  </si>
  <si>
    <t>Tubelight</t>
  </si>
  <si>
    <t>Bart Folk</t>
  </si>
  <si>
    <t xml:space="preserve">Filtering data by Specifying conditions </t>
  </si>
  <si>
    <t>Condition</t>
  </si>
  <si>
    <t>Multiple Condition</t>
  </si>
  <si>
    <t xml:space="preserve">Sorting the Raw data Category and City wise </t>
  </si>
  <si>
    <t xml:space="preserve">Grouping and subtotal after sorting </t>
  </si>
  <si>
    <t>Furniture Total</t>
  </si>
  <si>
    <t>Office Supplies Total</t>
  </si>
  <si>
    <t>Technology Total</t>
  </si>
  <si>
    <t>Grand Total</t>
  </si>
  <si>
    <t>Pivot Table</t>
  </si>
  <si>
    <t>(ALL)</t>
  </si>
  <si>
    <t>Sum of Sales</t>
  </si>
  <si>
    <t>New Set of Raw Data</t>
  </si>
  <si>
    <t>Salesman</t>
  </si>
  <si>
    <t>Branch</t>
  </si>
  <si>
    <t>Desk</t>
  </si>
  <si>
    <t>Pencil</t>
  </si>
  <si>
    <t>Binder</t>
  </si>
  <si>
    <t>Pen</t>
  </si>
  <si>
    <t>Pen Set</t>
  </si>
  <si>
    <t>Validating the cell B2 so that it accepts only a date belonging to year between 2017-2020</t>
  </si>
  <si>
    <t>Validating the cell B3 so that it accepts only a whole number</t>
  </si>
  <si>
    <t>Validating the cell B4 so that it accepts only a Text between 2 to 100 characters</t>
  </si>
  <si>
    <t>Quarter</t>
  </si>
  <si>
    <t>Income</t>
  </si>
  <si>
    <t>Expense</t>
  </si>
  <si>
    <t>RAW DATA 2</t>
  </si>
  <si>
    <t>To create a list box with option button for ward to get total room rent and fees collected from each ward in department</t>
  </si>
  <si>
    <t xml:space="preserve">Patient </t>
  </si>
  <si>
    <t>Dept</t>
  </si>
  <si>
    <t>Ward</t>
  </si>
  <si>
    <t>Admission</t>
  </si>
  <si>
    <t>Discharge</t>
  </si>
  <si>
    <t>No of days</t>
  </si>
  <si>
    <t>Room rent</t>
  </si>
  <si>
    <t>fees</t>
  </si>
  <si>
    <t>Amount</t>
  </si>
  <si>
    <t>Skin</t>
  </si>
  <si>
    <t>Special</t>
  </si>
  <si>
    <t>San Jose</t>
  </si>
  <si>
    <t>Eye</t>
  </si>
  <si>
    <t>General</t>
  </si>
  <si>
    <t>Nose</t>
  </si>
  <si>
    <t>Ear</t>
  </si>
  <si>
    <t>Results</t>
  </si>
  <si>
    <t>Room Rent</t>
  </si>
  <si>
    <t>Fees</t>
  </si>
  <si>
    <t>Reference cells</t>
  </si>
  <si>
    <t>used to form the list box</t>
  </si>
  <si>
    <t>Dynamic data range name- created 2 dynamic range names Data and DATA1-</t>
  </si>
  <si>
    <t>Calculating the sum of expenses by using the dynamic data range name MARSAL</t>
  </si>
  <si>
    <t>Sum of second row using index function</t>
  </si>
  <si>
    <t>sum of third column using index function</t>
  </si>
  <si>
    <t>Creating a ListBox for the given cities</t>
  </si>
  <si>
    <t>Income of selected city in list box</t>
  </si>
  <si>
    <t>Expense of selected city in list box</t>
  </si>
  <si>
    <t>Profit/loss</t>
  </si>
  <si>
    <t>Displays the index of the city selected in the list box</t>
  </si>
  <si>
    <t>Displays the city selected in the list box using the INDEX function</t>
  </si>
  <si>
    <t>emp-no</t>
  </si>
  <si>
    <t>emp-name</t>
  </si>
  <si>
    <t>designation</t>
  </si>
  <si>
    <t>basic</t>
  </si>
  <si>
    <t>hra</t>
  </si>
  <si>
    <t>net salary</t>
  </si>
  <si>
    <t>mgr1</t>
  </si>
  <si>
    <t>manager</t>
  </si>
  <si>
    <t>mgr2</t>
  </si>
  <si>
    <t>exe1</t>
  </si>
  <si>
    <t>executive</t>
  </si>
  <si>
    <t>exe2</t>
  </si>
  <si>
    <t>off1</t>
  </si>
  <si>
    <t>office</t>
  </si>
  <si>
    <t>tra1</t>
  </si>
  <si>
    <t>trainee</t>
  </si>
  <si>
    <t>off2</t>
  </si>
  <si>
    <t>off3</t>
  </si>
  <si>
    <t xml:space="preserve">2 input data table </t>
  </si>
  <si>
    <t>considering different values of hra and basic net salary of executive2 was calculated using what-if analysis</t>
  </si>
  <si>
    <t>Problem statement - A house is to be bought on loan, thre are 2 houses one for 2 lakhs and other for 3 lakhs, with an interest rate of 7% and down payment of 20% on both houses.the term of loan can be 15 or 30 yrs.</t>
  </si>
  <si>
    <t>Find down payment for each house for both the time period using scenario manager</t>
  </si>
  <si>
    <t>price</t>
  </si>
  <si>
    <t>interest rate</t>
  </si>
  <si>
    <t>term</t>
  </si>
  <si>
    <t>loan amount</t>
  </si>
  <si>
    <t>payment</t>
  </si>
  <si>
    <t>Scenario Summary</t>
  </si>
  <si>
    <t>Current Values:</t>
  </si>
  <si>
    <t>2 lakhs,15 yrs</t>
  </si>
  <si>
    <t>2 laks,30 yrs</t>
  </si>
  <si>
    <t>3 lakhs,15 yrs</t>
  </si>
  <si>
    <t>3 lakhs, 30 yrs</t>
  </si>
  <si>
    <t>House worth 2lakhs 15 yrs loan at 7%interest</t>
  </si>
  <si>
    <t>Created by HP on 09-08-2020</t>
  </si>
  <si>
    <t>Changing Cells:</t>
  </si>
  <si>
    <t>interest_rate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</si>
  <si>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</si>
  <si>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</si>
  <si>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</si>
  <si>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</si>
  <si>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ORDER NO</t>
  </si>
  <si>
    <t>ORDER DATE</t>
  </si>
  <si>
    <t>CUSTOMER NAME</t>
  </si>
  <si>
    <t>TYPE</t>
  </si>
  <si>
    <t>PRODUCT NAME</t>
  </si>
  <si>
    <t>UNIT</t>
  </si>
  <si>
    <t>COST</t>
  </si>
  <si>
    <t>AMOUNT</t>
  </si>
  <si>
    <t>CREATE A PIVOT TABLE TO CALCULATE THE HIGHEST QUANTITY BASED ON THE TYPE</t>
  </si>
  <si>
    <t>SACHIN</t>
  </si>
  <si>
    <t>RETAIL</t>
  </si>
  <si>
    <t>MOBILE</t>
  </si>
  <si>
    <t>ROOPA</t>
  </si>
  <si>
    <t>ONLINE</t>
  </si>
  <si>
    <t>HARD DISK</t>
  </si>
  <si>
    <t>DINESH</t>
  </si>
  <si>
    <t>PENDRIVE</t>
  </si>
  <si>
    <t>AKBAR</t>
  </si>
  <si>
    <t>Column Labels</t>
  </si>
  <si>
    <t>USING D FUNCTION CALCULATE THE TOTAL OF UNIT IF TYPE IS RETAIL</t>
  </si>
  <si>
    <t xml:space="preserve"> USING D FUNCTION DISPLAY THE LOWEST COST OF PRODUCT MOBILE </t>
  </si>
  <si>
    <t>Max of UNIT</t>
  </si>
  <si>
    <t xml:space="preserve">USING D FUNCTION DISPLAY THE COST OF HARD DISK </t>
  </si>
  <si>
    <t>FOR COLUMN H SPECIFY THE VALIDATION .NUMBERS MUST BE &gt;=50,DISPLAY THE ERROR MESSAGE FOR INVALID DATA</t>
  </si>
  <si>
    <t>USING ONE INPUT DATA TABLE ANALYS THE AMOUNT OF PENDRIVE IF COST CHANGES TO 370,500,450</t>
  </si>
  <si>
    <t>CREATE A PIVOT TABLE TO DISPLAY THE TOTAL OF UNIT &amp;LOWEST COST BASED ON PRODUCT NAME &amp; TYPE</t>
  </si>
  <si>
    <t>USING OFFSET FUNCTION CALCULATE THE AMOUNT IN COLUMN H</t>
  </si>
  <si>
    <t>USING 2 INPUT DATA TABLE ANALYSE THE AMOUNT OF HARD DISK IF UNIT CHANGES TO 5,8,10&amp;COST CHANGES TO 7100,8900,9400,6300</t>
  </si>
  <si>
    <t>Total Min of COST</t>
  </si>
  <si>
    <t>Total Sum of UNIT</t>
  </si>
  <si>
    <t>Row Labels</t>
  </si>
  <si>
    <t>Min of COST</t>
  </si>
  <si>
    <t>Sum of UNIT</t>
  </si>
  <si>
    <t>CREATE A SCENARIO FOR HARD DISK IF COST CHANGES TO 5400,6000</t>
  </si>
  <si>
    <t>CREATE A SCENARIO FOR PENDRIVE IF UNIT CHANGES TO 20&amp;COST CHANGES TO 350</t>
  </si>
  <si>
    <t>USING VLOOKUP FUNCTION DISPLAY THE ORDER DATE IF ORDER NUMBER IS 103</t>
  </si>
  <si>
    <t>USING VLOOKUP FUNCTION DISPLAY THE PRODUCT NAME BASED ON THE CUSTOMER NAME</t>
  </si>
  <si>
    <t>DISPLAY THE ORDER NUMBER IF ORDER DATE IS 3rd MAY 2017</t>
  </si>
  <si>
    <t>DISPLAY THE ORDER NUMBER OF CUSTOMER SACHIN</t>
  </si>
  <si>
    <t>DISPLAY THE ORDER NUMBER OR ORDER DATE BASED ON GIVEN CUSTOMER NAME</t>
  </si>
  <si>
    <t xml:space="preserve">USING INDEX FUNCTION DISPLAY THE COST OF HARD DISK </t>
  </si>
  <si>
    <t>USING INDEX FUNCTION DISPLAY THE CUSTOMER NAME WITH ORDER NO 102</t>
  </si>
  <si>
    <t xml:space="preserve">USING INDEX FUNCTION CALCULATE THE TOTAL OF UNIT </t>
  </si>
  <si>
    <t>USING OFFSET FUNC DISPLAY THE UNIT OF PRODUCT PENDRIVE</t>
  </si>
  <si>
    <t>USING OFFSET FUNC DISPLAY THE PRO NAME SOLD TO CUSTOMER SACHIN</t>
  </si>
  <si>
    <t xml:space="preserve">USING OFFSET FUNC CALCULATE THE AVG OF COST </t>
  </si>
  <si>
    <t>DEFINE DY RANGE NAME AS CUSTOMER FOR THE DATA BASE</t>
  </si>
  <si>
    <t>USING DY NAME AND D FUNC CALCULATE THE TOTAL OF AMOUNT IF PRO NAME IS MOBILE</t>
  </si>
  <si>
    <t>USING DY NAME AND D FUNC DISPLAY THE HIGHEST UNIT BASED ON THE GIVEN TYPE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</si>
</sst>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_(* #,##0.00_);_(* \(#,##0.00\);_(* &quot;-&quot;??_);_(@_)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  <numFmt numFmtId="182" formatCode="&quot;₹&quot;\ #,##0.00;[Red]&quot;₹&quot;\ \-#,##0.00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sz val="10"/>
      <name val="MS Sans Serif"/>
      <charset val="134"/>
    </font>
    <font>
      <b/>
      <sz val="12"/>
      <color theme="1"/>
      <name val="Calibri"/>
      <charset val="134"/>
      <scheme val="minor"/>
    </font>
    <font>
      <sz val="10"/>
      <name val="Arial"/>
      <charset val="0"/>
    </font>
    <font>
      <b/>
      <sz val="11"/>
      <color theme="0"/>
      <name val="Calibri"/>
      <charset val="134"/>
      <scheme val="minor"/>
    </font>
    <font>
      <b/>
      <sz val="10"/>
      <name val="MS Sans Serif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5" tint="-0.25"/>
      </left>
      <right style="medium">
        <color theme="5" tint="-0.25"/>
      </right>
      <top style="medium">
        <color theme="5" tint="-0.25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/>
    <xf numFmtId="0" fontId="13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22" borderId="17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10" borderId="1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10" borderId="17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0" borderId="0"/>
    <xf numFmtId="0" fontId="12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/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/>
    </xf>
    <xf numFmtId="0" fontId="0" fillId="0" borderId="3" xfId="0" applyFont="1" applyFill="1" applyBorder="1" applyAlignment="1"/>
    <xf numFmtId="0" fontId="0" fillId="4" borderId="0" xfId="0" applyFont="1" applyFill="1" applyBorder="1" applyAlignment="1"/>
    <xf numFmtId="9" fontId="0" fillId="0" borderId="0" xfId="0" applyNumberFormat="1" applyFont="1" applyFill="1" applyBorder="1" applyAlignment="1"/>
    <xf numFmtId="9" fontId="0" fillId="4" borderId="0" xfId="0" applyNumberFormat="1" applyFont="1" applyFill="1" applyBorder="1" applyAlignment="1"/>
    <xf numFmtId="0" fontId="4" fillId="3" borderId="4" xfId="0" applyFont="1" applyFill="1" applyBorder="1" applyAlignment="1">
      <alignment horizontal="left"/>
    </xf>
    <xf numFmtId="182" fontId="0" fillId="0" borderId="4" xfId="0" applyNumberFormat="1" applyFont="1" applyFill="1" applyBorder="1" applyAlignment="1"/>
    <xf numFmtId="0" fontId="1" fillId="0" borderId="0" xfId="0" applyFont="1" applyFill="1" applyAlignment="1"/>
    <xf numFmtId="9" fontId="0" fillId="0" borderId="0" xfId="0" applyNumberFormat="1" applyFont="1" applyFill="1" applyAlignment="1"/>
    <xf numFmtId="182" fontId="0" fillId="0" borderId="0" xfId="0" applyNumberFormat="1" applyFont="1" applyFill="1" applyAlignment="1"/>
    <xf numFmtId="0" fontId="1" fillId="0" borderId="0" xfId="0" applyFont="1">
      <alignment vertical="center"/>
    </xf>
    <xf numFmtId="0" fontId="7" fillId="0" borderId="0" xfId="33" applyNumberFormat="1" applyFill="1"/>
    <xf numFmtId="9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 applyProtection="1">
      <alignment vertical="center"/>
    </xf>
    <xf numFmtId="178" fontId="0" fillId="0" borderId="0" xfId="0" applyNumberFormat="1">
      <alignment vertical="center"/>
    </xf>
    <xf numFmtId="0" fontId="9" fillId="0" borderId="0" xfId="11" applyFont="1" applyBorder="1" applyAlignment="1" applyProtection="1">
      <alignment vertical="center"/>
    </xf>
    <xf numFmtId="0" fontId="10" fillId="5" borderId="5" xfId="0" applyFont="1" applyFill="1" applyBorder="1">
      <alignment vertical="center"/>
    </xf>
    <xf numFmtId="0" fontId="10" fillId="5" borderId="6" xfId="0" applyFont="1" applyFill="1" applyBorder="1">
      <alignment vertical="center"/>
    </xf>
    <xf numFmtId="0" fontId="10" fillId="5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178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7" fillId="0" borderId="0" xfId="52" applyNumberFormat="1" applyFont="1" applyFill="1"/>
    <xf numFmtId="0" fontId="9" fillId="0" borderId="0" xfId="37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vertical="center"/>
      <protection locked="0"/>
    </xf>
    <xf numFmtId="179" fontId="9" fillId="0" borderId="0" xfId="2" applyNumberFormat="1" applyFont="1" applyFill="1" applyBorder="1" applyAlignment="1" applyProtection="1">
      <alignment horizontal="left" vertical="center"/>
    </xf>
    <xf numFmtId="0" fontId="9" fillId="0" borderId="0" xfId="37" applyFont="1" applyAlignment="1" applyProtection="1">
      <alignment horizontal="left" vertical="center"/>
    </xf>
    <xf numFmtId="0" fontId="9" fillId="0" borderId="0" xfId="0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  <protection locked="0"/>
    </xf>
    <xf numFmtId="179" fontId="9" fillId="0" borderId="0" xfId="2" applyNumberFormat="1" applyFont="1" applyFill="1" applyAlignment="1" applyProtection="1">
      <alignment horizontal="left" vertical="center"/>
    </xf>
    <xf numFmtId="0" fontId="7" fillId="0" borderId="0" xfId="52" applyNumberFormat="1" applyFont="1" applyFill="1" applyAlignment="1">
      <alignment vertical="center"/>
    </xf>
    <xf numFmtId="0" fontId="7" fillId="0" borderId="0" xfId="33" applyNumberFormat="1" applyFill="1" applyBorder="1"/>
    <xf numFmtId="0" fontId="0" fillId="0" borderId="0" xfId="0" applyBorder="1">
      <alignment vertical="center"/>
    </xf>
    <xf numFmtId="0" fontId="11" fillId="0" borderId="0" xfId="33" applyNumberFormat="1" applyFont="1" applyFill="1" applyBorder="1"/>
    <xf numFmtId="0" fontId="11" fillId="0" borderId="0" xfId="33" applyNumberFormat="1" applyFont="1" applyFill="1"/>
    <xf numFmtId="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2" fontId="9" fillId="0" borderId="0" xfId="2" applyNumberFormat="1" applyFont="1" applyFill="1" applyBorder="1" applyAlignment="1" applyProtection="1">
      <alignment vertical="center"/>
    </xf>
    <xf numFmtId="2" fontId="7" fillId="0" borderId="0" xfId="52" applyNumberFormat="1" applyFont="1" applyFill="1" applyAlignment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Normal_TapePivot" xfId="37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Marks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Subject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Charts!$B$3:$B$22</c:f>
              <c:strCache>
                <c:ptCount val="20"/>
                <c:pt idx="0">
                  <c:v>Smith</c:v>
                </c:pt>
                <c:pt idx="1">
                  <c:v>Kivell</c:v>
                </c:pt>
                <c:pt idx="2">
                  <c:v>Kevin</c:v>
                </c:pt>
                <c:pt idx="3">
                  <c:v>James</c:v>
                </c:pt>
                <c:pt idx="4">
                  <c:v>Andrews</c:v>
                </c:pt>
                <c:pt idx="5">
                  <c:v>Gill</c:v>
                </c:pt>
                <c:pt idx="6">
                  <c:v>Morgan</c:v>
                </c:pt>
                <c:pt idx="7">
                  <c:v>Barney</c:v>
                </c:pt>
                <c:pt idx="8">
                  <c:v>Fin</c:v>
                </c:pt>
                <c:pt idx="9">
                  <c:v>Kivell</c:v>
                </c:pt>
                <c:pt idx="10">
                  <c:v>Leon</c:v>
                </c:pt>
                <c:pt idx="11">
                  <c:v>Kivell</c:v>
                </c:pt>
                <c:pt idx="12">
                  <c:v>Jardine</c:v>
                </c:pt>
                <c:pt idx="13">
                  <c:v>Karen</c:v>
                </c:pt>
                <c:pt idx="14">
                  <c:v>Morgan</c:v>
                </c:pt>
                <c:pt idx="15">
                  <c:v>Adam</c:v>
                </c:pt>
                <c:pt idx="16">
                  <c:v>Ruth</c:v>
                </c:pt>
                <c:pt idx="17">
                  <c:v>Andrews</c:v>
                </c:pt>
                <c:pt idx="18">
                  <c:v>Tom</c:v>
                </c:pt>
                <c:pt idx="19">
                  <c:v>Harry</c:v>
                </c:pt>
              </c:strCache>
            </c:strRef>
          </c:cat>
          <c:val>
            <c:numRef>
              <c:f>Charts!$C$3:$C$22</c:f>
              <c:numCache>
                <c:formatCode>General</c:formatCode>
                <c:ptCount val="20"/>
                <c:pt idx="0">
                  <c:v>95</c:v>
                </c:pt>
                <c:pt idx="1">
                  <c:v>67</c:v>
                </c:pt>
                <c:pt idx="2">
                  <c:v>86</c:v>
                </c:pt>
                <c:pt idx="3">
                  <c:v>45</c:v>
                </c:pt>
                <c:pt idx="4">
                  <c:v>45</c:v>
                </c:pt>
                <c:pt idx="5">
                  <c:v>78</c:v>
                </c:pt>
                <c:pt idx="6">
                  <c:v>67</c:v>
                </c:pt>
                <c:pt idx="7">
                  <c:v>97</c:v>
                </c:pt>
                <c:pt idx="8">
                  <c:v>88</c:v>
                </c:pt>
                <c:pt idx="9">
                  <c:v>87</c:v>
                </c:pt>
                <c:pt idx="10">
                  <c:v>67</c:v>
                </c:pt>
                <c:pt idx="11">
                  <c:v>87</c:v>
                </c:pt>
                <c:pt idx="12">
                  <c:v>95</c:v>
                </c:pt>
                <c:pt idx="13">
                  <c:v>97</c:v>
                </c:pt>
                <c:pt idx="14">
                  <c:v>67</c:v>
                </c:pt>
                <c:pt idx="15">
                  <c:v>89</c:v>
                </c:pt>
                <c:pt idx="16">
                  <c:v>67</c:v>
                </c:pt>
                <c:pt idx="17">
                  <c:v>54</c:v>
                </c:pt>
                <c:pt idx="18">
                  <c:v>67</c:v>
                </c:pt>
                <c:pt idx="19">
                  <c:v>87</c:v>
                </c:pt>
              </c:numCache>
            </c:numRef>
          </c:val>
        </c:ser>
        <c:ser>
          <c:idx val="1"/>
          <c:order val="1"/>
          <c:tx>
            <c:strRef>
              <c:f>Charts!$D$2</c:f>
              <c:strCache>
                <c:ptCount val="1"/>
                <c:pt idx="0">
                  <c:v>Subject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Charts!$B$3:$B$22</c:f>
              <c:strCache>
                <c:ptCount val="20"/>
                <c:pt idx="0">
                  <c:v>Smith</c:v>
                </c:pt>
                <c:pt idx="1">
                  <c:v>Kivell</c:v>
                </c:pt>
                <c:pt idx="2">
                  <c:v>Kevin</c:v>
                </c:pt>
                <c:pt idx="3">
                  <c:v>James</c:v>
                </c:pt>
                <c:pt idx="4">
                  <c:v>Andrews</c:v>
                </c:pt>
                <c:pt idx="5">
                  <c:v>Gill</c:v>
                </c:pt>
                <c:pt idx="6">
                  <c:v>Morgan</c:v>
                </c:pt>
                <c:pt idx="7">
                  <c:v>Barney</c:v>
                </c:pt>
                <c:pt idx="8">
                  <c:v>Fin</c:v>
                </c:pt>
                <c:pt idx="9">
                  <c:v>Kivell</c:v>
                </c:pt>
                <c:pt idx="10">
                  <c:v>Leon</c:v>
                </c:pt>
                <c:pt idx="11">
                  <c:v>Kivell</c:v>
                </c:pt>
                <c:pt idx="12">
                  <c:v>Jardine</c:v>
                </c:pt>
                <c:pt idx="13">
                  <c:v>Karen</c:v>
                </c:pt>
                <c:pt idx="14">
                  <c:v>Morgan</c:v>
                </c:pt>
                <c:pt idx="15">
                  <c:v>Adam</c:v>
                </c:pt>
                <c:pt idx="16">
                  <c:v>Ruth</c:v>
                </c:pt>
                <c:pt idx="17">
                  <c:v>Andrews</c:v>
                </c:pt>
                <c:pt idx="18">
                  <c:v>Tom</c:v>
                </c:pt>
                <c:pt idx="19">
                  <c:v>Harry</c:v>
                </c:pt>
              </c:strCache>
            </c:strRef>
          </c:cat>
          <c:val>
            <c:numRef>
              <c:f>Charts!$D$3:$D$22</c:f>
              <c:numCache>
                <c:formatCode>General</c:formatCode>
                <c:ptCount val="20"/>
                <c:pt idx="0">
                  <c:v>89</c:v>
                </c:pt>
                <c:pt idx="1">
                  <c:v>64</c:v>
                </c:pt>
                <c:pt idx="2">
                  <c:v>80</c:v>
                </c:pt>
                <c:pt idx="3">
                  <c:v>35</c:v>
                </c:pt>
                <c:pt idx="4">
                  <c:v>65</c:v>
                </c:pt>
                <c:pt idx="5">
                  <c:v>78</c:v>
                </c:pt>
                <c:pt idx="6">
                  <c:v>23</c:v>
                </c:pt>
                <c:pt idx="7">
                  <c:v>54</c:v>
                </c:pt>
                <c:pt idx="8">
                  <c:v>89</c:v>
                </c:pt>
                <c:pt idx="9">
                  <c:v>79</c:v>
                </c:pt>
                <c:pt idx="10">
                  <c:v>5</c:v>
                </c:pt>
                <c:pt idx="11">
                  <c:v>67</c:v>
                </c:pt>
                <c:pt idx="12">
                  <c:v>43</c:v>
                </c:pt>
                <c:pt idx="13">
                  <c:v>56</c:v>
                </c:pt>
                <c:pt idx="14">
                  <c:v>24</c:v>
                </c:pt>
                <c:pt idx="15">
                  <c:v>63</c:v>
                </c:pt>
                <c:pt idx="16">
                  <c:v>73</c:v>
                </c:pt>
                <c:pt idx="17">
                  <c:v>83</c:v>
                </c:pt>
                <c:pt idx="18">
                  <c:v>78</c:v>
                </c:pt>
                <c:pt idx="19">
                  <c:v>97</c:v>
                </c:pt>
              </c:numCache>
            </c:numRef>
          </c:val>
        </c:ser>
        <c:ser>
          <c:idx val="2"/>
          <c:order val="2"/>
          <c:tx>
            <c:strRef>
              <c:f>Charts!$E$2</c:f>
              <c:strCache>
                <c:ptCount val="1"/>
                <c:pt idx="0">
                  <c:v>Subject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Charts!$B$3:$B$22</c:f>
              <c:strCache>
                <c:ptCount val="20"/>
                <c:pt idx="0">
                  <c:v>Smith</c:v>
                </c:pt>
                <c:pt idx="1">
                  <c:v>Kivell</c:v>
                </c:pt>
                <c:pt idx="2">
                  <c:v>Kevin</c:v>
                </c:pt>
                <c:pt idx="3">
                  <c:v>James</c:v>
                </c:pt>
                <c:pt idx="4">
                  <c:v>Andrews</c:v>
                </c:pt>
                <c:pt idx="5">
                  <c:v>Gill</c:v>
                </c:pt>
                <c:pt idx="6">
                  <c:v>Morgan</c:v>
                </c:pt>
                <c:pt idx="7">
                  <c:v>Barney</c:v>
                </c:pt>
                <c:pt idx="8">
                  <c:v>Fin</c:v>
                </c:pt>
                <c:pt idx="9">
                  <c:v>Kivell</c:v>
                </c:pt>
                <c:pt idx="10">
                  <c:v>Leon</c:v>
                </c:pt>
                <c:pt idx="11">
                  <c:v>Kivell</c:v>
                </c:pt>
                <c:pt idx="12">
                  <c:v>Jardine</c:v>
                </c:pt>
                <c:pt idx="13">
                  <c:v>Karen</c:v>
                </c:pt>
                <c:pt idx="14">
                  <c:v>Morgan</c:v>
                </c:pt>
                <c:pt idx="15">
                  <c:v>Adam</c:v>
                </c:pt>
                <c:pt idx="16">
                  <c:v>Ruth</c:v>
                </c:pt>
                <c:pt idx="17">
                  <c:v>Andrews</c:v>
                </c:pt>
                <c:pt idx="18">
                  <c:v>Tom</c:v>
                </c:pt>
                <c:pt idx="19">
                  <c:v>Harry</c:v>
                </c:pt>
              </c:strCache>
            </c:strRef>
          </c:cat>
          <c:val>
            <c:numRef>
              <c:f>Charts!$E$3:$E$22</c:f>
              <c:numCache>
                <c:formatCode>General</c:formatCode>
                <c:ptCount val="20"/>
                <c:pt idx="0">
                  <c:v>90</c:v>
                </c:pt>
                <c:pt idx="1">
                  <c:v>61</c:v>
                </c:pt>
                <c:pt idx="2">
                  <c:v>76</c:v>
                </c:pt>
                <c:pt idx="3">
                  <c:v>50</c:v>
                </c:pt>
                <c:pt idx="4">
                  <c:v>82</c:v>
                </c:pt>
                <c:pt idx="5">
                  <c:v>72</c:v>
                </c:pt>
                <c:pt idx="6">
                  <c:v>95</c:v>
                </c:pt>
                <c:pt idx="7">
                  <c:v>60</c:v>
                </c:pt>
                <c:pt idx="8">
                  <c:v>27</c:v>
                </c:pt>
                <c:pt idx="9">
                  <c:v>85</c:v>
                </c:pt>
                <c:pt idx="10">
                  <c:v>65</c:v>
                </c:pt>
                <c:pt idx="11">
                  <c:v>83</c:v>
                </c:pt>
                <c:pt idx="12">
                  <c:v>94</c:v>
                </c:pt>
                <c:pt idx="13">
                  <c:v>75</c:v>
                </c:pt>
                <c:pt idx="14">
                  <c:v>90</c:v>
                </c:pt>
                <c:pt idx="15">
                  <c:v>75</c:v>
                </c:pt>
                <c:pt idx="16">
                  <c:v>95</c:v>
                </c:pt>
                <c:pt idx="17">
                  <c:v>78</c:v>
                </c:pt>
                <c:pt idx="18">
                  <c:v>76</c:v>
                </c:pt>
                <c:pt idx="19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9069"/>
        <c:axId val="944277493"/>
      </c:barChart>
      <c:lineChart>
        <c:grouping val="standard"/>
        <c:varyColors val="0"/>
        <c:ser>
          <c:idx val="3"/>
          <c:order val="3"/>
          <c:tx>
            <c:strRef>
              <c:f>Charts!$F$2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Charts!$B$3:$B$22</c:f>
              <c:strCache>
                <c:ptCount val="20"/>
                <c:pt idx="0">
                  <c:v>Smith</c:v>
                </c:pt>
                <c:pt idx="1">
                  <c:v>Kivell</c:v>
                </c:pt>
                <c:pt idx="2">
                  <c:v>Kevin</c:v>
                </c:pt>
                <c:pt idx="3">
                  <c:v>James</c:v>
                </c:pt>
                <c:pt idx="4">
                  <c:v>Andrews</c:v>
                </c:pt>
                <c:pt idx="5">
                  <c:v>Gill</c:v>
                </c:pt>
                <c:pt idx="6">
                  <c:v>Morgan</c:v>
                </c:pt>
                <c:pt idx="7">
                  <c:v>Barney</c:v>
                </c:pt>
                <c:pt idx="8">
                  <c:v>Fin</c:v>
                </c:pt>
                <c:pt idx="9">
                  <c:v>Kivell</c:v>
                </c:pt>
                <c:pt idx="10">
                  <c:v>Leon</c:v>
                </c:pt>
                <c:pt idx="11">
                  <c:v>Kivell</c:v>
                </c:pt>
                <c:pt idx="12">
                  <c:v>Jardine</c:v>
                </c:pt>
                <c:pt idx="13">
                  <c:v>Karen</c:v>
                </c:pt>
                <c:pt idx="14">
                  <c:v>Morgan</c:v>
                </c:pt>
                <c:pt idx="15">
                  <c:v>Adam</c:v>
                </c:pt>
                <c:pt idx="16">
                  <c:v>Ruth</c:v>
                </c:pt>
                <c:pt idx="17">
                  <c:v>Andrews</c:v>
                </c:pt>
                <c:pt idx="18">
                  <c:v>Tom</c:v>
                </c:pt>
                <c:pt idx="19">
                  <c:v>Harry</c:v>
                </c:pt>
              </c:strCache>
            </c:strRef>
          </c:cat>
          <c:val>
            <c:numRef>
              <c:f>Charts!$F$3:$F$22</c:f>
              <c:numCache>
                <c:formatCode>General</c:formatCode>
                <c:ptCount val="20"/>
                <c:pt idx="0">
                  <c:v>274</c:v>
                </c:pt>
                <c:pt idx="1">
                  <c:v>192</c:v>
                </c:pt>
                <c:pt idx="2">
                  <c:v>242</c:v>
                </c:pt>
                <c:pt idx="3">
                  <c:v>130</c:v>
                </c:pt>
                <c:pt idx="4">
                  <c:v>192</c:v>
                </c:pt>
                <c:pt idx="5">
                  <c:v>228</c:v>
                </c:pt>
                <c:pt idx="6">
                  <c:v>185</c:v>
                </c:pt>
                <c:pt idx="7">
                  <c:v>211</c:v>
                </c:pt>
                <c:pt idx="8">
                  <c:v>204</c:v>
                </c:pt>
                <c:pt idx="9">
                  <c:v>251</c:v>
                </c:pt>
                <c:pt idx="10">
                  <c:v>137</c:v>
                </c:pt>
                <c:pt idx="11">
                  <c:v>237</c:v>
                </c:pt>
                <c:pt idx="12">
                  <c:v>232</c:v>
                </c:pt>
                <c:pt idx="13">
                  <c:v>228</c:v>
                </c:pt>
                <c:pt idx="14">
                  <c:v>181</c:v>
                </c:pt>
                <c:pt idx="15">
                  <c:v>227</c:v>
                </c:pt>
                <c:pt idx="16">
                  <c:v>235</c:v>
                </c:pt>
                <c:pt idx="17">
                  <c:v>215</c:v>
                </c:pt>
                <c:pt idx="18">
                  <c:v>221</c:v>
                </c:pt>
                <c:pt idx="19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319069"/>
        <c:axId val="944277493"/>
      </c:lineChart>
      <c:catAx>
        <c:axId val="343190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Name</a:t>
                </a:r>
                <a:endParaRPr lang="en-IN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277493"/>
        <c:crosses val="autoZero"/>
        <c:auto val="1"/>
        <c:lblAlgn val="ctr"/>
        <c:lblOffset val="100"/>
        <c:noMultiLvlLbl val="0"/>
      </c:catAx>
      <c:valAx>
        <c:axId val="9442774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Subject Marks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19069"/>
        <c:crosses val="autoZero"/>
        <c:crossBetween val="between"/>
      </c:valAx>
      <c:spPr>
        <a:noFill/>
        <a:ln w="12700" cmpd="sng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4.xml><?xml version="1.0" encoding="utf-8"?>
<formControlPr xmlns="http://schemas.microsoft.com/office/spreadsheetml/2009/9/main" objectType="List" dropLines="45816" dx="16" fmlaLink="$A$41" fmlaRange="$A$31:$A$37" noThreeD="1" page="11" sel="4" val="0"/>
</file>

<file path=xl/ctrlProps/ctrlProp5.xml><?xml version="1.0" encoding="utf-8"?>
<formControlPr xmlns="http://schemas.microsoft.com/office/spreadsheetml/2009/9/main" objectType="List" dropLines="45816" dx="16" fmlaLink="$J$22" fmlaRange="$K$3:$K$6" noThreeD="1" page="9" sel="1" val="0"/>
</file>

<file path=xl/ctrlProps/ctrlProp6.xml><?xml version="1.0" encoding="utf-8"?>
<formControlPr xmlns="http://schemas.microsoft.com/office/spreadsheetml/2009/9/main" objectType="Radio" firstButton="1" fmlaLink="$M$22" val="0"/>
</file>

<file path=xl/ctrlProps/ctrlProp7.xml><?xml version="1.0" encoding="utf-8"?>
<formControlPr xmlns="http://schemas.microsoft.com/office/spreadsheetml/2009/9/main" objectType="Radio" checked="Checked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482600</xdr:colOff>
      <xdr:row>23</xdr:row>
      <xdr:rowOff>88900</xdr:rowOff>
    </xdr:from>
    <xdr:to>
      <xdr:col>9</xdr:col>
      <xdr:colOff>635000</xdr:colOff>
      <xdr:row>44</xdr:row>
      <xdr:rowOff>146050</xdr:rowOff>
    </xdr:to>
    <xdr:graphicFrame>
      <xdr:nvGraphicFramePr>
        <xdr:cNvPr id="3" name="Chart 2"/>
        <xdr:cNvGraphicFramePr/>
      </xdr:nvGraphicFramePr>
      <xdr:xfrm>
        <a:off x="482600" y="4251325"/>
        <a:ext cx="6252210" cy="3857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3029585</xdr:colOff>
          <xdr:row>29</xdr:row>
          <xdr:rowOff>157480</xdr:rowOff>
        </xdr:from>
        <xdr:to>
          <xdr:col>0</xdr:col>
          <xdr:colOff>4658360</xdr:colOff>
          <xdr:row>36</xdr:row>
          <xdr:rowOff>175895</xdr:rowOff>
        </xdr:to>
        <xdr:sp>
          <xdr:nvSpPr>
            <xdr:cNvPr id="5122" name="List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3029585" y="5424805"/>
              <a:ext cx="1628775" cy="12852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300355</xdr:colOff>
          <xdr:row>14</xdr:row>
          <xdr:rowOff>90805</xdr:rowOff>
        </xdr:from>
        <xdr:to>
          <xdr:col>11</xdr:col>
          <xdr:colOff>471805</xdr:colOff>
          <xdr:row>20</xdr:row>
          <xdr:rowOff>56515</xdr:rowOff>
        </xdr:to>
        <xdr:sp>
          <xdr:nvSpPr>
            <xdr:cNvPr id="5132" name="List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11513820" y="2643505"/>
              <a:ext cx="1466850" cy="10515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638810</xdr:colOff>
          <xdr:row>15</xdr:row>
          <xdr:rowOff>167005</xdr:rowOff>
        </xdr:from>
        <xdr:to>
          <xdr:col>13</xdr:col>
          <xdr:colOff>76835</xdr:colOff>
          <xdr:row>16</xdr:row>
          <xdr:rowOff>171450</xdr:rowOff>
        </xdr:to>
        <xdr:sp>
          <xdr:nvSpPr>
            <xdr:cNvPr id="5133" name="Option Button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13147675" y="2900680"/>
              <a:ext cx="860425" cy="18542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Special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10160</xdr:colOff>
          <xdr:row>17</xdr:row>
          <xdr:rowOff>53340</xdr:rowOff>
        </xdr:from>
        <xdr:to>
          <xdr:col>13</xdr:col>
          <xdr:colOff>143510</xdr:colOff>
          <xdr:row>18</xdr:row>
          <xdr:rowOff>67310</xdr:rowOff>
        </xdr:to>
        <xdr:sp>
          <xdr:nvSpPr>
            <xdr:cNvPr id="5134" name="Option Button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13166725" y="3148965"/>
              <a:ext cx="908050" cy="1949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General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General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Owner\Downloads\EXCERSISE SHEET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51.7493865741" refreshedBy="Owner" recordCount="14">
  <cacheSource type="worksheet">
    <worksheetSource ref="A2:G16" sheet="Database Functions"/>
  </cacheSource>
  <cacheFields count="7">
    <cacheField name="Item" numFmtId="0">
      <sharedItems count="14">
        <s v="Notebooks"/>
        <s v="Files"/>
        <s v="Chair"/>
        <s v="Pen stand"/>
        <s v="Cable wire"/>
        <s v="Charger"/>
        <s v="Stapler"/>
        <s v="pen-drive"/>
        <s v="Battery"/>
        <s v="Mouse"/>
        <s v="White Board"/>
        <s v="Clock"/>
        <s v="CD"/>
        <s v="Tubelight"/>
      </sharedItems>
    </cacheField>
    <cacheField name="Category" numFmtId="0">
      <sharedItems count="3">
        <s v="Office Supplies"/>
        <s v="Furniture"/>
        <s v="Technology"/>
      </sharedItems>
    </cacheField>
    <cacheField name="Customer" numFmtId="0">
      <sharedItems count="13">
        <s v="Muhammed MacIntyre"/>
        <s v="Ruben Dartt"/>
        <s v="Valerie Takahito"/>
        <s v="Tamara Dahlen"/>
        <s v="Helen Wasserman"/>
        <s v="Roy Collins"/>
        <s v="Julie Creighton"/>
        <s v="Anne Pryor"/>
        <s v="Sample Company A"/>
        <s v="Liz Pelletier"/>
        <s v="Michael Dominguez"/>
        <s v="Emily Phan"/>
        <s v="Bart Folk"/>
      </sharedItems>
    </cacheField>
    <cacheField name="City" numFmtId="0">
      <sharedItems count="5">
        <s v="Portland"/>
        <s v="Boston"/>
        <s v="Las Vegas"/>
        <s v="Seattle"/>
        <s v="Pasadena"/>
      </sharedItems>
    </cacheField>
    <cacheField name="Quantity" numFmtId="0">
      <sharedItems containsSemiMixedTypes="0" containsString="0" containsNumber="1" containsInteger="1" minValue="0" maxValue="100" count="14">
        <n v="29"/>
        <n v="23"/>
        <n v="27"/>
        <n v="30"/>
        <n v="11"/>
        <n v="25"/>
        <n v="10"/>
        <n v="14"/>
        <n v="49"/>
        <n v="50"/>
        <n v="65"/>
        <n v="70"/>
        <n v="85"/>
        <n v="100"/>
      </sharedItems>
    </cacheField>
    <cacheField name="Rate" numFmtId="0">
      <sharedItems containsSemiMixedTypes="0" containsString="0" containsNumber="1" minValue="0" maxValue="1215.79" count="13">
        <n v="55.99"/>
        <n v="65.99"/>
        <n v="1215.79"/>
        <n v="107.53"/>
        <n v="70.89"/>
        <n v="79"/>
        <n v="18.97"/>
        <n v="150.98"/>
        <n v="59.2"/>
        <n v="150"/>
        <n v="330.98"/>
        <n v="95.99"/>
        <n v="14.89"/>
      </sharedItems>
    </cacheField>
    <cacheField name="Sales" numFmtId="0">
      <sharedItems containsSemiMixedTypes="0" containsString="0" containsNumber="1" minValue="0" maxValue="32826.33" count="14">
        <n v="1623.71"/>
        <n v="1517.77"/>
        <n v="32826.33"/>
        <n v="3225.9"/>
        <n v="779.79"/>
        <n v="1975"/>
        <n v="1509.8"/>
        <n v="265.58"/>
        <n v="2900.8"/>
        <n v="7500"/>
        <n v="21513.7"/>
        <n v="6719.3"/>
        <n v="1265.65"/>
        <n v="659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51.765162037" refreshedBy="Owner" recordCount="19">
  <cacheSource type="worksheet">
    <worksheetSource ref="A30:F49" sheet="Database Functions"/>
  </cacheSource>
  <cacheFields count="6">
    <cacheField name="Item" numFmtId="0">
      <sharedItems count="5">
        <s v="Desk"/>
        <s v="Pencil"/>
        <s v="Binder"/>
        <s v="Pen"/>
        <s v="Pen Set"/>
      </sharedItems>
    </cacheField>
    <cacheField name="Salesman" numFmtId="0">
      <sharedItems count="6">
        <s v="Smith"/>
        <s v="Kivell"/>
        <s v="Gill"/>
        <s v="Jardine"/>
        <s v="Andrews"/>
        <s v="Morgan"/>
      </sharedItems>
    </cacheField>
    <cacheField name="Branch" numFmtId="0">
      <sharedItems count="5">
        <s v="Portland"/>
        <s v="Boston"/>
        <s v="Las Vegas"/>
        <s v="Seattle"/>
        <s v="Pasadena"/>
      </sharedItems>
    </cacheField>
    <cacheField name="Quantity" numFmtId="0">
      <sharedItems containsSemiMixedTypes="0" containsString="0" containsNumber="1" containsInteger="1" minValue="0" maxValue="80" count="17">
        <n v="2"/>
        <n v="5"/>
        <n v="7"/>
        <n v="11"/>
        <n v="14"/>
        <n v="27"/>
        <n v="28"/>
        <n v="36"/>
        <n v="42"/>
        <n v="46"/>
        <n v="50"/>
        <n v="53"/>
        <n v="55"/>
        <n v="66"/>
        <n v="67"/>
        <n v="75"/>
        <n v="80"/>
      </sharedItems>
    </cacheField>
    <cacheField name="Price" numFmtId="179">
      <sharedItems containsSemiMixedTypes="0" containsString="0" containsNumber="1" minValue="0" maxValue="125" count="8">
        <n v="125"/>
        <n v="1.29"/>
        <n v="4.99"/>
        <n v="19.99"/>
        <n v="8.99"/>
        <n v="23.95"/>
        <n v="12.49"/>
        <n v="1.99"/>
      </sharedItems>
    </cacheField>
    <cacheField name="Sales" numFmtId="0">
      <sharedItems containsSemiMixedTypes="0" containsString="0" containsNumber="1" minValue="0" maxValue="1005.9" count="19">
        <n v="250"/>
        <n v="625"/>
        <n v="9.03"/>
        <n v="54.89"/>
        <n v="18.06"/>
        <n v="539.73"/>
        <n v="251.72"/>
        <n v="139.72"/>
        <n v="179.64"/>
        <n v="1005.9"/>
        <n v="413.54"/>
        <n v="999.5"/>
        <n v="249.5"/>
        <n v="68.37"/>
        <n v="686.95"/>
        <n v="131.34"/>
        <n v="86.43"/>
        <n v="149.25"/>
        <n v="719.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2902.5089884259" refreshedBy="mice" recordCount="4">
  <cacheSource type="worksheet">
    <worksheetSource ref="A1:G5" sheet="Sheet1" r:id="rId2"/>
  </cacheSource>
  <cacheFields count="7">
    <cacheField name="ORDER NO" numFmtId="0"/>
    <cacheField name="ORDER DATE" numFmtId="178"/>
    <cacheField name="CUSTOMER NAME" numFmtId="0">
      <sharedItems count="4">
        <s v="SACHIN"/>
        <s v="ROOPA"/>
        <s v="DINESH"/>
        <s v="AKBAR"/>
      </sharedItems>
    </cacheField>
    <cacheField name="TYPE" numFmtId="0">
      <sharedItems count="2">
        <s v="RETAIL"/>
        <s v="ONLINE"/>
      </sharedItems>
    </cacheField>
    <cacheField name="PRODUCT NAME" numFmtId="0">
      <sharedItems count="3">
        <s v="MOBILE"/>
        <s v="HARD DISK"/>
        <s v="PENDRIVE"/>
      </sharedItems>
    </cacheField>
    <cacheField name="UNIT" numFmtId="0"/>
    <cacheField name="COS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2"/>
    <x v="2"/>
    <x v="2"/>
    <x v="2"/>
  </r>
  <r>
    <x v="3"/>
    <x v="1"/>
    <x v="3"/>
    <x v="1"/>
    <x v="3"/>
    <x v="3"/>
    <x v="3"/>
  </r>
  <r>
    <x v="4"/>
    <x v="2"/>
    <x v="4"/>
    <x v="1"/>
    <x v="4"/>
    <x v="4"/>
    <x v="4"/>
  </r>
  <r>
    <x v="5"/>
    <x v="2"/>
    <x v="5"/>
    <x v="1"/>
    <x v="5"/>
    <x v="5"/>
    <x v="5"/>
  </r>
  <r>
    <x v="6"/>
    <x v="0"/>
    <x v="6"/>
    <x v="3"/>
    <x v="6"/>
    <x v="6"/>
    <x v="6"/>
  </r>
  <r>
    <x v="7"/>
    <x v="2"/>
    <x v="7"/>
    <x v="2"/>
    <x v="7"/>
    <x v="7"/>
    <x v="7"/>
  </r>
  <r>
    <x v="8"/>
    <x v="2"/>
    <x v="8"/>
    <x v="4"/>
    <x v="8"/>
    <x v="8"/>
    <x v="8"/>
  </r>
  <r>
    <x v="9"/>
    <x v="2"/>
    <x v="3"/>
    <x v="0"/>
    <x v="9"/>
    <x v="9"/>
    <x v="9"/>
  </r>
  <r>
    <x v="10"/>
    <x v="1"/>
    <x v="9"/>
    <x v="3"/>
    <x v="10"/>
    <x v="10"/>
    <x v="10"/>
  </r>
  <r>
    <x v="11"/>
    <x v="1"/>
    <x v="10"/>
    <x v="4"/>
    <x v="11"/>
    <x v="11"/>
    <x v="11"/>
  </r>
  <r>
    <x v="12"/>
    <x v="2"/>
    <x v="11"/>
    <x v="3"/>
    <x v="12"/>
    <x v="12"/>
    <x v="12"/>
  </r>
  <r>
    <x v="13"/>
    <x v="2"/>
    <x v="12"/>
    <x v="4"/>
    <x v="13"/>
    <x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</r>
  <r>
    <x v="0"/>
    <x v="1"/>
    <x v="1"/>
    <x v="1"/>
    <x v="0"/>
    <x v="1"/>
  </r>
  <r>
    <x v="1"/>
    <x v="2"/>
    <x v="2"/>
    <x v="2"/>
    <x v="1"/>
    <x v="2"/>
  </r>
  <r>
    <x v="2"/>
    <x v="3"/>
    <x v="1"/>
    <x v="3"/>
    <x v="2"/>
    <x v="3"/>
  </r>
  <r>
    <x v="1"/>
    <x v="4"/>
    <x v="1"/>
    <x v="4"/>
    <x v="1"/>
    <x v="4"/>
  </r>
  <r>
    <x v="3"/>
    <x v="2"/>
    <x v="1"/>
    <x v="5"/>
    <x v="3"/>
    <x v="5"/>
  </r>
  <r>
    <x v="2"/>
    <x v="5"/>
    <x v="3"/>
    <x v="6"/>
    <x v="4"/>
    <x v="6"/>
  </r>
  <r>
    <x v="2"/>
    <x v="4"/>
    <x v="2"/>
    <x v="6"/>
    <x v="2"/>
    <x v="7"/>
  </r>
  <r>
    <x v="1"/>
    <x v="3"/>
    <x v="4"/>
    <x v="7"/>
    <x v="2"/>
    <x v="8"/>
  </r>
  <r>
    <x v="4"/>
    <x v="1"/>
    <x v="0"/>
    <x v="8"/>
    <x v="5"/>
    <x v="9"/>
  </r>
  <r>
    <x v="2"/>
    <x v="2"/>
    <x v="3"/>
    <x v="9"/>
    <x v="4"/>
    <x v="10"/>
  </r>
  <r>
    <x v="2"/>
    <x v="1"/>
    <x v="4"/>
    <x v="10"/>
    <x v="3"/>
    <x v="11"/>
  </r>
  <r>
    <x v="4"/>
    <x v="3"/>
    <x v="3"/>
    <x v="10"/>
    <x v="2"/>
    <x v="12"/>
  </r>
  <r>
    <x v="1"/>
    <x v="2"/>
    <x v="4"/>
    <x v="11"/>
    <x v="1"/>
    <x v="13"/>
  </r>
  <r>
    <x v="4"/>
    <x v="5"/>
    <x v="0"/>
    <x v="12"/>
    <x v="6"/>
    <x v="14"/>
  </r>
  <r>
    <x v="1"/>
    <x v="4"/>
    <x v="2"/>
    <x v="13"/>
    <x v="7"/>
    <x v="15"/>
  </r>
  <r>
    <x v="1"/>
    <x v="0"/>
    <x v="4"/>
    <x v="14"/>
    <x v="1"/>
    <x v="16"/>
  </r>
  <r>
    <x v="1"/>
    <x v="4"/>
    <x v="0"/>
    <x v="15"/>
    <x v="7"/>
    <x v="17"/>
  </r>
  <r>
    <x v="2"/>
    <x v="2"/>
    <x v="2"/>
    <x v="16"/>
    <x v="4"/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n v="101"/>
    <d v="2017-05-01T00:00:00"/>
    <x v="0"/>
    <x v="0"/>
    <x v="0"/>
    <n v="2"/>
    <n v="10000"/>
  </r>
  <r>
    <n v="102"/>
    <d v="2017-05-02T00:00:00"/>
    <x v="1"/>
    <x v="1"/>
    <x v="1"/>
    <n v="3"/>
    <n v="8300"/>
  </r>
  <r>
    <n v="103"/>
    <d v="2017-05-02T00:00:00"/>
    <x v="2"/>
    <x v="0"/>
    <x v="2"/>
    <n v="5"/>
    <n v="430"/>
  </r>
  <r>
    <n v="104"/>
    <d v="2017-05-03T00:00:00"/>
    <x v="3"/>
    <x v="1"/>
    <x v="0"/>
    <n v="2"/>
    <n v="7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1:G26" firstHeaderRow="1" firstDataRow="2" firstDataCol="1" rowPageCount="1" colPageCount="1"/>
  <pivotFields count="7">
    <pivotField compact="0" defaultSubtotal="0" showAll="0">
      <items count="14">
        <item x="8"/>
        <item x="4"/>
        <item x="12"/>
        <item x="2"/>
        <item x="5"/>
        <item x="11"/>
        <item x="1"/>
        <item x="9"/>
        <item x="0"/>
        <item x="3"/>
        <item x="7"/>
        <item x="6"/>
        <item x="13"/>
        <item x="10"/>
      </items>
    </pivotField>
    <pivotField axis="axisRow" compact="0" defaultSubtotal="0" showAll="0">
      <items count="3">
        <item x="1"/>
        <item x="0"/>
        <item x="2"/>
      </items>
    </pivotField>
    <pivotField axis="axisPage" compact="0" defaultSubtotal="0" showAll="0">
      <items count="13">
        <item x="7"/>
        <item x="12"/>
        <item x="11"/>
        <item x="4"/>
        <item x="6"/>
        <item x="9"/>
        <item x="10"/>
        <item x="0"/>
        <item x="5"/>
        <item x="1"/>
        <item x="8"/>
        <item x="3"/>
        <item x="2"/>
      </items>
    </pivotField>
    <pivotField axis="axisCol" compact="0" defaultSubtotal="0" showAll="0">
      <items count="5">
        <item x="1"/>
        <item x="2"/>
        <item x="4"/>
        <item x="0"/>
        <item x="3"/>
      </items>
    </pivotField>
    <pivotField compact="0" defaultSubtotal="0" showAll="0"/>
    <pivotField compact="0" defaultSubtotal="0" showAll="0"/>
    <pivotField dataField="1" compact="0" defaultSubtotal="0" showAll="0">
      <items count="14">
        <item x="7"/>
        <item x="4"/>
        <item x="12"/>
        <item x="6"/>
        <item x="1"/>
        <item x="0"/>
        <item x="5"/>
        <item x="8"/>
        <item x="3"/>
        <item x="13"/>
        <item x="11"/>
        <item x="9"/>
        <item x="10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/>
  </pageFields>
  <dataFields count="1">
    <dataField name="Sum of Sal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4:G61" firstHeaderRow="1" firstDataRow="2" firstDataCol="1" rowPageCount="1" colPageCount="1"/>
  <pivotFields count="6">
    <pivotField axis="axisRow" compact="0" showAll="0">
      <items count="6">
        <item x="2"/>
        <item x="0"/>
        <item x="3"/>
        <item x="4"/>
        <item x="1"/>
        <item t="default"/>
      </items>
    </pivotField>
    <pivotField axis="axisPage" compact="0" showAll="0">
      <items count="7">
        <item x="4"/>
        <item x="2"/>
        <item x="3"/>
        <item x="1"/>
        <item x="5"/>
        <item x="0"/>
        <item t="default"/>
      </items>
    </pivotField>
    <pivotField axis="axisCol" compact="0" showAll="0">
      <items count="6">
        <item x="1"/>
        <item x="2"/>
        <item x="4"/>
        <item x="0"/>
        <item x="3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numFmtId="179" showAll="0">
      <items count="9">
        <item x="1"/>
        <item x="7"/>
        <item x="2"/>
        <item x="4"/>
        <item x="6"/>
        <item x="3"/>
        <item x="5"/>
        <item x="0"/>
        <item t="default"/>
      </items>
    </pivotField>
    <pivotField dataField="1" compact="0" showAll="0">
      <items count="20">
        <item x="2"/>
        <item x="4"/>
        <item x="3"/>
        <item x="13"/>
        <item x="16"/>
        <item x="15"/>
        <item x="7"/>
        <item x="17"/>
        <item x="8"/>
        <item x="12"/>
        <item x="0"/>
        <item x="6"/>
        <item x="10"/>
        <item x="5"/>
        <item x="1"/>
        <item x="14"/>
        <item x="18"/>
        <item x="11"/>
        <item x="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/>
  </pageField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N6:Q8" firstHeaderRow="1" firstDataRow="2" firstDataCol="1"/>
  <pivotFields count="7">
    <pivotField showAll="0"/>
    <pivotField numFmtId="178" showAll="0"/>
    <pivotField showAll="0">
      <items count="5">
        <item x="3"/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Max of UNIT" fld="5" subtotal="max" baseField="4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Position="1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N20:V25" firstHeaderRow="1" firstDataRow="3" firstDataCol="1"/>
  <pivotFields count="7">
    <pivotField showAll="0"/>
    <pivotField numFmtId="178"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n of COST" fld="6" subtotal="min" baseField="3" baseItem="0"/>
    <dataField name="Sum of UNI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4" workbookViewId="0">
      <selection activeCell="H20" sqref="H20"/>
    </sheetView>
  </sheetViews>
  <sheetFormatPr defaultColWidth="9.02654867256637" defaultRowHeight="14.25"/>
  <cols>
    <col min="1" max="1" width="28.4424778761062" customWidth="1"/>
    <col min="2" max="2" width="10.7964601769912"/>
    <col min="3" max="3" width="10.7964601769912" style="60"/>
    <col min="4" max="4" width="9.31858407079646" style="63"/>
    <col min="5" max="5" width="9.53097345132743" style="60"/>
    <col min="9" max="9" width="12.1238938053097" customWidth="1"/>
  </cols>
  <sheetData>
    <row r="1" spans="1:7">
      <c r="A1" t="s">
        <v>0</v>
      </c>
      <c r="B1" t="s">
        <v>1</v>
      </c>
      <c r="C1" s="60" t="s">
        <v>2</v>
      </c>
      <c r="D1" s="63" t="s">
        <v>3</v>
      </c>
      <c r="E1" s="60" t="s">
        <v>4</v>
      </c>
      <c r="F1" t="s">
        <v>5</v>
      </c>
      <c r="G1" t="s">
        <v>6</v>
      </c>
    </row>
    <row r="2" spans="1:7">
      <c r="A2" s="31">
        <v>35</v>
      </c>
      <c r="B2" s="36">
        <f>DATE(2019,1,6)</f>
        <v>43471</v>
      </c>
      <c r="C2" s="60">
        <v>95</v>
      </c>
      <c r="D2" s="64">
        <v>125</v>
      </c>
      <c r="E2" s="60">
        <f>D2*C2</f>
        <v>11875</v>
      </c>
      <c r="F2">
        <f>IF(E2&lt;500,0,IF(E2&lt;=2500,0.02*E2,0.05*E2))</f>
        <v>593.75</v>
      </c>
      <c r="G2" t="str">
        <f>IF(E2&lt;500,"poor",IF(E2&lt;=2500,"Good","Excellent"))</f>
        <v>Excellent</v>
      </c>
    </row>
    <row r="3" spans="1:7">
      <c r="A3" s="31">
        <v>36</v>
      </c>
      <c r="B3" s="36">
        <f>DATE(2019,1,23)</f>
        <v>43488</v>
      </c>
      <c r="C3" s="60">
        <v>50</v>
      </c>
      <c r="D3" s="65">
        <v>150.98</v>
      </c>
      <c r="E3" s="60">
        <f t="shared" ref="E3:E20" si="0">D3*C3</f>
        <v>7549</v>
      </c>
      <c r="F3">
        <f t="shared" ref="F3:F20" si="1">IF(E3&lt;500,0,IF(E3&lt;=2500,0.02*E3,0.05*E3))</f>
        <v>377.45</v>
      </c>
      <c r="G3" t="str">
        <f t="shared" ref="G3:G20" si="2">IF(E3&lt;500,"poor",IF(E3&lt;=2500,"Good","Excellent"))</f>
        <v>Excellent</v>
      </c>
    </row>
    <row r="4" spans="1:7">
      <c r="A4" s="31">
        <v>65</v>
      </c>
      <c r="B4" s="36">
        <f>DATE(2019,2,9)</f>
        <v>43505</v>
      </c>
      <c r="C4" s="60">
        <v>36</v>
      </c>
      <c r="D4" s="64">
        <v>1.29</v>
      </c>
      <c r="E4" s="60">
        <f t="shared" si="0"/>
        <v>46.44</v>
      </c>
      <c r="F4">
        <f t="shared" si="1"/>
        <v>0</v>
      </c>
      <c r="G4" t="str">
        <f t="shared" si="2"/>
        <v>poor</v>
      </c>
    </row>
    <row r="5" spans="1:7">
      <c r="A5" s="31">
        <v>32</v>
      </c>
      <c r="B5" s="36">
        <f>DATE(2019,2,26)</f>
        <v>43522</v>
      </c>
      <c r="C5" s="60">
        <v>27</v>
      </c>
      <c r="D5" s="64">
        <v>4.99</v>
      </c>
      <c r="E5" s="60">
        <f t="shared" si="0"/>
        <v>134.73</v>
      </c>
      <c r="F5">
        <f t="shared" si="1"/>
        <v>0</v>
      </c>
      <c r="G5" t="str">
        <f t="shared" si="2"/>
        <v>poor</v>
      </c>
    </row>
    <row r="6" spans="1:7">
      <c r="A6" s="31">
        <v>70</v>
      </c>
      <c r="B6" s="36">
        <f>DATE(2019,4,1)</f>
        <v>43556</v>
      </c>
      <c r="C6" s="60">
        <v>56</v>
      </c>
      <c r="D6" s="65">
        <v>85.99</v>
      </c>
      <c r="E6" s="60">
        <f t="shared" si="0"/>
        <v>4815.44</v>
      </c>
      <c r="F6">
        <f t="shared" si="1"/>
        <v>240.772</v>
      </c>
      <c r="G6" t="str">
        <f t="shared" si="2"/>
        <v>Excellent</v>
      </c>
    </row>
    <row r="7" spans="1:7">
      <c r="A7" s="31">
        <v>96</v>
      </c>
      <c r="B7" s="36">
        <f>DATE(2019,4,18)</f>
        <v>43573</v>
      </c>
      <c r="C7" s="60">
        <v>60</v>
      </c>
      <c r="D7" s="64">
        <v>19.99</v>
      </c>
      <c r="E7" s="60">
        <f t="shared" si="0"/>
        <v>1199.4</v>
      </c>
      <c r="F7">
        <f t="shared" si="1"/>
        <v>23.988</v>
      </c>
      <c r="G7" t="str">
        <f t="shared" si="2"/>
        <v>Good</v>
      </c>
    </row>
    <row r="8" spans="1:7">
      <c r="A8" s="31">
        <v>97</v>
      </c>
      <c r="B8" s="36">
        <f>DATE(2019,5,5)</f>
        <v>43590</v>
      </c>
      <c r="C8" s="60">
        <v>75</v>
      </c>
      <c r="D8" s="64">
        <v>8.99</v>
      </c>
      <c r="E8" s="60">
        <f t="shared" si="0"/>
        <v>674.25</v>
      </c>
      <c r="F8">
        <f t="shared" si="1"/>
        <v>13.485</v>
      </c>
      <c r="G8" t="str">
        <f t="shared" si="2"/>
        <v>Good</v>
      </c>
    </row>
    <row r="9" spans="1:7">
      <c r="A9" s="31">
        <v>129</v>
      </c>
      <c r="B9" s="36">
        <f>DATE(2019,5,22)</f>
        <v>43607</v>
      </c>
      <c r="C9" s="60">
        <v>90</v>
      </c>
      <c r="D9" s="64">
        <v>4.99</v>
      </c>
      <c r="E9" s="60">
        <f t="shared" si="0"/>
        <v>449.1</v>
      </c>
      <c r="F9">
        <f t="shared" si="1"/>
        <v>0</v>
      </c>
      <c r="G9" t="str">
        <f t="shared" si="2"/>
        <v>poor</v>
      </c>
    </row>
    <row r="10" spans="1:7">
      <c r="A10" s="31">
        <v>130</v>
      </c>
      <c r="B10" s="36">
        <f>DATE(2019,6,8)</f>
        <v>43624</v>
      </c>
      <c r="C10" s="60">
        <v>32</v>
      </c>
      <c r="D10" s="65">
        <v>363.25</v>
      </c>
      <c r="E10" s="60">
        <f t="shared" si="0"/>
        <v>11624</v>
      </c>
      <c r="F10">
        <f t="shared" si="1"/>
        <v>581.2</v>
      </c>
      <c r="G10" t="str">
        <f t="shared" si="2"/>
        <v>Excellent</v>
      </c>
    </row>
    <row r="11" spans="1:7">
      <c r="A11" s="31">
        <v>195</v>
      </c>
      <c r="B11" s="36">
        <f>DATE(2019,7,25)</f>
        <v>43671</v>
      </c>
      <c r="C11" s="60">
        <v>60</v>
      </c>
      <c r="D11" s="64">
        <v>23.95</v>
      </c>
      <c r="E11" s="60">
        <f t="shared" si="0"/>
        <v>1437</v>
      </c>
      <c r="F11">
        <f t="shared" si="1"/>
        <v>28.74</v>
      </c>
      <c r="G11" t="str">
        <f t="shared" si="2"/>
        <v>Good</v>
      </c>
    </row>
    <row r="12" spans="1:7">
      <c r="A12" s="31">
        <v>197</v>
      </c>
      <c r="B12" s="36">
        <f>DATE(2019,8,12)</f>
        <v>43689</v>
      </c>
      <c r="C12" s="60">
        <v>90</v>
      </c>
      <c r="D12" s="64">
        <v>8.99</v>
      </c>
      <c r="E12" s="60">
        <f t="shared" si="0"/>
        <v>809.1</v>
      </c>
      <c r="F12">
        <f t="shared" si="1"/>
        <v>16.182</v>
      </c>
      <c r="G12" t="str">
        <f t="shared" si="2"/>
        <v>Good</v>
      </c>
    </row>
    <row r="13" spans="1:7">
      <c r="A13" s="31">
        <v>224</v>
      </c>
      <c r="B13" s="36">
        <f>DATE(2019,8,29)</f>
        <v>43706</v>
      </c>
      <c r="C13" s="60">
        <v>29</v>
      </c>
      <c r="D13" s="64">
        <v>19.99</v>
      </c>
      <c r="E13" s="60">
        <f t="shared" si="0"/>
        <v>579.71</v>
      </c>
      <c r="F13">
        <f t="shared" si="1"/>
        <v>11.5942</v>
      </c>
      <c r="G13" t="str">
        <f t="shared" si="2"/>
        <v>Good</v>
      </c>
    </row>
    <row r="14" spans="1:7">
      <c r="A14">
        <v>56</v>
      </c>
      <c r="B14" s="36">
        <f>DATE(2019,9,1)</f>
        <v>43709</v>
      </c>
      <c r="C14" s="60">
        <v>81</v>
      </c>
      <c r="D14" s="65">
        <v>24.92</v>
      </c>
      <c r="E14" s="60">
        <f t="shared" si="0"/>
        <v>2018.52</v>
      </c>
      <c r="F14">
        <f t="shared" si="1"/>
        <v>40.3704</v>
      </c>
      <c r="G14" t="str">
        <f t="shared" si="2"/>
        <v>Good</v>
      </c>
    </row>
    <row r="15" spans="1:7">
      <c r="A15">
        <v>28</v>
      </c>
      <c r="B15" s="36">
        <f>DATE(2019,9,15)</f>
        <v>43723</v>
      </c>
      <c r="C15" s="60">
        <v>35</v>
      </c>
      <c r="D15" s="65">
        <v>19.84</v>
      </c>
      <c r="E15" s="60">
        <f t="shared" si="0"/>
        <v>694.4</v>
      </c>
      <c r="F15">
        <f t="shared" si="1"/>
        <v>13.888</v>
      </c>
      <c r="G15" t="str">
        <f t="shared" si="2"/>
        <v>Good</v>
      </c>
    </row>
    <row r="16" spans="1:7">
      <c r="A16">
        <v>75</v>
      </c>
      <c r="B16" s="36">
        <f>DATE(2019,10,5)</f>
        <v>43743</v>
      </c>
      <c r="C16" s="60">
        <v>24</v>
      </c>
      <c r="D16" s="64">
        <v>12.49</v>
      </c>
      <c r="E16" s="60">
        <f t="shared" si="0"/>
        <v>299.76</v>
      </c>
      <c r="F16">
        <f t="shared" si="1"/>
        <v>0</v>
      </c>
      <c r="G16" t="str">
        <f t="shared" si="2"/>
        <v>poor</v>
      </c>
    </row>
    <row r="17" spans="1:7">
      <c r="A17">
        <v>121</v>
      </c>
      <c r="B17" s="36">
        <f>DATE(2019,10,22)</f>
        <v>43760</v>
      </c>
      <c r="C17" s="60">
        <v>150</v>
      </c>
      <c r="D17" s="64">
        <v>1.99</v>
      </c>
      <c r="E17" s="60">
        <f t="shared" si="0"/>
        <v>298.5</v>
      </c>
      <c r="F17">
        <f t="shared" si="1"/>
        <v>0</v>
      </c>
      <c r="G17" t="str">
        <f t="shared" si="2"/>
        <v>poor</v>
      </c>
    </row>
    <row r="18" spans="1:7">
      <c r="A18">
        <v>108</v>
      </c>
      <c r="B18" s="36">
        <f>DATE(2019,11,8)</f>
        <v>43777</v>
      </c>
      <c r="C18" s="60">
        <v>28</v>
      </c>
      <c r="D18" s="65">
        <v>115.99</v>
      </c>
      <c r="E18" s="60">
        <f t="shared" si="0"/>
        <v>3247.72</v>
      </c>
      <c r="F18">
        <f t="shared" si="1"/>
        <v>162.386</v>
      </c>
      <c r="G18" t="str">
        <f t="shared" si="2"/>
        <v>Excellent</v>
      </c>
    </row>
    <row r="19" spans="1:7">
      <c r="A19">
        <v>68</v>
      </c>
      <c r="B19" s="36">
        <f>DATE(2019,11,11)</f>
        <v>43780</v>
      </c>
      <c r="C19" s="60">
        <v>64</v>
      </c>
      <c r="D19" s="64">
        <v>275</v>
      </c>
      <c r="E19" s="60">
        <f t="shared" si="0"/>
        <v>17600</v>
      </c>
      <c r="F19">
        <f t="shared" si="1"/>
        <v>880</v>
      </c>
      <c r="G19" t="str">
        <f t="shared" si="2"/>
        <v>Excellent</v>
      </c>
    </row>
    <row r="20" spans="1:7">
      <c r="A20">
        <v>16</v>
      </c>
      <c r="B20" s="36">
        <f>DATE(2019,12,5)</f>
        <v>43804</v>
      </c>
      <c r="C20" s="60">
        <v>15</v>
      </c>
      <c r="D20" s="64">
        <v>8.99</v>
      </c>
      <c r="E20" s="60">
        <f t="shared" si="0"/>
        <v>134.85</v>
      </c>
      <c r="F20">
        <f t="shared" si="1"/>
        <v>0</v>
      </c>
      <c r="G20" t="str">
        <f t="shared" si="2"/>
        <v>poor</v>
      </c>
    </row>
    <row r="21" spans="5:5">
      <c r="E21" s="60" t="s">
        <v>7</v>
      </c>
    </row>
    <row r="22" spans="5:5">
      <c r="E22" s="60">
        <f>SUM(E2:E20)</f>
        <v>65486.92</v>
      </c>
    </row>
    <row r="25" spans="1:10">
      <c r="A25" t="s">
        <v>8</v>
      </c>
      <c r="B25">
        <f>MAX(E2:E20)</f>
        <v>17600</v>
      </c>
      <c r="I25" t="s">
        <v>9</v>
      </c>
      <c r="J25" t="s">
        <v>10</v>
      </c>
    </row>
    <row r="26" spans="1:10">
      <c r="A26" t="s">
        <v>11</v>
      </c>
      <c r="B26">
        <f>MIN(E2:E20)</f>
        <v>46.44</v>
      </c>
      <c r="I26" t="s">
        <v>12</v>
      </c>
      <c r="J26">
        <v>0</v>
      </c>
    </row>
    <row r="27" spans="1:10">
      <c r="A27" t="s">
        <v>13</v>
      </c>
      <c r="B27">
        <f>AVERAGE(E2:E20)</f>
        <v>3446.68</v>
      </c>
      <c r="I27" t="s">
        <v>14</v>
      </c>
      <c r="J27" t="s">
        <v>15</v>
      </c>
    </row>
    <row r="28" spans="1:10">
      <c r="A28" t="s">
        <v>16</v>
      </c>
      <c r="B28">
        <f>SUMIF(E2:E20,"&lt;500")</f>
        <v>1363.38</v>
      </c>
      <c r="I28" t="s">
        <v>17</v>
      </c>
      <c r="J28" t="s">
        <v>18</v>
      </c>
    </row>
    <row r="29" spans="1:2">
      <c r="A29" t="s">
        <v>19</v>
      </c>
      <c r="B29">
        <f>E22-B28-B30</f>
        <v>55347.78</v>
      </c>
    </row>
    <row r="30" spans="1:2">
      <c r="A30" t="s">
        <v>20</v>
      </c>
      <c r="B30">
        <f>SUMIF(E2:E20,"&lt;=2500")</f>
        <v>8775.76</v>
      </c>
    </row>
    <row r="31" spans="1:1">
      <c r="A31" t="s">
        <v>21</v>
      </c>
    </row>
    <row r="32" spans="1:2">
      <c r="A32" t="s">
        <v>22</v>
      </c>
      <c r="B32">
        <f>COUNTIF(G2:G20,"Excellent")</f>
        <v>6</v>
      </c>
    </row>
    <row r="33" spans="1:2">
      <c r="A33" t="s">
        <v>23</v>
      </c>
      <c r="B33">
        <f>SUMIF(G2:G20,"Good",E2:E20)</f>
        <v>7412.38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workbookViewId="0">
      <selection activeCell="B23" sqref="B23:H23"/>
    </sheetView>
  </sheetViews>
  <sheetFormatPr defaultColWidth="9" defaultRowHeight="14.25"/>
  <cols>
    <col min="1" max="1" width="9.14159292035398" style="1"/>
    <col min="2" max="2" width="16.7079646017699" style="1" customWidth="1"/>
    <col min="3" max="3" width="12" style="1" customWidth="1"/>
    <col min="4" max="4" width="16.7079646017699" style="1" customWidth="1"/>
    <col min="5" max="5" width="15.7079646017699" style="1" customWidth="1"/>
    <col min="6" max="6" width="15.4247787610619" style="1" customWidth="1"/>
    <col min="7" max="8" width="9.14159292035398" style="1"/>
    <col min="9" max="9" width="10.7079646017699" style="1" customWidth="1"/>
    <col min="10" max="10" width="9.14159292035398" style="1"/>
    <col min="11" max="13" width="15.4247787610619" style="1" customWidth="1"/>
    <col min="14" max="14" width="13.141592920354" style="1" customWidth="1"/>
    <col min="15" max="15" width="16.283185840708" style="1" customWidth="1"/>
    <col min="16" max="16" width="12" style="1" customWidth="1"/>
    <col min="17" max="17" width="11.858407079646" style="1" customWidth="1"/>
    <col min="18" max="18" width="12" style="1" customWidth="1"/>
    <col min="19" max="19" width="11.858407079646" style="1" customWidth="1"/>
    <col min="20" max="20" width="12" style="1" customWidth="1"/>
    <col min="21" max="21" width="16.858407079646" style="1" customWidth="1"/>
    <col min="22" max="22" width="17" style="1" customWidth="1"/>
    <col min="23" max="16384" width="9.14159292035398" style="1"/>
  </cols>
  <sheetData>
    <row r="1" spans="1:21">
      <c r="A1" s="2" t="s">
        <v>192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1" t="s">
        <v>199</v>
      </c>
      <c r="N1" s="7" t="s">
        <v>200</v>
      </c>
      <c r="O1" s="7"/>
      <c r="P1" s="7"/>
      <c r="Q1" s="7"/>
      <c r="R1" s="7"/>
      <c r="S1" s="7"/>
      <c r="T1" s="7"/>
      <c r="U1" s="7"/>
    </row>
    <row r="2" spans="1:23">
      <c r="A2" s="1">
        <v>101</v>
      </c>
      <c r="B2" s="3">
        <v>42856</v>
      </c>
      <c r="C2" s="1" t="s">
        <v>201</v>
      </c>
      <c r="D2" s="1" t="s">
        <v>202</v>
      </c>
      <c r="E2" s="1" t="s">
        <v>203</v>
      </c>
      <c r="F2" s="1">
        <v>2</v>
      </c>
      <c r="G2" s="1">
        <v>10000</v>
      </c>
      <c r="H2" s="1">
        <f ca="1">PRODUCT(OFFSET(F2,0,0,1,2))</f>
        <v>20000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0">
      <c r="A3" s="1">
        <v>102</v>
      </c>
      <c r="B3" s="3">
        <v>42857</v>
      </c>
      <c r="C3" s="1" t="s">
        <v>204</v>
      </c>
      <c r="D3" s="1" t="s">
        <v>205</v>
      </c>
      <c r="E3" s="1" t="s">
        <v>206</v>
      </c>
      <c r="F3" s="1">
        <v>3</v>
      </c>
      <c r="G3" s="1">
        <v>8300</v>
      </c>
      <c r="H3" s="1">
        <f ca="1">PRODUCT(OFFSET(F3,0,0,1,2))</f>
        <v>24900</v>
      </c>
      <c r="R3" s="4"/>
      <c r="S3" s="4"/>
      <c r="T3" s="4"/>
    </row>
    <row r="4" spans="1:18">
      <c r="A4" s="1">
        <v>103</v>
      </c>
      <c r="B4" s="3">
        <v>42857</v>
      </c>
      <c r="C4" s="1" t="s">
        <v>207</v>
      </c>
      <c r="D4" s="1" t="s">
        <v>202</v>
      </c>
      <c r="E4" s="1" t="s">
        <v>208</v>
      </c>
      <c r="F4" s="1">
        <v>5</v>
      </c>
      <c r="G4" s="1">
        <v>430</v>
      </c>
      <c r="H4" s="1">
        <f ca="1">PRODUCT(OFFSET(F4,0,0,1,2))</f>
        <v>2150</v>
      </c>
      <c r="N4" s="8"/>
      <c r="O4" s="8"/>
      <c r="R4" s="4"/>
    </row>
    <row r="5" spans="1:19">
      <c r="A5" s="1">
        <v>104</v>
      </c>
      <c r="B5" s="3">
        <v>42858</v>
      </c>
      <c r="C5" s="1" t="s">
        <v>209</v>
      </c>
      <c r="D5" s="1" t="s">
        <v>205</v>
      </c>
      <c r="E5" s="1" t="s">
        <v>203</v>
      </c>
      <c r="F5" s="1">
        <v>2</v>
      </c>
      <c r="G5" s="1">
        <v>7600</v>
      </c>
      <c r="H5" s="1">
        <f ca="1">PRODUCT(OFFSET(F5,0,0,1,2))</f>
        <v>15200</v>
      </c>
      <c r="R5" s="4"/>
      <c r="S5" s="4"/>
    </row>
    <row r="6" spans="14:21">
      <c r="N6" s="8"/>
      <c r="O6" s="8" t="s">
        <v>210</v>
      </c>
      <c r="P6" s="8"/>
      <c r="Q6" s="8"/>
      <c r="R6" s="4"/>
      <c r="S6" s="4"/>
      <c r="T6" s="4"/>
      <c r="U6" s="4"/>
    </row>
    <row r="7" spans="2:19">
      <c r="B7" s="1" t="s">
        <v>211</v>
      </c>
      <c r="H7" s="1">
        <f>DSUM(A1:G5,"UNIT",J7:J8)</f>
        <v>7</v>
      </c>
      <c r="J7" s="1" t="s">
        <v>195</v>
      </c>
      <c r="K7" s="1" t="s">
        <v>196</v>
      </c>
      <c r="L7" s="1" t="s">
        <v>196</v>
      </c>
      <c r="N7" s="8"/>
      <c r="O7" s="8" t="s">
        <v>205</v>
      </c>
      <c r="P7" s="8" t="s">
        <v>202</v>
      </c>
      <c r="Q7" s="8" t="s">
        <v>100</v>
      </c>
      <c r="R7" s="4"/>
      <c r="S7" s="4"/>
    </row>
    <row r="8" spans="2:19">
      <c r="B8" s="1" t="s">
        <v>212</v>
      </c>
      <c r="H8" s="1">
        <f>DMIN(A1:G5,"COST",K7:K8)</f>
        <v>7600</v>
      </c>
      <c r="J8" s="1" t="s">
        <v>202</v>
      </c>
      <c r="K8" s="1" t="s">
        <v>203</v>
      </c>
      <c r="L8" s="1" t="s">
        <v>206</v>
      </c>
      <c r="N8" s="8" t="s">
        <v>213</v>
      </c>
      <c r="O8" s="9">
        <v>3</v>
      </c>
      <c r="P8" s="9">
        <v>5</v>
      </c>
      <c r="Q8" s="9">
        <v>5</v>
      </c>
      <c r="R8" s="4"/>
      <c r="S8" s="4"/>
    </row>
    <row r="9" spans="2:19">
      <c r="B9" s="1" t="s">
        <v>214</v>
      </c>
      <c r="H9" s="1">
        <f>DGET(A1:G5,"COST",L7:L8)</f>
        <v>8300</v>
      </c>
      <c r="N9" s="8"/>
      <c r="O9" s="8"/>
      <c r="P9" s="8"/>
      <c r="Q9" s="8"/>
      <c r="R9" s="4"/>
      <c r="S9" s="4"/>
    </row>
    <row r="10" spans="2:18">
      <c r="B10" s="4" t="s">
        <v>215</v>
      </c>
      <c r="C10" s="4"/>
      <c r="D10" s="4"/>
      <c r="E10" s="4"/>
      <c r="F10" s="4"/>
      <c r="G10" s="4"/>
      <c r="N10" s="8"/>
      <c r="O10" s="8"/>
      <c r="P10" s="8"/>
      <c r="Q10" s="8"/>
      <c r="R10" s="4"/>
    </row>
    <row r="11" spans="2:18">
      <c r="B11" s="1" t="s">
        <v>216</v>
      </c>
      <c r="J11" s="1" t="s">
        <v>199</v>
      </c>
      <c r="N11" s="8"/>
      <c r="O11" s="8"/>
      <c r="P11" s="8"/>
      <c r="Q11" s="8"/>
      <c r="R11" s="4"/>
    </row>
    <row r="12" spans="2:16">
      <c r="B12" s="4"/>
      <c r="C12" s="4">
        <f>J14</f>
        <v>2150</v>
      </c>
      <c r="D12" s="4"/>
      <c r="E12" s="4"/>
      <c r="F12" s="4"/>
      <c r="G12" s="4"/>
      <c r="H12" s="4"/>
      <c r="I12" s="4"/>
      <c r="J12" s="1">
        <f>PRODUCT(F2,G2)</f>
        <v>20000</v>
      </c>
      <c r="K12" s="4"/>
      <c r="N12" s="8"/>
      <c r="O12" s="8"/>
      <c r="P12" s="8"/>
    </row>
    <row r="13" spans="2:16">
      <c r="B13" s="5">
        <v>370</v>
      </c>
      <c r="C13" s="4">
        <v>1850</v>
      </c>
      <c r="D13" s="4"/>
      <c r="E13" s="4"/>
      <c r="F13" s="4"/>
      <c r="G13" s="4"/>
      <c r="H13" s="4"/>
      <c r="J13" s="1">
        <f>PRODUCT(F3,G3)</f>
        <v>24900</v>
      </c>
      <c r="N13" s="8"/>
      <c r="O13" s="8"/>
      <c r="P13" s="8"/>
    </row>
    <row r="14" spans="2:16">
      <c r="B14" s="5">
        <v>500</v>
      </c>
      <c r="C14" s="4">
        <v>2500</v>
      </c>
      <c r="D14" s="4"/>
      <c r="E14" s="4"/>
      <c r="F14" s="4"/>
      <c r="J14" s="1">
        <f>PRODUCT(F4,G4)</f>
        <v>2150</v>
      </c>
      <c r="N14" s="8"/>
      <c r="O14" s="8"/>
      <c r="P14" s="8"/>
    </row>
    <row r="15" spans="2:21">
      <c r="B15" s="5">
        <v>450</v>
      </c>
      <c r="C15" s="4">
        <v>2250</v>
      </c>
      <c r="D15" s="4"/>
      <c r="E15" s="4"/>
      <c r="F15" s="4"/>
      <c r="G15" s="4"/>
      <c r="J15" s="1">
        <f>PRODUCT(F5,G5)</f>
        <v>15200</v>
      </c>
      <c r="N15" s="4" t="s">
        <v>217</v>
      </c>
      <c r="O15" s="4"/>
      <c r="P15" s="4"/>
      <c r="Q15" s="4"/>
      <c r="R15" s="4"/>
      <c r="S15" s="4"/>
      <c r="T15" s="4"/>
      <c r="U15" s="4"/>
    </row>
    <row r="16" spans="2:16">
      <c r="B16" s="4" t="s">
        <v>218</v>
      </c>
      <c r="C16" s="4"/>
      <c r="D16" s="4"/>
      <c r="E16" s="4"/>
      <c r="F16" s="4"/>
      <c r="G16" s="4"/>
      <c r="H16" s="4"/>
      <c r="I16" s="4"/>
      <c r="N16" s="8"/>
      <c r="O16" s="8"/>
      <c r="P16" s="8"/>
    </row>
    <row r="17" spans="2:7">
      <c r="B17" s="4" t="s">
        <v>219</v>
      </c>
      <c r="C17" s="4"/>
      <c r="D17" s="4"/>
      <c r="E17" s="4"/>
      <c r="F17" s="4"/>
      <c r="G17" s="4"/>
    </row>
    <row r="18" spans="2:15">
      <c r="B18" s="4">
        <f>J13</f>
        <v>24900</v>
      </c>
      <c r="C18" s="5">
        <v>7100</v>
      </c>
      <c r="D18" s="5">
        <v>8900</v>
      </c>
      <c r="E18" s="5">
        <v>9400</v>
      </c>
      <c r="F18" s="5">
        <v>6300</v>
      </c>
      <c r="G18" s="4"/>
      <c r="N18" s="8"/>
      <c r="O18" s="8"/>
    </row>
    <row r="19" spans="2:7">
      <c r="B19" s="5">
        <v>5</v>
      </c>
      <c r="C19" s="4">
        <v>35500</v>
      </c>
      <c r="D19" s="4">
        <v>44500</v>
      </c>
      <c r="E19" s="4">
        <v>47000</v>
      </c>
      <c r="F19" s="4">
        <v>31500</v>
      </c>
      <c r="G19" s="4"/>
    </row>
    <row r="20" spans="2:22">
      <c r="B20" s="5">
        <v>8</v>
      </c>
      <c r="C20" s="4">
        <v>56800</v>
      </c>
      <c r="D20" s="4">
        <v>71200</v>
      </c>
      <c r="E20" s="4">
        <v>75200</v>
      </c>
      <c r="F20" s="4">
        <v>50400</v>
      </c>
      <c r="N20" s="8"/>
      <c r="O20" s="8" t="s">
        <v>210</v>
      </c>
      <c r="P20" s="8"/>
      <c r="Q20" s="8"/>
      <c r="R20" s="8"/>
      <c r="S20" s="8"/>
      <c r="T20" s="8"/>
      <c r="U20" s="8"/>
      <c r="V20" s="8"/>
    </row>
    <row r="21" spans="2:22">
      <c r="B21" s="5">
        <v>10</v>
      </c>
      <c r="C21" s="4">
        <v>71000</v>
      </c>
      <c r="D21" s="4">
        <v>89000</v>
      </c>
      <c r="E21" s="4">
        <v>94000</v>
      </c>
      <c r="F21" s="4">
        <v>63000</v>
      </c>
      <c r="N21" s="8"/>
      <c r="O21" s="8" t="s">
        <v>206</v>
      </c>
      <c r="P21" s="8"/>
      <c r="Q21" s="8" t="s">
        <v>203</v>
      </c>
      <c r="R21" s="8"/>
      <c r="S21" s="8" t="s">
        <v>208</v>
      </c>
      <c r="T21" s="8"/>
      <c r="U21" s="8" t="s">
        <v>220</v>
      </c>
      <c r="V21" s="8" t="s">
        <v>221</v>
      </c>
    </row>
    <row r="22" spans="14:22">
      <c r="N22" s="8" t="s">
        <v>222</v>
      </c>
      <c r="O22" s="8" t="s">
        <v>223</v>
      </c>
      <c r="P22" s="8" t="s">
        <v>224</v>
      </c>
      <c r="Q22" s="8" t="s">
        <v>223</v>
      </c>
      <c r="R22" s="8" t="s">
        <v>224</v>
      </c>
      <c r="S22" s="8" t="s">
        <v>223</v>
      </c>
      <c r="T22" s="8" t="s">
        <v>224</v>
      </c>
      <c r="U22" s="8"/>
      <c r="V22" s="8"/>
    </row>
    <row r="23" spans="2:22">
      <c r="B23" s="6" t="s">
        <v>225</v>
      </c>
      <c r="C23" s="6"/>
      <c r="D23" s="6"/>
      <c r="E23" s="6"/>
      <c r="F23" s="6"/>
      <c r="G23" s="6"/>
      <c r="H23" s="6"/>
      <c r="N23" s="10" t="s">
        <v>205</v>
      </c>
      <c r="O23" s="9">
        <v>8300</v>
      </c>
      <c r="P23" s="9">
        <v>3</v>
      </c>
      <c r="Q23" s="9">
        <v>7600</v>
      </c>
      <c r="R23" s="9">
        <v>2</v>
      </c>
      <c r="S23" s="9"/>
      <c r="T23" s="9"/>
      <c r="U23" s="9">
        <v>7600</v>
      </c>
      <c r="V23" s="9">
        <v>5</v>
      </c>
    </row>
    <row r="24" spans="2:22">
      <c r="B24" s="4" t="s">
        <v>226</v>
      </c>
      <c r="N24" s="10" t="s">
        <v>202</v>
      </c>
      <c r="O24" s="9"/>
      <c r="P24" s="9"/>
      <c r="Q24" s="9">
        <v>10000</v>
      </c>
      <c r="R24" s="9">
        <v>2</v>
      </c>
      <c r="S24" s="9">
        <v>430</v>
      </c>
      <c r="T24" s="9">
        <v>5</v>
      </c>
      <c r="U24" s="9">
        <v>430</v>
      </c>
      <c r="V24" s="9">
        <v>7</v>
      </c>
    </row>
    <row r="25" spans="2:22">
      <c r="B25" s="1" t="s">
        <v>227</v>
      </c>
      <c r="I25" s="3">
        <f>VLOOKUP(103,A1:B5,2,FALSE)</f>
        <v>42857</v>
      </c>
      <c r="N25" s="10" t="s">
        <v>100</v>
      </c>
      <c r="O25" s="9">
        <v>8300</v>
      </c>
      <c r="P25" s="9">
        <v>3</v>
      </c>
      <c r="Q25" s="9">
        <v>7600</v>
      </c>
      <c r="R25" s="9">
        <v>4</v>
      </c>
      <c r="S25" s="9">
        <v>430</v>
      </c>
      <c r="T25" s="9">
        <v>5</v>
      </c>
      <c r="U25" s="9">
        <v>430</v>
      </c>
      <c r="V25" s="9">
        <v>12</v>
      </c>
    </row>
    <row r="26" spans="2:16">
      <c r="B26" s="4" t="s">
        <v>228</v>
      </c>
      <c r="I26" s="1" t="str">
        <f>VLOOKUP(K26,C1:E5,3,FALSE)</f>
        <v>HARD DISK</v>
      </c>
      <c r="K26" s="1" t="s">
        <v>204</v>
      </c>
      <c r="N26" s="8"/>
      <c r="O26" s="8"/>
      <c r="P26" s="8"/>
    </row>
    <row r="27" spans="2:16">
      <c r="B27" s="1" t="s">
        <v>229</v>
      </c>
      <c r="I27" s="11">
        <f>VLOOKUP(K28,CHOOSE({1,2},B1:B5,A1:A5),2,FALSE)</f>
        <v>104</v>
      </c>
      <c r="K27" s="1">
        <v>3</v>
      </c>
      <c r="N27" s="8"/>
      <c r="O27" s="8"/>
      <c r="P27" s="8"/>
    </row>
    <row r="28" spans="2:16">
      <c r="B28" s="1" t="s">
        <v>230</v>
      </c>
      <c r="I28" s="1">
        <f>VLOOKUP("SACHIN",CHOOSE({1,2},C1:C5,A1:A5),2,FALSE)</f>
        <v>101</v>
      </c>
      <c r="K28" s="3">
        <v>42858</v>
      </c>
      <c r="N28" s="8"/>
      <c r="O28" s="8"/>
      <c r="P28" s="8"/>
    </row>
    <row r="29" spans="2:16">
      <c r="B29" s="4" t="s">
        <v>231</v>
      </c>
      <c r="I29" s="11">
        <f>VLOOKUP(K26,CHOOSE({1,2,3},C1:C5,B1:B5,A1:A5),K27,FALSE)</f>
        <v>102</v>
      </c>
      <c r="N29" s="8"/>
      <c r="O29" s="8"/>
      <c r="P29" s="8"/>
    </row>
    <row r="30" spans="2:16">
      <c r="B30" s="1" t="s">
        <v>232</v>
      </c>
      <c r="I30" s="1">
        <f ca="1">INDEX(A1:H5,3,7)</f>
        <v>8300</v>
      </c>
      <c r="N30" s="8"/>
      <c r="O30" s="8"/>
      <c r="P30" s="8"/>
    </row>
    <row r="31" spans="2:16">
      <c r="B31" s="4" t="s">
        <v>233</v>
      </c>
      <c r="C31" s="4"/>
      <c r="D31" s="4"/>
      <c r="E31" s="4"/>
      <c r="F31" s="4"/>
      <c r="I31" s="1" t="str">
        <f ca="1">INDEX(A1:H5,3,3)</f>
        <v>ROOPA</v>
      </c>
      <c r="N31" s="8"/>
      <c r="O31" s="8"/>
      <c r="P31" s="8"/>
    </row>
    <row r="32" spans="2:16">
      <c r="B32" s="1" t="s">
        <v>234</v>
      </c>
      <c r="I32" s="1">
        <f ca="1">SUM(INDEX(A1:H5,0,6))</f>
        <v>12</v>
      </c>
      <c r="N32" s="8"/>
      <c r="O32" s="8"/>
      <c r="P32" s="8"/>
    </row>
    <row r="33" spans="2:16">
      <c r="B33" s="1" t="s">
        <v>235</v>
      </c>
      <c r="I33" s="1">
        <f ca="1">OFFSET(F4,0,0,1,1)</f>
        <v>5</v>
      </c>
      <c r="N33" s="8"/>
      <c r="O33" s="8"/>
      <c r="P33" s="8"/>
    </row>
    <row r="34" spans="2:16">
      <c r="B34" s="4" t="s">
        <v>236</v>
      </c>
      <c r="C34" s="4"/>
      <c r="D34" s="4"/>
      <c r="E34" s="4"/>
      <c r="F34" s="4"/>
      <c r="I34" s="1" t="str">
        <f ca="1">OFFSET(E2,0,0,1,1)</f>
        <v>MOBILE</v>
      </c>
      <c r="N34" s="8"/>
      <c r="O34" s="8"/>
      <c r="P34" s="8"/>
    </row>
    <row r="35" spans="2:9">
      <c r="B35" s="1" t="s">
        <v>237</v>
      </c>
      <c r="I35" s="1">
        <f ca="1">AVERAGE(OFFSET(G2,0,0,4,1))</f>
        <v>6582.5</v>
      </c>
    </row>
    <row r="36" spans="2:2">
      <c r="B36" s="1" t="s">
        <v>238</v>
      </c>
    </row>
    <row r="37" spans="2:9">
      <c r="B37" s="4" t="s">
        <v>239</v>
      </c>
      <c r="C37" s="4"/>
      <c r="D37" s="4"/>
      <c r="E37" s="4"/>
      <c r="F37" s="4"/>
      <c r="I37" s="1">
        <f ca="1">DSUM(CUSTOMER,H1,K7:K8)</f>
        <v>35200</v>
      </c>
    </row>
    <row r="38" spans="2:9">
      <c r="B38" s="1" t="s">
        <v>240</v>
      </c>
      <c r="I38" s="1">
        <f ca="1">DMAX(CUSTOMER,F1,J7:J8)</f>
        <v>5</v>
      </c>
    </row>
  </sheetData>
  <mergeCells count="15">
    <mergeCell ref="N1:U1"/>
    <mergeCell ref="B7:F7"/>
    <mergeCell ref="B8:F8"/>
    <mergeCell ref="B9:F9"/>
    <mergeCell ref="B11:I11"/>
    <mergeCell ref="B23:H23"/>
    <mergeCell ref="B25:G25"/>
    <mergeCell ref="B27:G27"/>
    <mergeCell ref="B28:F28"/>
    <mergeCell ref="B30:F30"/>
    <mergeCell ref="B32:G32"/>
    <mergeCell ref="B33:F33"/>
    <mergeCell ref="B35:F35"/>
    <mergeCell ref="B36:F36"/>
    <mergeCell ref="B38:H38"/>
  </mergeCells>
  <dataValidations count="1">
    <dataValidation type="whole" operator="greaterThanOrEqual" allowBlank="1" showInputMessage="1" showErrorMessage="1" errorTitle="INVALID" error="INVALID DATA" promptTitle="VALUE" prompt="ENTER IN THE VALUE&#10;" sqref="I1:I5">
      <formula1>50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.02654867256637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H19" sqref="H19"/>
    </sheetView>
  </sheetViews>
  <sheetFormatPr defaultColWidth="9.02654867256637" defaultRowHeight="14.25" outlineLevelCol="7"/>
  <cols>
    <col min="7" max="7" width="12.7964601769912" style="60"/>
    <col min="8" max="8" width="9.02654867256637" style="61"/>
  </cols>
  <sheetData>
    <row r="1" spans="1:5">
      <c r="A1" s="62" t="s">
        <v>24</v>
      </c>
      <c r="B1" s="62"/>
      <c r="C1" s="62"/>
      <c r="D1" s="62"/>
      <c r="E1" s="62"/>
    </row>
    <row r="2" spans="1:8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s="60" t="s">
        <v>31</v>
      </c>
      <c r="H2" s="61" t="s">
        <v>32</v>
      </c>
    </row>
    <row r="3" spans="1:8">
      <c r="A3">
        <v>1</v>
      </c>
      <c r="B3" s="35" t="s">
        <v>33</v>
      </c>
      <c r="C3">
        <v>95</v>
      </c>
      <c r="D3">
        <v>89</v>
      </c>
      <c r="E3">
        <v>90</v>
      </c>
      <c r="F3">
        <f>SUM(Smith1)</f>
        <v>274</v>
      </c>
      <c r="G3" s="60">
        <f>AVERAGE(C3:E3)</f>
        <v>91.3333333333333</v>
      </c>
      <c r="H3" s="61" t="str">
        <f>IF(G3&lt;50,"D",IF(G3&lt;=60,"C",IF(G3&lt;=70,"B",IF(G3&lt;=80,"A","A+"))))</f>
        <v>A+</v>
      </c>
    </row>
    <row r="4" spans="1:8">
      <c r="A4">
        <v>2</v>
      </c>
      <c r="B4" s="37" t="s">
        <v>34</v>
      </c>
      <c r="C4">
        <v>67</v>
      </c>
      <c r="D4">
        <v>64</v>
      </c>
      <c r="E4">
        <v>61</v>
      </c>
      <c r="F4">
        <f>SUM(C4:E4)</f>
        <v>192</v>
      </c>
      <c r="G4" s="60">
        <f t="shared" ref="G4:G22" si="0">AVERAGE(C4:E4)</f>
        <v>64</v>
      </c>
      <c r="H4" s="61" t="str">
        <f>IF(G4&lt;50,"D",IF(G4&lt;=60,"C",IF(G4&lt;=70,"B",IF(G4&lt;=80,"A","A+"))))</f>
        <v>B</v>
      </c>
    </row>
    <row r="5" spans="1:8">
      <c r="A5">
        <v>3</v>
      </c>
      <c r="B5" s="35" t="s">
        <v>35</v>
      </c>
      <c r="C5">
        <v>86</v>
      </c>
      <c r="D5">
        <v>80</v>
      </c>
      <c r="E5">
        <v>76</v>
      </c>
      <c r="F5">
        <f t="shared" ref="F5:F22" si="1">SUM(C5:E5)</f>
        <v>242</v>
      </c>
      <c r="G5" s="60">
        <f t="shared" si="0"/>
        <v>80.6666666666667</v>
      </c>
      <c r="H5" s="61" t="str">
        <f t="shared" ref="H4:H22" si="2">IF(G5&lt;50,"D",IF(G5&lt;=60,"C",IF(G5&lt;=70,"B",IF(G5&lt;=80,"A","A+"))))</f>
        <v>A+</v>
      </c>
    </row>
    <row r="6" spans="1:8">
      <c r="A6">
        <v>4</v>
      </c>
      <c r="B6" s="35" t="s">
        <v>36</v>
      </c>
      <c r="C6">
        <v>45</v>
      </c>
      <c r="D6">
        <v>35</v>
      </c>
      <c r="E6">
        <v>50</v>
      </c>
      <c r="F6">
        <f t="shared" si="1"/>
        <v>130</v>
      </c>
      <c r="G6" s="60">
        <f t="shared" si="0"/>
        <v>43.3333333333333</v>
      </c>
      <c r="H6" s="61" t="str">
        <f t="shared" si="2"/>
        <v>D</v>
      </c>
    </row>
    <row r="7" spans="1:8">
      <c r="A7">
        <v>5</v>
      </c>
      <c r="B7" s="35" t="s">
        <v>37</v>
      </c>
      <c r="C7">
        <v>45</v>
      </c>
      <c r="D7">
        <v>65</v>
      </c>
      <c r="E7">
        <v>82</v>
      </c>
      <c r="F7">
        <f t="shared" si="1"/>
        <v>192</v>
      </c>
      <c r="G7" s="60">
        <f t="shared" si="0"/>
        <v>64</v>
      </c>
      <c r="H7" s="61" t="str">
        <f t="shared" si="2"/>
        <v>B</v>
      </c>
    </row>
    <row r="8" spans="1:8">
      <c r="A8">
        <v>6</v>
      </c>
      <c r="B8" s="35" t="s">
        <v>38</v>
      </c>
      <c r="C8">
        <v>78</v>
      </c>
      <c r="D8">
        <v>78</v>
      </c>
      <c r="E8">
        <v>72</v>
      </c>
      <c r="F8">
        <f t="shared" si="1"/>
        <v>228</v>
      </c>
      <c r="G8" s="60">
        <f t="shared" si="0"/>
        <v>76</v>
      </c>
      <c r="H8" s="61" t="str">
        <f t="shared" si="2"/>
        <v>A</v>
      </c>
    </row>
    <row r="9" spans="1:8">
      <c r="A9">
        <v>7</v>
      </c>
      <c r="B9" s="37" t="s">
        <v>39</v>
      </c>
      <c r="C9">
        <v>67</v>
      </c>
      <c r="D9">
        <v>23</v>
      </c>
      <c r="E9">
        <v>95</v>
      </c>
      <c r="F9">
        <f t="shared" si="1"/>
        <v>185</v>
      </c>
      <c r="G9" s="60">
        <f t="shared" si="0"/>
        <v>61.6666666666667</v>
      </c>
      <c r="H9" s="61" t="str">
        <f t="shared" si="2"/>
        <v>B</v>
      </c>
    </row>
    <row r="10" spans="1:8">
      <c r="A10">
        <v>8</v>
      </c>
      <c r="B10" s="35" t="s">
        <v>40</v>
      </c>
      <c r="C10">
        <v>97</v>
      </c>
      <c r="D10">
        <v>54</v>
      </c>
      <c r="E10">
        <v>60</v>
      </c>
      <c r="F10">
        <f t="shared" si="1"/>
        <v>211</v>
      </c>
      <c r="G10" s="60">
        <f t="shared" si="0"/>
        <v>70.3333333333333</v>
      </c>
      <c r="H10" s="61" t="str">
        <f t="shared" si="2"/>
        <v>A</v>
      </c>
    </row>
    <row r="11" spans="1:8">
      <c r="A11">
        <v>9</v>
      </c>
      <c r="B11" s="35" t="s">
        <v>41</v>
      </c>
      <c r="C11">
        <v>88</v>
      </c>
      <c r="D11">
        <v>89</v>
      </c>
      <c r="E11">
        <v>27</v>
      </c>
      <c r="F11">
        <f t="shared" si="1"/>
        <v>204</v>
      </c>
      <c r="G11" s="60">
        <f t="shared" si="0"/>
        <v>68</v>
      </c>
      <c r="H11" s="61" t="str">
        <f t="shared" si="2"/>
        <v>B</v>
      </c>
    </row>
    <row r="12" spans="1:8">
      <c r="A12">
        <v>10</v>
      </c>
      <c r="B12" s="35" t="s">
        <v>34</v>
      </c>
      <c r="C12">
        <v>87</v>
      </c>
      <c r="D12">
        <v>79</v>
      </c>
      <c r="E12">
        <v>85</v>
      </c>
      <c r="F12">
        <f t="shared" si="1"/>
        <v>251</v>
      </c>
      <c r="G12" s="60">
        <f t="shared" si="0"/>
        <v>83.6666666666667</v>
      </c>
      <c r="H12" s="61" t="str">
        <f t="shared" si="2"/>
        <v>A+</v>
      </c>
    </row>
    <row r="13" spans="1:8">
      <c r="A13">
        <v>11</v>
      </c>
      <c r="B13" s="35" t="s">
        <v>42</v>
      </c>
      <c r="C13">
        <v>67</v>
      </c>
      <c r="D13">
        <v>5</v>
      </c>
      <c r="E13">
        <v>65</v>
      </c>
      <c r="F13">
        <f t="shared" si="1"/>
        <v>137</v>
      </c>
      <c r="G13" s="60">
        <f t="shared" si="0"/>
        <v>45.6666666666667</v>
      </c>
      <c r="H13" s="61" t="str">
        <f t="shared" si="2"/>
        <v>D</v>
      </c>
    </row>
    <row r="14" spans="1:8">
      <c r="A14">
        <v>12</v>
      </c>
      <c r="B14" s="37" t="s">
        <v>34</v>
      </c>
      <c r="C14">
        <v>87</v>
      </c>
      <c r="D14">
        <v>67</v>
      </c>
      <c r="E14">
        <v>83</v>
      </c>
      <c r="F14">
        <f t="shared" si="1"/>
        <v>237</v>
      </c>
      <c r="G14" s="60">
        <f t="shared" si="0"/>
        <v>79</v>
      </c>
      <c r="H14" s="61" t="str">
        <f t="shared" si="2"/>
        <v>A</v>
      </c>
    </row>
    <row r="15" spans="1:8">
      <c r="A15">
        <v>13</v>
      </c>
      <c r="B15" s="35" t="s">
        <v>43</v>
      </c>
      <c r="C15">
        <v>95</v>
      </c>
      <c r="D15">
        <v>43</v>
      </c>
      <c r="E15">
        <v>94</v>
      </c>
      <c r="F15">
        <f t="shared" si="1"/>
        <v>232</v>
      </c>
      <c r="G15" s="60">
        <f t="shared" si="0"/>
        <v>77.3333333333333</v>
      </c>
      <c r="H15" s="61" t="str">
        <f t="shared" si="2"/>
        <v>A</v>
      </c>
    </row>
    <row r="16" spans="1:8">
      <c r="A16">
        <v>14</v>
      </c>
      <c r="B16" s="35" t="s">
        <v>44</v>
      </c>
      <c r="C16">
        <v>97</v>
      </c>
      <c r="D16">
        <v>56</v>
      </c>
      <c r="E16">
        <v>75</v>
      </c>
      <c r="F16">
        <f t="shared" si="1"/>
        <v>228</v>
      </c>
      <c r="G16" s="60">
        <f t="shared" si="0"/>
        <v>76</v>
      </c>
      <c r="H16" s="61" t="str">
        <f t="shared" si="2"/>
        <v>A</v>
      </c>
    </row>
    <row r="17" spans="1:8">
      <c r="A17">
        <v>15</v>
      </c>
      <c r="B17" s="37" t="s">
        <v>39</v>
      </c>
      <c r="C17">
        <v>67</v>
      </c>
      <c r="D17">
        <v>24</v>
      </c>
      <c r="E17">
        <v>90</v>
      </c>
      <c r="F17">
        <f t="shared" si="1"/>
        <v>181</v>
      </c>
      <c r="G17" s="60">
        <f t="shared" si="0"/>
        <v>60.3333333333333</v>
      </c>
      <c r="H17" s="61" t="str">
        <f t="shared" si="2"/>
        <v>B</v>
      </c>
    </row>
    <row r="18" spans="1:8">
      <c r="A18">
        <v>16</v>
      </c>
      <c r="B18" s="35" t="s">
        <v>45</v>
      </c>
      <c r="C18">
        <v>89</v>
      </c>
      <c r="D18">
        <v>63</v>
      </c>
      <c r="E18">
        <v>75</v>
      </c>
      <c r="F18">
        <f t="shared" si="1"/>
        <v>227</v>
      </c>
      <c r="G18" s="60">
        <f t="shared" si="0"/>
        <v>75.6666666666667</v>
      </c>
      <c r="H18" s="61" t="str">
        <f t="shared" si="2"/>
        <v>A</v>
      </c>
    </row>
    <row r="19" spans="1:8">
      <c r="A19">
        <v>17</v>
      </c>
      <c r="B19" s="35" t="s">
        <v>46</v>
      </c>
      <c r="C19">
        <v>67</v>
      </c>
      <c r="D19">
        <v>73</v>
      </c>
      <c r="E19">
        <v>95</v>
      </c>
      <c r="F19">
        <f t="shared" si="1"/>
        <v>235</v>
      </c>
      <c r="G19" s="60">
        <f t="shared" si="0"/>
        <v>78.3333333333333</v>
      </c>
      <c r="H19" s="61" t="str">
        <f t="shared" si="2"/>
        <v>A</v>
      </c>
    </row>
    <row r="20" spans="1:8">
      <c r="A20">
        <v>18</v>
      </c>
      <c r="B20" s="35" t="s">
        <v>37</v>
      </c>
      <c r="C20">
        <v>54</v>
      </c>
      <c r="D20">
        <v>83</v>
      </c>
      <c r="E20">
        <v>78</v>
      </c>
      <c r="F20">
        <f t="shared" si="1"/>
        <v>215</v>
      </c>
      <c r="G20" s="60">
        <f t="shared" si="0"/>
        <v>71.6666666666667</v>
      </c>
      <c r="H20" s="61" t="str">
        <f t="shared" si="2"/>
        <v>A</v>
      </c>
    </row>
    <row r="21" spans="1:8">
      <c r="A21">
        <v>19</v>
      </c>
      <c r="B21" s="35" t="s">
        <v>47</v>
      </c>
      <c r="C21">
        <v>67</v>
      </c>
      <c r="D21">
        <v>78</v>
      </c>
      <c r="E21">
        <v>76</v>
      </c>
      <c r="F21">
        <f t="shared" si="1"/>
        <v>221</v>
      </c>
      <c r="G21" s="60">
        <f t="shared" si="0"/>
        <v>73.6666666666667</v>
      </c>
      <c r="H21" s="61" t="str">
        <f t="shared" si="2"/>
        <v>A</v>
      </c>
    </row>
    <row r="22" spans="1:8">
      <c r="A22">
        <v>20</v>
      </c>
      <c r="B22" t="s">
        <v>48</v>
      </c>
      <c r="C22">
        <v>87</v>
      </c>
      <c r="D22">
        <v>97</v>
      </c>
      <c r="E22">
        <v>56</v>
      </c>
      <c r="F22">
        <f t="shared" si="1"/>
        <v>240</v>
      </c>
      <c r="G22" s="60">
        <f t="shared" si="0"/>
        <v>80</v>
      </c>
      <c r="H22" s="61" t="str">
        <f t="shared" si="2"/>
        <v>A</v>
      </c>
    </row>
    <row r="48" spans="8:8">
      <c r="H48"/>
    </row>
    <row r="49" spans="2:8">
      <c r="B49" s="35"/>
      <c r="H49" s="35"/>
    </row>
    <row r="50" spans="2:8">
      <c r="B50" s="37"/>
      <c r="H50" s="37"/>
    </row>
    <row r="51" spans="2:8">
      <c r="B51" s="35"/>
      <c r="H51" s="35"/>
    </row>
    <row r="52" spans="2:8">
      <c r="B52" s="35"/>
      <c r="H52" s="35"/>
    </row>
    <row r="53" spans="2:8">
      <c r="B53" s="35"/>
      <c r="H53" s="35"/>
    </row>
    <row r="54" spans="2:8">
      <c r="B54" s="35"/>
      <c r="H54" s="35"/>
    </row>
    <row r="55" spans="2:8">
      <c r="B55" s="37"/>
      <c r="H55" s="37"/>
    </row>
    <row r="56" spans="2:8">
      <c r="B56" s="35"/>
      <c r="H56" s="35"/>
    </row>
    <row r="57" spans="2:8">
      <c r="B57" s="35"/>
      <c r="H57" s="35"/>
    </row>
    <row r="58" spans="2:8">
      <c r="B58" s="35"/>
      <c r="H58" s="35"/>
    </row>
    <row r="59" spans="2:8">
      <c r="B59" s="35"/>
      <c r="H59" s="35"/>
    </row>
    <row r="60" spans="2:8">
      <c r="B60" s="37"/>
      <c r="H60" s="37"/>
    </row>
    <row r="61" spans="2:8">
      <c r="B61" s="35"/>
      <c r="H61" s="35"/>
    </row>
    <row r="62" spans="2:8">
      <c r="B62" s="35"/>
      <c r="H62" s="35"/>
    </row>
    <row r="63" spans="2:8">
      <c r="B63" s="37"/>
      <c r="H63" s="37"/>
    </row>
    <row r="64" spans="2:8">
      <c r="B64" s="35"/>
      <c r="H64" s="35"/>
    </row>
    <row r="65" spans="2:8">
      <c r="B65" s="35"/>
      <c r="H65" s="35"/>
    </row>
    <row r="66" spans="2:8">
      <c r="B66" s="35"/>
      <c r="H66" s="35"/>
    </row>
    <row r="67" spans="2:8">
      <c r="B67" s="35"/>
      <c r="H67" s="35"/>
    </row>
    <row r="68" spans="8:8">
      <c r="H68"/>
    </row>
  </sheetData>
  <mergeCells count="1">
    <mergeCell ref="A1:E1"/>
  </mergeCells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workbookViewId="0">
      <selection activeCell="J14" sqref="J14"/>
    </sheetView>
  </sheetViews>
  <sheetFormatPr defaultColWidth="9.02654867256637" defaultRowHeight="14.25" outlineLevelCol="6"/>
  <cols>
    <col min="1" max="1" width="13.8761061946903" customWidth="1"/>
    <col min="2" max="2" width="17.1238938053097" customWidth="1"/>
    <col min="3" max="3" width="20.1150442477876" customWidth="1"/>
    <col min="6" max="6" width="9.53097345132743"/>
  </cols>
  <sheetData>
    <row r="1" spans="1:1">
      <c r="A1" s="30" t="s">
        <v>49</v>
      </c>
    </row>
    <row r="2" spans="1:7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4</v>
      </c>
    </row>
    <row r="3" spans="1:7">
      <c r="A3" t="s">
        <v>56</v>
      </c>
      <c r="B3" s="31" t="s">
        <v>57</v>
      </c>
      <c r="C3" s="31" t="s">
        <v>58</v>
      </c>
      <c r="D3" t="s">
        <v>59</v>
      </c>
      <c r="E3" s="31">
        <v>29</v>
      </c>
      <c r="F3" s="47">
        <v>55.99</v>
      </c>
      <c r="G3">
        <f>E3*F3</f>
        <v>1623.71</v>
      </c>
    </row>
    <row r="4" spans="1:7">
      <c r="A4" t="s">
        <v>60</v>
      </c>
      <c r="B4" s="31" t="s">
        <v>57</v>
      </c>
      <c r="C4" s="31" t="s">
        <v>61</v>
      </c>
      <c r="D4" t="s">
        <v>62</v>
      </c>
      <c r="E4" s="31">
        <v>23</v>
      </c>
      <c r="F4" s="47">
        <v>65.99</v>
      </c>
      <c r="G4">
        <f t="shared" ref="G4:G16" si="0">E4*F4</f>
        <v>1517.77</v>
      </c>
    </row>
    <row r="5" spans="1:7">
      <c r="A5" t="s">
        <v>63</v>
      </c>
      <c r="B5" s="31" t="s">
        <v>64</v>
      </c>
      <c r="C5" s="31" t="s">
        <v>65</v>
      </c>
      <c r="D5" t="s">
        <v>66</v>
      </c>
      <c r="E5" s="31">
        <v>27</v>
      </c>
      <c r="F5" s="47">
        <v>1215.79</v>
      </c>
      <c r="G5">
        <f t="shared" si="0"/>
        <v>32826.33</v>
      </c>
    </row>
    <row r="6" spans="1:7">
      <c r="A6" t="s">
        <v>67</v>
      </c>
      <c r="B6" s="31" t="s">
        <v>64</v>
      </c>
      <c r="C6" s="31" t="s">
        <v>68</v>
      </c>
      <c r="D6" t="s">
        <v>62</v>
      </c>
      <c r="E6" s="31">
        <v>30</v>
      </c>
      <c r="F6" s="47">
        <v>107.53</v>
      </c>
      <c r="G6">
        <f t="shared" si="0"/>
        <v>3225.9</v>
      </c>
    </row>
    <row r="7" spans="1:7">
      <c r="A7" t="s">
        <v>69</v>
      </c>
      <c r="B7" s="31" t="s">
        <v>70</v>
      </c>
      <c r="C7" s="31" t="s">
        <v>71</v>
      </c>
      <c r="D7" t="s">
        <v>62</v>
      </c>
      <c r="E7" s="31">
        <v>11</v>
      </c>
      <c r="F7" s="47">
        <v>70.89</v>
      </c>
      <c r="G7">
        <f t="shared" si="0"/>
        <v>779.79</v>
      </c>
    </row>
    <row r="8" spans="1:7">
      <c r="A8" t="s">
        <v>72</v>
      </c>
      <c r="B8" s="31" t="s">
        <v>70</v>
      </c>
      <c r="C8" s="31" t="s">
        <v>73</v>
      </c>
      <c r="D8" t="s">
        <v>62</v>
      </c>
      <c r="E8" s="31">
        <v>25</v>
      </c>
      <c r="F8" s="47">
        <v>79</v>
      </c>
      <c r="G8">
        <f t="shared" si="0"/>
        <v>1975</v>
      </c>
    </row>
    <row r="9" spans="1:7">
      <c r="A9" t="s">
        <v>74</v>
      </c>
      <c r="B9" s="31" t="s">
        <v>57</v>
      </c>
      <c r="C9" s="31" t="s">
        <v>75</v>
      </c>
      <c r="D9" t="s">
        <v>76</v>
      </c>
      <c r="E9" s="31">
        <v>10</v>
      </c>
      <c r="F9" s="47">
        <v>18.97</v>
      </c>
      <c r="G9">
        <f>E9*F10</f>
        <v>1509.8</v>
      </c>
    </row>
    <row r="10" spans="1:7">
      <c r="A10" t="s">
        <v>77</v>
      </c>
      <c r="B10" s="31" t="s">
        <v>70</v>
      </c>
      <c r="C10" s="31" t="s">
        <v>78</v>
      </c>
      <c r="D10" t="s">
        <v>79</v>
      </c>
      <c r="E10" s="31">
        <v>14</v>
      </c>
      <c r="F10" s="47">
        <v>150.98</v>
      </c>
      <c r="G10">
        <f>E10*F9</f>
        <v>265.58</v>
      </c>
    </row>
    <row r="11" spans="1:7">
      <c r="A11" t="s">
        <v>80</v>
      </c>
      <c r="B11" s="31" t="s">
        <v>70</v>
      </c>
      <c r="C11" s="31" t="s">
        <v>81</v>
      </c>
      <c r="D11" t="s">
        <v>82</v>
      </c>
      <c r="E11" s="31">
        <v>49</v>
      </c>
      <c r="F11" s="47">
        <v>59.2</v>
      </c>
      <c r="G11">
        <f t="shared" si="0"/>
        <v>2900.8</v>
      </c>
    </row>
    <row r="12" spans="1:7">
      <c r="A12" t="s">
        <v>83</v>
      </c>
      <c r="B12" s="31" t="s">
        <v>70</v>
      </c>
      <c r="C12" s="31" t="s">
        <v>68</v>
      </c>
      <c r="D12" t="s">
        <v>59</v>
      </c>
      <c r="E12">
        <v>50</v>
      </c>
      <c r="F12" s="47">
        <v>150</v>
      </c>
      <c r="G12">
        <f t="shared" si="0"/>
        <v>7500</v>
      </c>
    </row>
    <row r="13" spans="1:7">
      <c r="A13" t="s">
        <v>84</v>
      </c>
      <c r="B13" s="31" t="s">
        <v>64</v>
      </c>
      <c r="C13" s="31" t="s">
        <v>85</v>
      </c>
      <c r="D13" t="s">
        <v>76</v>
      </c>
      <c r="E13">
        <v>65</v>
      </c>
      <c r="F13" s="47">
        <v>330.98</v>
      </c>
      <c r="G13">
        <f t="shared" si="0"/>
        <v>21513.7</v>
      </c>
    </row>
    <row r="14" spans="1:7">
      <c r="A14" t="s">
        <v>86</v>
      </c>
      <c r="B14" s="31" t="s">
        <v>64</v>
      </c>
      <c r="C14" s="31" t="s">
        <v>87</v>
      </c>
      <c r="D14" t="s">
        <v>82</v>
      </c>
      <c r="E14">
        <v>70</v>
      </c>
      <c r="F14" s="47">
        <v>95.99</v>
      </c>
      <c r="G14">
        <f t="shared" si="0"/>
        <v>6719.3</v>
      </c>
    </row>
    <row r="15" spans="1:7">
      <c r="A15" t="s">
        <v>88</v>
      </c>
      <c r="B15" s="31" t="s">
        <v>70</v>
      </c>
      <c r="C15" s="31" t="s">
        <v>89</v>
      </c>
      <c r="D15" t="s">
        <v>76</v>
      </c>
      <c r="E15">
        <v>85</v>
      </c>
      <c r="F15" s="47">
        <v>14.89</v>
      </c>
      <c r="G15">
        <f t="shared" si="0"/>
        <v>1265.65</v>
      </c>
    </row>
    <row r="16" spans="1:7">
      <c r="A16" t="s">
        <v>90</v>
      </c>
      <c r="B16" s="31" t="s">
        <v>70</v>
      </c>
      <c r="C16" s="31" t="s">
        <v>91</v>
      </c>
      <c r="D16" t="s">
        <v>82</v>
      </c>
      <c r="E16">
        <v>100</v>
      </c>
      <c r="F16" s="47">
        <v>65.99</v>
      </c>
      <c r="G16">
        <f t="shared" si="0"/>
        <v>6599</v>
      </c>
    </row>
    <row r="17" spans="6:6">
      <c r="F17" s="47"/>
    </row>
    <row r="19" spans="1:1">
      <c r="A19" s="30" t="s">
        <v>92</v>
      </c>
    </row>
    <row r="20" spans="1:2">
      <c r="A20" s="30" t="s">
        <v>93</v>
      </c>
      <c r="B20" t="s">
        <v>53</v>
      </c>
    </row>
    <row r="21" spans="2:2">
      <c r="B21" t="s">
        <v>62</v>
      </c>
    </row>
    <row r="23" spans="1:6">
      <c r="A23" t="s">
        <v>51</v>
      </c>
      <c r="B23" t="s">
        <v>52</v>
      </c>
      <c r="C23" t="s">
        <v>53</v>
      </c>
      <c r="D23" t="s">
        <v>54</v>
      </c>
      <c r="E23" t="s">
        <v>55</v>
      </c>
      <c r="F23" t="s">
        <v>4</v>
      </c>
    </row>
    <row r="24" spans="1:6">
      <c r="A24" s="31" t="s">
        <v>57</v>
      </c>
      <c r="B24" s="31" t="s">
        <v>61</v>
      </c>
      <c r="C24" t="s">
        <v>62</v>
      </c>
      <c r="D24" s="31">
        <v>23</v>
      </c>
      <c r="E24" s="55">
        <v>65.99</v>
      </c>
      <c r="F24">
        <v>1517.77</v>
      </c>
    </row>
    <row r="25" spans="1:6">
      <c r="A25" s="31" t="s">
        <v>64</v>
      </c>
      <c r="B25" s="31" t="s">
        <v>68</v>
      </c>
      <c r="C25" t="s">
        <v>62</v>
      </c>
      <c r="D25" s="31">
        <v>30</v>
      </c>
      <c r="E25" s="55">
        <v>107.53</v>
      </c>
      <c r="F25">
        <v>3225.9</v>
      </c>
    </row>
    <row r="26" spans="1:6">
      <c r="A26" s="31" t="s">
        <v>70</v>
      </c>
      <c r="B26" s="31" t="s">
        <v>71</v>
      </c>
      <c r="C26" t="s">
        <v>62</v>
      </c>
      <c r="D26" s="31">
        <v>11</v>
      </c>
      <c r="E26" s="55">
        <v>70.89</v>
      </c>
      <c r="F26">
        <v>779.79</v>
      </c>
    </row>
    <row r="27" spans="1:6">
      <c r="A27" s="31" t="s">
        <v>70</v>
      </c>
      <c r="B27" s="31" t="s">
        <v>73</v>
      </c>
      <c r="C27" t="s">
        <v>62</v>
      </c>
      <c r="D27" s="31">
        <v>25</v>
      </c>
      <c r="E27" s="55">
        <v>79</v>
      </c>
      <c r="F27">
        <v>1975</v>
      </c>
    </row>
    <row r="29" spans="1:1">
      <c r="A29" s="30" t="s">
        <v>94</v>
      </c>
    </row>
    <row r="30" spans="1:2">
      <c r="A30" t="s">
        <v>53</v>
      </c>
      <c r="B30" t="s">
        <v>51</v>
      </c>
    </row>
    <row r="31" spans="1:2">
      <c r="A31" t="s">
        <v>82</v>
      </c>
      <c r="B31" t="s">
        <v>70</v>
      </c>
    </row>
    <row r="33" spans="1:7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 t="s">
        <v>55</v>
      </c>
      <c r="G33" t="s">
        <v>4</v>
      </c>
    </row>
    <row r="34" spans="1:7">
      <c r="A34" t="s">
        <v>80</v>
      </c>
      <c r="B34" s="31" t="s">
        <v>70</v>
      </c>
      <c r="C34" s="31" t="s">
        <v>81</v>
      </c>
      <c r="D34" t="s">
        <v>82</v>
      </c>
      <c r="E34" s="31">
        <v>49</v>
      </c>
      <c r="F34" s="55">
        <v>59.2</v>
      </c>
      <c r="G34">
        <v>2900.8</v>
      </c>
    </row>
    <row r="35" spans="1:7">
      <c r="A35" t="s">
        <v>90</v>
      </c>
      <c r="B35" s="31" t="s">
        <v>70</v>
      </c>
      <c r="C35" s="31" t="s">
        <v>91</v>
      </c>
      <c r="D35" t="s">
        <v>82</v>
      </c>
      <c r="E35">
        <v>100</v>
      </c>
      <c r="F35" s="55">
        <v>65.99</v>
      </c>
      <c r="G35">
        <v>6599</v>
      </c>
    </row>
    <row r="38" spans="1:1">
      <c r="A38" s="30" t="s">
        <v>95</v>
      </c>
    </row>
    <row r="40" spans="1:6">
      <c r="A40" t="s">
        <v>51</v>
      </c>
      <c r="B40" t="s">
        <v>52</v>
      </c>
      <c r="C40" t="s">
        <v>53</v>
      </c>
      <c r="D40" t="s">
        <v>54</v>
      </c>
      <c r="E40" t="s">
        <v>55</v>
      </c>
      <c r="F40" t="s">
        <v>4</v>
      </c>
    </row>
    <row r="41" spans="1:6">
      <c r="A41" s="56" t="s">
        <v>64</v>
      </c>
      <c r="B41" s="56" t="s">
        <v>68</v>
      </c>
      <c r="C41" s="57" t="s">
        <v>62</v>
      </c>
      <c r="D41" s="56">
        <v>30</v>
      </c>
      <c r="E41" s="47">
        <v>107.53</v>
      </c>
      <c r="F41" s="57">
        <f t="shared" ref="F41:F46" si="1">D41*E41</f>
        <v>3225.9</v>
      </c>
    </row>
    <row r="42" spans="1:6">
      <c r="A42" s="56" t="s">
        <v>64</v>
      </c>
      <c r="B42" s="56" t="s">
        <v>65</v>
      </c>
      <c r="C42" s="57" t="s">
        <v>66</v>
      </c>
      <c r="D42" s="56">
        <v>27</v>
      </c>
      <c r="E42" s="47">
        <v>1215.79</v>
      </c>
      <c r="F42" s="57">
        <f t="shared" si="1"/>
        <v>32826.33</v>
      </c>
    </row>
    <row r="43" spans="1:6">
      <c r="A43" s="56" t="s">
        <v>64</v>
      </c>
      <c r="B43" s="56" t="s">
        <v>87</v>
      </c>
      <c r="C43" s="57" t="s">
        <v>82</v>
      </c>
      <c r="D43" s="57">
        <v>70</v>
      </c>
      <c r="E43" s="47">
        <v>95.99</v>
      </c>
      <c r="F43" s="57">
        <f t="shared" si="1"/>
        <v>6719.3</v>
      </c>
    </row>
    <row r="44" spans="1:6">
      <c r="A44" s="56" t="s">
        <v>64</v>
      </c>
      <c r="B44" s="56" t="s">
        <v>85</v>
      </c>
      <c r="C44" s="57" t="s">
        <v>76</v>
      </c>
      <c r="D44" s="57">
        <v>65</v>
      </c>
      <c r="E44" s="47">
        <v>330.98</v>
      </c>
      <c r="F44" s="57">
        <f t="shared" si="1"/>
        <v>21513.7</v>
      </c>
    </row>
    <row r="45" spans="1:6">
      <c r="A45" s="56" t="s">
        <v>57</v>
      </c>
      <c r="B45" s="56" t="s">
        <v>61</v>
      </c>
      <c r="C45" s="57" t="s">
        <v>62</v>
      </c>
      <c r="D45" s="56">
        <v>23</v>
      </c>
      <c r="E45" s="47">
        <v>65.99</v>
      </c>
      <c r="F45" s="57">
        <f t="shared" si="1"/>
        <v>1517.77</v>
      </c>
    </row>
    <row r="46" spans="1:6">
      <c r="A46" s="56" t="s">
        <v>57</v>
      </c>
      <c r="B46" s="56" t="s">
        <v>58</v>
      </c>
      <c r="C46" s="57" t="s">
        <v>59</v>
      </c>
      <c r="D46" s="56">
        <v>29</v>
      </c>
      <c r="E46" s="47">
        <v>55.99</v>
      </c>
      <c r="F46" s="57">
        <f t="shared" si="1"/>
        <v>1623.71</v>
      </c>
    </row>
    <row r="47" spans="1:6">
      <c r="A47" s="31" t="s">
        <v>57</v>
      </c>
      <c r="B47" s="31" t="s">
        <v>75</v>
      </c>
      <c r="C47" t="s">
        <v>76</v>
      </c>
      <c r="D47" s="31">
        <v>10</v>
      </c>
      <c r="E47" s="47">
        <v>18.97</v>
      </c>
      <c r="F47">
        <f>D47*E48</f>
        <v>708.9</v>
      </c>
    </row>
    <row r="48" spans="1:6">
      <c r="A48" s="56" t="s">
        <v>70</v>
      </c>
      <c r="B48" s="56" t="s">
        <v>71</v>
      </c>
      <c r="C48" s="57" t="s">
        <v>62</v>
      </c>
      <c r="D48" s="56">
        <v>11</v>
      </c>
      <c r="E48" s="47">
        <v>70.89</v>
      </c>
      <c r="F48" s="57">
        <f>D48*E48</f>
        <v>779.79</v>
      </c>
    </row>
    <row r="49" spans="1:6">
      <c r="A49" s="56" t="s">
        <v>70</v>
      </c>
      <c r="B49" s="56" t="s">
        <v>73</v>
      </c>
      <c r="C49" s="57" t="s">
        <v>62</v>
      </c>
      <c r="D49" s="56">
        <v>25</v>
      </c>
      <c r="E49" s="47">
        <v>79</v>
      </c>
      <c r="F49" s="57">
        <f>D49*E49</f>
        <v>1975</v>
      </c>
    </row>
    <row r="50" spans="1:6">
      <c r="A50" s="56" t="s">
        <v>70</v>
      </c>
      <c r="B50" s="56" t="s">
        <v>78</v>
      </c>
      <c r="C50" s="57" t="s">
        <v>79</v>
      </c>
      <c r="D50" s="56">
        <v>14</v>
      </c>
      <c r="E50" s="47">
        <v>150.98</v>
      </c>
      <c r="F50" s="57">
        <f>D50*E49</f>
        <v>1106</v>
      </c>
    </row>
    <row r="51" spans="1:6">
      <c r="A51" s="56" t="s">
        <v>70</v>
      </c>
      <c r="B51" s="56" t="s">
        <v>81</v>
      </c>
      <c r="C51" s="57" t="s">
        <v>82</v>
      </c>
      <c r="D51" s="56">
        <v>49</v>
      </c>
      <c r="E51" s="47">
        <v>59.2</v>
      </c>
      <c r="F51" s="57">
        <f>D51*E51</f>
        <v>2900.8</v>
      </c>
    </row>
    <row r="52" spans="1:6">
      <c r="A52" s="56" t="s">
        <v>70</v>
      </c>
      <c r="B52" s="56" t="s">
        <v>91</v>
      </c>
      <c r="C52" s="57" t="s">
        <v>82</v>
      </c>
      <c r="D52" s="57">
        <v>100</v>
      </c>
      <c r="E52" s="47">
        <v>65.99</v>
      </c>
      <c r="F52" s="57">
        <f>D52*E52</f>
        <v>6599</v>
      </c>
    </row>
    <row r="53" spans="1:6">
      <c r="A53" s="56" t="s">
        <v>70</v>
      </c>
      <c r="B53" s="56" t="s">
        <v>68</v>
      </c>
      <c r="C53" s="57" t="s">
        <v>59</v>
      </c>
      <c r="D53" s="57">
        <v>50</v>
      </c>
      <c r="E53" s="47">
        <v>150</v>
      </c>
      <c r="F53" s="57">
        <f>D53*E53</f>
        <v>7500</v>
      </c>
    </row>
    <row r="54" spans="1:6">
      <c r="A54" s="56" t="s">
        <v>70</v>
      </c>
      <c r="B54" s="56" t="s">
        <v>89</v>
      </c>
      <c r="C54" s="57" t="s">
        <v>76</v>
      </c>
      <c r="D54" s="57">
        <v>85</v>
      </c>
      <c r="E54" s="47">
        <v>14.89</v>
      </c>
      <c r="F54" s="57">
        <f>D54*E54</f>
        <v>1265.65</v>
      </c>
    </row>
    <row r="57" spans="1:1">
      <c r="A57" s="30" t="s">
        <v>96</v>
      </c>
    </row>
    <row r="59" spans="1:6">
      <c r="A59" t="s">
        <v>51</v>
      </c>
      <c r="B59" t="s">
        <v>52</v>
      </c>
      <c r="C59" t="s">
        <v>53</v>
      </c>
      <c r="D59" t="s">
        <v>54</v>
      </c>
      <c r="E59" t="s">
        <v>55</v>
      </c>
      <c r="F59" t="s">
        <v>4</v>
      </c>
    </row>
    <row r="60" outlineLevel="2" spans="1:6">
      <c r="A60" s="56" t="s">
        <v>64</v>
      </c>
      <c r="B60" s="56" t="s">
        <v>68</v>
      </c>
      <c r="C60" s="57" t="s">
        <v>62</v>
      </c>
      <c r="D60" s="56">
        <v>30</v>
      </c>
      <c r="E60" s="47">
        <v>107.53</v>
      </c>
      <c r="F60" s="57">
        <f>D60*E60</f>
        <v>3225.9</v>
      </c>
    </row>
    <row r="61" outlineLevel="2" spans="1:6">
      <c r="A61" s="56" t="s">
        <v>64</v>
      </c>
      <c r="B61" s="56" t="s">
        <v>65</v>
      </c>
      <c r="C61" s="57" t="s">
        <v>66</v>
      </c>
      <c r="D61" s="56">
        <v>27</v>
      </c>
      <c r="E61" s="47">
        <v>1215.79</v>
      </c>
      <c r="F61" s="57">
        <f>D61*E61</f>
        <v>32826.33</v>
      </c>
    </row>
    <row r="62" outlineLevel="2" spans="1:6">
      <c r="A62" s="56" t="s">
        <v>64</v>
      </c>
      <c r="B62" s="56" t="s">
        <v>87</v>
      </c>
      <c r="C62" s="57" t="s">
        <v>82</v>
      </c>
      <c r="D62" s="57">
        <v>70</v>
      </c>
      <c r="E62" s="47">
        <v>95.99</v>
      </c>
      <c r="F62" s="57">
        <f>D62*E62</f>
        <v>6719.3</v>
      </c>
    </row>
    <row r="63" outlineLevel="2" spans="1:6">
      <c r="A63" s="56" t="s">
        <v>64</v>
      </c>
      <c r="B63" s="56" t="s">
        <v>85</v>
      </c>
      <c r="C63" s="57" t="s">
        <v>76</v>
      </c>
      <c r="D63" s="57">
        <v>65</v>
      </c>
      <c r="E63" s="47">
        <v>330.98</v>
      </c>
      <c r="F63" s="57">
        <f>D63*E63</f>
        <v>21513.7</v>
      </c>
    </row>
    <row r="64" outlineLevel="1" spans="1:6">
      <c r="A64" s="58" t="s">
        <v>97</v>
      </c>
      <c r="B64" s="56"/>
      <c r="C64" s="57"/>
      <c r="D64" s="57"/>
      <c r="E64" s="47"/>
      <c r="F64" s="57">
        <f>SUBTOTAL(9,F60:F63)</f>
        <v>64285.23</v>
      </c>
    </row>
    <row r="65" outlineLevel="2" spans="1:6">
      <c r="A65" s="56" t="s">
        <v>57</v>
      </c>
      <c r="B65" s="56" t="s">
        <v>61</v>
      </c>
      <c r="C65" s="57" t="s">
        <v>62</v>
      </c>
      <c r="D65" s="56">
        <v>23</v>
      </c>
      <c r="E65" s="47">
        <v>65.99</v>
      </c>
      <c r="F65" s="57">
        <f>D65*E65</f>
        <v>1517.77</v>
      </c>
    </row>
    <row r="66" outlineLevel="2" spans="1:6">
      <c r="A66" s="56" t="s">
        <v>57</v>
      </c>
      <c r="B66" s="56" t="s">
        <v>58</v>
      </c>
      <c r="C66" s="57" t="s">
        <v>59</v>
      </c>
      <c r="D66" s="56">
        <v>29</v>
      </c>
      <c r="E66" s="47">
        <v>55.99</v>
      </c>
      <c r="F66" s="57">
        <f>D66*E66</f>
        <v>1623.71</v>
      </c>
    </row>
    <row r="67" outlineLevel="2" spans="1:6">
      <c r="A67" s="31" t="s">
        <v>57</v>
      </c>
      <c r="B67" s="31" t="s">
        <v>75</v>
      </c>
      <c r="C67" t="s">
        <v>76</v>
      </c>
      <c r="D67" s="31">
        <v>10</v>
      </c>
      <c r="E67" s="47">
        <v>18.97</v>
      </c>
      <c r="F67">
        <f>D67*E69</f>
        <v>708.9</v>
      </c>
    </row>
    <row r="68" outlineLevel="1" spans="1:6">
      <c r="A68" s="59" t="s">
        <v>98</v>
      </c>
      <c r="B68" s="31"/>
      <c r="D68" s="31"/>
      <c r="E68" s="47"/>
      <c r="F68">
        <f>SUBTOTAL(9,F65:F67)</f>
        <v>3850.38</v>
      </c>
    </row>
    <row r="69" outlineLevel="2" spans="1:6">
      <c r="A69" s="56" t="s">
        <v>70</v>
      </c>
      <c r="B69" s="56" t="s">
        <v>71</v>
      </c>
      <c r="C69" s="57" t="s">
        <v>62</v>
      </c>
      <c r="D69" s="56">
        <v>11</v>
      </c>
      <c r="E69" s="47">
        <v>70.89</v>
      </c>
      <c r="F69" s="57">
        <f t="shared" ref="F69:F75" si="2">D69*E69</f>
        <v>779.79</v>
      </c>
    </row>
    <row r="70" outlineLevel="2" spans="1:6">
      <c r="A70" s="56" t="s">
        <v>70</v>
      </c>
      <c r="B70" s="56" t="s">
        <v>73</v>
      </c>
      <c r="C70" s="57" t="s">
        <v>62</v>
      </c>
      <c r="D70" s="56">
        <v>25</v>
      </c>
      <c r="E70" s="47">
        <v>79</v>
      </c>
      <c r="F70" s="57">
        <f t="shared" si="2"/>
        <v>1975</v>
      </c>
    </row>
    <row r="71" outlineLevel="2" spans="1:6">
      <c r="A71" s="56" t="s">
        <v>70</v>
      </c>
      <c r="B71" s="56" t="s">
        <v>78</v>
      </c>
      <c r="C71" s="57" t="s">
        <v>79</v>
      </c>
      <c r="D71" s="56">
        <v>14</v>
      </c>
      <c r="E71" s="47">
        <v>150.98</v>
      </c>
      <c r="F71" s="57">
        <f>D71*E70</f>
        <v>1106</v>
      </c>
    </row>
    <row r="72" outlineLevel="2" spans="1:6">
      <c r="A72" s="56" t="s">
        <v>70</v>
      </c>
      <c r="B72" s="56" t="s">
        <v>81</v>
      </c>
      <c r="C72" s="57" t="s">
        <v>82</v>
      </c>
      <c r="D72" s="56">
        <v>49</v>
      </c>
      <c r="E72" s="47">
        <v>59.2</v>
      </c>
      <c r="F72" s="57">
        <f t="shared" si="2"/>
        <v>2900.8</v>
      </c>
    </row>
    <row r="73" outlineLevel="2" spans="1:6">
      <c r="A73" s="56" t="s">
        <v>70</v>
      </c>
      <c r="B73" s="56" t="s">
        <v>91</v>
      </c>
      <c r="C73" s="57" t="s">
        <v>82</v>
      </c>
      <c r="D73" s="57">
        <v>100</v>
      </c>
      <c r="E73" s="47">
        <v>65.99</v>
      </c>
      <c r="F73" s="57">
        <f t="shared" si="2"/>
        <v>6599</v>
      </c>
    </row>
    <row r="74" outlineLevel="2" spans="1:6">
      <c r="A74" s="56" t="s">
        <v>70</v>
      </c>
      <c r="B74" s="56" t="s">
        <v>68</v>
      </c>
      <c r="C74" s="57" t="s">
        <v>59</v>
      </c>
      <c r="D74" s="57">
        <v>50</v>
      </c>
      <c r="E74" s="47">
        <v>150</v>
      </c>
      <c r="F74" s="57">
        <f t="shared" si="2"/>
        <v>7500</v>
      </c>
    </row>
    <row r="75" outlineLevel="2" spans="1:6">
      <c r="A75" s="56" t="s">
        <v>70</v>
      </c>
      <c r="B75" s="56" t="s">
        <v>89</v>
      </c>
      <c r="C75" s="57" t="s">
        <v>76</v>
      </c>
      <c r="D75" s="57">
        <v>85</v>
      </c>
      <c r="E75" s="47">
        <v>14.89</v>
      </c>
      <c r="F75" s="57">
        <f t="shared" si="2"/>
        <v>1265.65</v>
      </c>
    </row>
    <row r="76" outlineLevel="1" spans="1:6">
      <c r="A76" s="58" t="s">
        <v>99</v>
      </c>
      <c r="B76" s="56"/>
      <c r="C76" s="57"/>
      <c r="D76" s="57"/>
      <c r="E76" s="47"/>
      <c r="F76" s="57">
        <f>SUBTOTAL(9,F69:F75)</f>
        <v>22126.24</v>
      </c>
    </row>
    <row r="77" spans="1:6">
      <c r="A77" s="58" t="s">
        <v>100</v>
      </c>
      <c r="B77" s="56"/>
      <c r="C77" s="57"/>
      <c r="D77" s="57"/>
      <c r="E77" s="47"/>
      <c r="F77" s="57">
        <f>SUBTOTAL(9,F60:F75)</f>
        <v>90261.85</v>
      </c>
    </row>
  </sheetData>
  <sortState ref="A56:F69">
    <sortCondition ref="A56:A69"/>
    <sortCondition ref="C56:C69"/>
  </sortState>
  <pageMargins left="0.75" right="0.75" top="1" bottom="1" header="0.5" footer="0.5"/>
  <pageSetup paperSize="1" orientation="portrait"/>
  <headerFooter/>
  <rowBreaks count="3" manualBreakCount="3">
    <brk id="64" max="16383" man="1"/>
    <brk id="68" max="16383" man="1"/>
    <brk id="7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opLeftCell="A13" workbookViewId="0">
      <selection activeCell="I58" sqref="I58"/>
    </sheetView>
  </sheetViews>
  <sheetFormatPr defaultColWidth="9.02654867256637" defaultRowHeight="14.25" outlineLevelCol="6"/>
  <cols>
    <col min="1" max="1" width="12.0353982300885"/>
    <col min="2" max="6" width="9.04424778761062"/>
    <col min="7" max="7" width="10.8407079646018"/>
    <col min="8" max="9" width="15.3451327433628"/>
    <col min="10" max="10" width="12.0353982300885"/>
    <col min="11" max="15" width="9.04424778761062"/>
    <col min="16" max="17" width="10.8407079646018"/>
  </cols>
  <sheetData>
    <row r="1" spans="1:1">
      <c r="A1" s="30" t="s">
        <v>49</v>
      </c>
    </row>
    <row r="2" spans="1:7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4</v>
      </c>
    </row>
    <row r="3" spans="1:7">
      <c r="A3" t="s">
        <v>56</v>
      </c>
      <c r="B3" s="31" t="s">
        <v>57</v>
      </c>
      <c r="C3" s="31" t="s">
        <v>58</v>
      </c>
      <c r="D3" t="s">
        <v>59</v>
      </c>
      <c r="E3" s="31">
        <v>29</v>
      </c>
      <c r="F3" s="47">
        <v>55.99</v>
      </c>
      <c r="G3">
        <f t="shared" ref="G3:G8" si="0">E3*F3</f>
        <v>1623.71</v>
      </c>
    </row>
    <row r="4" spans="1:7">
      <c r="A4" t="s">
        <v>60</v>
      </c>
      <c r="B4" s="31" t="s">
        <v>57</v>
      </c>
      <c r="C4" s="31" t="s">
        <v>61</v>
      </c>
      <c r="D4" t="s">
        <v>62</v>
      </c>
      <c r="E4" s="31">
        <v>23</v>
      </c>
      <c r="F4" s="47">
        <v>65.99</v>
      </c>
      <c r="G4">
        <f t="shared" si="0"/>
        <v>1517.77</v>
      </c>
    </row>
    <row r="5" spans="1:7">
      <c r="A5" t="s">
        <v>63</v>
      </c>
      <c r="B5" s="31" t="s">
        <v>64</v>
      </c>
      <c r="C5" s="31" t="s">
        <v>65</v>
      </c>
      <c r="D5" t="s">
        <v>66</v>
      </c>
      <c r="E5" s="31">
        <v>27</v>
      </c>
      <c r="F5" s="47">
        <v>1215.79</v>
      </c>
      <c r="G5">
        <f t="shared" si="0"/>
        <v>32826.33</v>
      </c>
    </row>
    <row r="6" spans="1:7">
      <c r="A6" t="s">
        <v>67</v>
      </c>
      <c r="B6" s="31" t="s">
        <v>64</v>
      </c>
      <c r="C6" s="31" t="s">
        <v>68</v>
      </c>
      <c r="D6" t="s">
        <v>62</v>
      </c>
      <c r="E6" s="31">
        <v>30</v>
      </c>
      <c r="F6" s="47">
        <v>107.53</v>
      </c>
      <c r="G6">
        <f t="shared" si="0"/>
        <v>3225.9</v>
      </c>
    </row>
    <row r="7" spans="1:7">
      <c r="A7" t="s">
        <v>69</v>
      </c>
      <c r="B7" s="31" t="s">
        <v>70</v>
      </c>
      <c r="C7" s="31" t="s">
        <v>71</v>
      </c>
      <c r="D7" t="s">
        <v>62</v>
      </c>
      <c r="E7" s="31">
        <v>11</v>
      </c>
      <c r="F7" s="47">
        <v>70.89</v>
      </c>
      <c r="G7">
        <f t="shared" si="0"/>
        <v>779.79</v>
      </c>
    </row>
    <row r="8" spans="1:7">
      <c r="A8" t="s">
        <v>72</v>
      </c>
      <c r="B8" s="31" t="s">
        <v>70</v>
      </c>
      <c r="C8" s="31" t="s">
        <v>73</v>
      </c>
      <c r="D8" t="s">
        <v>62</v>
      </c>
      <c r="E8" s="31">
        <v>25</v>
      </c>
      <c r="F8" s="47">
        <v>79</v>
      </c>
      <c r="G8">
        <f t="shared" si="0"/>
        <v>1975</v>
      </c>
    </row>
    <row r="9" spans="1:7">
      <c r="A9" t="s">
        <v>74</v>
      </c>
      <c r="B9" s="31" t="s">
        <v>57</v>
      </c>
      <c r="C9" s="31" t="s">
        <v>75</v>
      </c>
      <c r="D9" t="s">
        <v>76</v>
      </c>
      <c r="E9" s="31">
        <v>10</v>
      </c>
      <c r="F9" s="47">
        <v>18.97</v>
      </c>
      <c r="G9">
        <f>E9*F10</f>
        <v>1509.8</v>
      </c>
    </row>
    <row r="10" spans="1:7">
      <c r="A10" t="s">
        <v>77</v>
      </c>
      <c r="B10" s="31" t="s">
        <v>70</v>
      </c>
      <c r="C10" s="31" t="s">
        <v>78</v>
      </c>
      <c r="D10" t="s">
        <v>79</v>
      </c>
      <c r="E10" s="31">
        <v>14</v>
      </c>
      <c r="F10" s="47">
        <v>150.98</v>
      </c>
      <c r="G10">
        <f>E10*F9</f>
        <v>265.58</v>
      </c>
    </row>
    <row r="11" spans="1:7">
      <c r="A11" t="s">
        <v>80</v>
      </c>
      <c r="B11" s="31" t="s">
        <v>70</v>
      </c>
      <c r="C11" s="31" t="s">
        <v>81</v>
      </c>
      <c r="D11" t="s">
        <v>82</v>
      </c>
      <c r="E11" s="31">
        <v>49</v>
      </c>
      <c r="F11" s="47">
        <v>59.2</v>
      </c>
      <c r="G11">
        <f t="shared" ref="G11:G16" si="1">E11*F11</f>
        <v>2900.8</v>
      </c>
    </row>
    <row r="12" spans="1:7">
      <c r="A12" t="s">
        <v>83</v>
      </c>
      <c r="B12" s="31" t="s">
        <v>70</v>
      </c>
      <c r="C12" s="31" t="s">
        <v>68</v>
      </c>
      <c r="D12" t="s">
        <v>59</v>
      </c>
      <c r="E12">
        <v>50</v>
      </c>
      <c r="F12" s="47">
        <v>150</v>
      </c>
      <c r="G12">
        <f t="shared" si="1"/>
        <v>7500</v>
      </c>
    </row>
    <row r="13" spans="1:7">
      <c r="A13" t="s">
        <v>84</v>
      </c>
      <c r="B13" s="31" t="s">
        <v>64</v>
      </c>
      <c r="C13" s="31" t="s">
        <v>85</v>
      </c>
      <c r="D13" t="s">
        <v>76</v>
      </c>
      <c r="E13">
        <v>65</v>
      </c>
      <c r="F13" s="47">
        <v>330.98</v>
      </c>
      <c r="G13">
        <f t="shared" si="1"/>
        <v>21513.7</v>
      </c>
    </row>
    <row r="14" spans="1:7">
      <c r="A14" t="s">
        <v>86</v>
      </c>
      <c r="B14" s="31" t="s">
        <v>64</v>
      </c>
      <c r="C14" s="31" t="s">
        <v>87</v>
      </c>
      <c r="D14" t="s">
        <v>82</v>
      </c>
      <c r="E14">
        <v>70</v>
      </c>
      <c r="F14" s="47">
        <v>95.99</v>
      </c>
      <c r="G14">
        <f t="shared" si="1"/>
        <v>6719.3</v>
      </c>
    </row>
    <row r="15" spans="1:7">
      <c r="A15" t="s">
        <v>88</v>
      </c>
      <c r="B15" s="31" t="s">
        <v>70</v>
      </c>
      <c r="C15" s="31" t="s">
        <v>89</v>
      </c>
      <c r="D15" t="s">
        <v>76</v>
      </c>
      <c r="E15">
        <v>85</v>
      </c>
      <c r="F15" s="47">
        <v>14.89</v>
      </c>
      <c r="G15">
        <f t="shared" si="1"/>
        <v>1265.65</v>
      </c>
    </row>
    <row r="16" spans="1:7">
      <c r="A16" t="s">
        <v>90</v>
      </c>
      <c r="B16" s="31" t="s">
        <v>70</v>
      </c>
      <c r="C16" s="31" t="s">
        <v>91</v>
      </c>
      <c r="D16" t="s">
        <v>82</v>
      </c>
      <c r="E16">
        <v>100</v>
      </c>
      <c r="F16" s="47">
        <v>65.99</v>
      </c>
      <c r="G16">
        <f t="shared" si="1"/>
        <v>6599</v>
      </c>
    </row>
    <row r="18" spans="1:1">
      <c r="A18" s="30" t="s">
        <v>101</v>
      </c>
    </row>
    <row r="19" spans="1:2">
      <c r="A19" t="s">
        <v>52</v>
      </c>
      <c r="B19" t="s">
        <v>102</v>
      </c>
    </row>
    <row r="21" spans="1:2">
      <c r="A21" t="s">
        <v>103</v>
      </c>
      <c r="B21" t="s">
        <v>53</v>
      </c>
    </row>
    <row r="22" spans="1:7">
      <c r="A22" t="s">
        <v>51</v>
      </c>
      <c r="B22" t="s">
        <v>62</v>
      </c>
      <c r="C22" t="s">
        <v>66</v>
      </c>
      <c r="D22" t="s">
        <v>82</v>
      </c>
      <c r="E22" t="s">
        <v>59</v>
      </c>
      <c r="F22" t="s">
        <v>76</v>
      </c>
      <c r="G22" t="s">
        <v>100</v>
      </c>
    </row>
    <row r="23" spans="1:7">
      <c r="A23" t="s">
        <v>64</v>
      </c>
      <c r="B23">
        <v>3225.9</v>
      </c>
      <c r="C23">
        <v>32826.33</v>
      </c>
      <c r="D23">
        <v>6719.3</v>
      </c>
      <c r="F23">
        <v>21513.7</v>
      </c>
      <c r="G23">
        <v>64285.23</v>
      </c>
    </row>
    <row r="24" spans="1:7">
      <c r="A24" t="s">
        <v>57</v>
      </c>
      <c r="B24">
        <v>1517.77</v>
      </c>
      <c r="E24">
        <v>1623.71</v>
      </c>
      <c r="F24">
        <v>1509.8</v>
      </c>
      <c r="G24">
        <v>4651.28</v>
      </c>
    </row>
    <row r="25" spans="1:7">
      <c r="A25" t="s">
        <v>70</v>
      </c>
      <c r="B25">
        <v>2754.79</v>
      </c>
      <c r="C25">
        <v>265.58</v>
      </c>
      <c r="D25">
        <v>9499.8</v>
      </c>
      <c r="E25">
        <v>7500</v>
      </c>
      <c r="F25">
        <v>1265.65</v>
      </c>
      <c r="G25">
        <v>21285.82</v>
      </c>
    </row>
    <row r="26" spans="1:7">
      <c r="A26" t="s">
        <v>100</v>
      </c>
      <c r="B26">
        <v>7498.46</v>
      </c>
      <c r="C26">
        <v>33091.91</v>
      </c>
      <c r="D26">
        <v>16219.1</v>
      </c>
      <c r="E26">
        <v>9123.71</v>
      </c>
      <c r="F26">
        <v>24289.15</v>
      </c>
      <c r="G26">
        <v>90222.33</v>
      </c>
    </row>
    <row r="29" spans="1:1">
      <c r="A29" s="30" t="s">
        <v>104</v>
      </c>
    </row>
    <row r="30" spans="1:6">
      <c r="A30" t="s">
        <v>50</v>
      </c>
      <c r="B30" t="s">
        <v>105</v>
      </c>
      <c r="C30" t="s">
        <v>106</v>
      </c>
      <c r="D30" t="s">
        <v>54</v>
      </c>
      <c r="E30" t="s">
        <v>3</v>
      </c>
      <c r="F30" t="s">
        <v>4</v>
      </c>
    </row>
    <row r="31" spans="1:6">
      <c r="A31" s="48" t="s">
        <v>107</v>
      </c>
      <c r="B31" s="35" t="s">
        <v>33</v>
      </c>
      <c r="C31" t="s">
        <v>59</v>
      </c>
      <c r="D31" s="49">
        <v>2</v>
      </c>
      <c r="E31" s="50">
        <v>125</v>
      </c>
      <c r="F31">
        <f>E31*D31</f>
        <v>250</v>
      </c>
    </row>
    <row r="32" spans="1:6">
      <c r="A32" s="48" t="s">
        <v>107</v>
      </c>
      <c r="B32" s="37" t="s">
        <v>34</v>
      </c>
      <c r="C32" t="s">
        <v>62</v>
      </c>
      <c r="D32" s="49">
        <v>5</v>
      </c>
      <c r="E32" s="50">
        <v>125</v>
      </c>
      <c r="F32">
        <f t="shared" ref="F32:F49" si="2">E32*D32</f>
        <v>625</v>
      </c>
    </row>
    <row r="33" spans="1:6">
      <c r="A33" s="48" t="s">
        <v>108</v>
      </c>
      <c r="B33" s="35" t="s">
        <v>38</v>
      </c>
      <c r="C33" t="s">
        <v>66</v>
      </c>
      <c r="D33" s="49">
        <v>7</v>
      </c>
      <c r="E33" s="50">
        <v>1.29</v>
      </c>
      <c r="F33">
        <f t="shared" si="2"/>
        <v>9.03</v>
      </c>
    </row>
    <row r="34" spans="1:6">
      <c r="A34" s="48" t="s">
        <v>109</v>
      </c>
      <c r="B34" s="35" t="s">
        <v>43</v>
      </c>
      <c r="C34" t="s">
        <v>62</v>
      </c>
      <c r="D34" s="49">
        <v>11</v>
      </c>
      <c r="E34" s="50">
        <v>4.99</v>
      </c>
      <c r="F34">
        <f t="shared" si="2"/>
        <v>54.89</v>
      </c>
    </row>
    <row r="35" spans="1:6">
      <c r="A35" s="48" t="s">
        <v>108</v>
      </c>
      <c r="B35" s="35" t="s">
        <v>37</v>
      </c>
      <c r="C35" t="s">
        <v>62</v>
      </c>
      <c r="D35" s="49">
        <v>14</v>
      </c>
      <c r="E35" s="50">
        <v>1.29</v>
      </c>
      <c r="F35">
        <f t="shared" si="2"/>
        <v>18.06</v>
      </c>
    </row>
    <row r="36" spans="1:6">
      <c r="A36" s="48" t="s">
        <v>110</v>
      </c>
      <c r="B36" s="35" t="s">
        <v>38</v>
      </c>
      <c r="C36" t="s">
        <v>62</v>
      </c>
      <c r="D36" s="49">
        <v>27</v>
      </c>
      <c r="E36" s="50">
        <v>19.99</v>
      </c>
      <c r="F36">
        <f t="shared" si="2"/>
        <v>539.73</v>
      </c>
    </row>
    <row r="37" spans="1:6">
      <c r="A37" s="48" t="s">
        <v>109</v>
      </c>
      <c r="B37" s="37" t="s">
        <v>39</v>
      </c>
      <c r="C37" t="s">
        <v>76</v>
      </c>
      <c r="D37" s="49">
        <v>28</v>
      </c>
      <c r="E37" s="50">
        <v>8.99</v>
      </c>
      <c r="F37">
        <f t="shared" si="2"/>
        <v>251.72</v>
      </c>
    </row>
    <row r="38" spans="1:6">
      <c r="A38" s="48" t="s">
        <v>109</v>
      </c>
      <c r="B38" s="35" t="s">
        <v>37</v>
      </c>
      <c r="C38" t="s">
        <v>79</v>
      </c>
      <c r="D38" s="49">
        <v>28</v>
      </c>
      <c r="E38" s="50">
        <v>4.99</v>
      </c>
      <c r="F38">
        <f t="shared" si="2"/>
        <v>139.72</v>
      </c>
    </row>
    <row r="39" spans="1:6">
      <c r="A39" s="48" t="s">
        <v>108</v>
      </c>
      <c r="B39" s="35" t="s">
        <v>43</v>
      </c>
      <c r="C39" t="s">
        <v>82</v>
      </c>
      <c r="D39" s="49">
        <v>36</v>
      </c>
      <c r="E39" s="50">
        <v>4.99</v>
      </c>
      <c r="F39">
        <f t="shared" si="2"/>
        <v>179.64</v>
      </c>
    </row>
    <row r="40" spans="1:6">
      <c r="A40" s="48" t="s">
        <v>111</v>
      </c>
      <c r="B40" s="35" t="s">
        <v>34</v>
      </c>
      <c r="C40" t="s">
        <v>59</v>
      </c>
      <c r="D40" s="49">
        <v>42</v>
      </c>
      <c r="E40" s="50">
        <v>23.95</v>
      </c>
      <c r="F40">
        <f t="shared" si="2"/>
        <v>1005.9</v>
      </c>
    </row>
    <row r="41" spans="1:6">
      <c r="A41" s="48" t="s">
        <v>109</v>
      </c>
      <c r="B41" s="35" t="s">
        <v>38</v>
      </c>
      <c r="C41" t="s">
        <v>76</v>
      </c>
      <c r="D41" s="49">
        <v>46</v>
      </c>
      <c r="E41" s="50">
        <v>8.99</v>
      </c>
      <c r="F41">
        <f t="shared" si="2"/>
        <v>413.54</v>
      </c>
    </row>
    <row r="42" spans="1:6">
      <c r="A42" s="48" t="s">
        <v>109</v>
      </c>
      <c r="B42" s="37" t="s">
        <v>34</v>
      </c>
      <c r="C42" t="s">
        <v>82</v>
      </c>
      <c r="D42" s="49">
        <v>50</v>
      </c>
      <c r="E42" s="50">
        <v>19.99</v>
      </c>
      <c r="F42">
        <f t="shared" si="2"/>
        <v>999.5</v>
      </c>
    </row>
    <row r="43" spans="1:6">
      <c r="A43" s="48" t="s">
        <v>111</v>
      </c>
      <c r="B43" s="35" t="s">
        <v>43</v>
      </c>
      <c r="C43" t="s">
        <v>76</v>
      </c>
      <c r="D43" s="49">
        <v>50</v>
      </c>
      <c r="E43" s="50">
        <v>4.99</v>
      </c>
      <c r="F43">
        <f t="shared" si="2"/>
        <v>249.5</v>
      </c>
    </row>
    <row r="44" spans="1:6">
      <c r="A44" s="48" t="s">
        <v>108</v>
      </c>
      <c r="B44" s="35" t="s">
        <v>38</v>
      </c>
      <c r="C44" t="s">
        <v>82</v>
      </c>
      <c r="D44" s="49">
        <v>53</v>
      </c>
      <c r="E44" s="50">
        <v>1.29</v>
      </c>
      <c r="F44">
        <f t="shared" si="2"/>
        <v>68.37</v>
      </c>
    </row>
    <row r="45" spans="1:6">
      <c r="A45" s="48" t="s">
        <v>111</v>
      </c>
      <c r="B45" s="37" t="s">
        <v>39</v>
      </c>
      <c r="C45" t="s">
        <v>59</v>
      </c>
      <c r="D45" s="49">
        <v>55</v>
      </c>
      <c r="E45" s="50">
        <v>12.49</v>
      </c>
      <c r="F45">
        <f t="shared" si="2"/>
        <v>686.95</v>
      </c>
    </row>
    <row r="46" spans="1:6">
      <c r="A46" s="48" t="s">
        <v>108</v>
      </c>
      <c r="B46" s="35" t="s">
        <v>37</v>
      </c>
      <c r="C46" t="s">
        <v>66</v>
      </c>
      <c r="D46" s="49">
        <v>66</v>
      </c>
      <c r="E46" s="50">
        <v>1.99</v>
      </c>
      <c r="F46">
        <f t="shared" si="2"/>
        <v>131.34</v>
      </c>
    </row>
    <row r="47" spans="1:6">
      <c r="A47" s="48" t="s">
        <v>108</v>
      </c>
      <c r="B47" s="35" t="s">
        <v>33</v>
      </c>
      <c r="C47" t="s">
        <v>82</v>
      </c>
      <c r="D47" s="49">
        <v>67</v>
      </c>
      <c r="E47" s="50">
        <v>1.29</v>
      </c>
      <c r="F47">
        <f t="shared" si="2"/>
        <v>86.43</v>
      </c>
    </row>
    <row r="48" spans="1:6">
      <c r="A48" s="48" t="s">
        <v>108</v>
      </c>
      <c r="B48" s="35" t="s">
        <v>37</v>
      </c>
      <c r="C48" t="s">
        <v>59</v>
      </c>
      <c r="D48" s="49">
        <v>75</v>
      </c>
      <c r="E48" s="50">
        <v>1.99</v>
      </c>
      <c r="F48">
        <f t="shared" si="2"/>
        <v>149.25</v>
      </c>
    </row>
    <row r="49" spans="1:6">
      <c r="A49" s="48" t="s">
        <v>109</v>
      </c>
      <c r="B49" s="35" t="s">
        <v>38</v>
      </c>
      <c r="C49" t="s">
        <v>66</v>
      </c>
      <c r="D49" s="49">
        <v>80</v>
      </c>
      <c r="E49" s="50">
        <v>8.99</v>
      </c>
      <c r="F49">
        <f t="shared" si="2"/>
        <v>719.2</v>
      </c>
    </row>
    <row r="50" spans="1:5">
      <c r="A50" s="51"/>
      <c r="B50" s="52"/>
      <c r="D50" s="53"/>
      <c r="E50" s="54"/>
    </row>
    <row r="51" spans="1:1">
      <c r="A51" s="30" t="s">
        <v>101</v>
      </c>
    </row>
    <row r="52" spans="1:2">
      <c r="A52" t="s">
        <v>105</v>
      </c>
      <c r="B52" t="s">
        <v>102</v>
      </c>
    </row>
    <row r="54" spans="1:2">
      <c r="A54" t="s">
        <v>103</v>
      </c>
      <c r="B54" t="s">
        <v>106</v>
      </c>
    </row>
    <row r="55" spans="1:7">
      <c r="A55" t="s">
        <v>50</v>
      </c>
      <c r="B55" t="s">
        <v>62</v>
      </c>
      <c r="C55" t="s">
        <v>66</v>
      </c>
      <c r="D55" t="s">
        <v>82</v>
      </c>
      <c r="E55" t="s">
        <v>59</v>
      </c>
      <c r="F55" t="s">
        <v>76</v>
      </c>
      <c r="G55" t="s">
        <v>100</v>
      </c>
    </row>
    <row r="56" spans="1:7">
      <c r="A56" t="s">
        <v>109</v>
      </c>
      <c r="B56">
        <v>54.89</v>
      </c>
      <c r="C56">
        <v>858.92</v>
      </c>
      <c r="D56">
        <v>999.5</v>
      </c>
      <c r="F56">
        <v>665.26</v>
      </c>
      <c r="G56">
        <v>2578.57</v>
      </c>
    </row>
    <row r="57" spans="1:7">
      <c r="A57" t="s">
        <v>107</v>
      </c>
      <c r="B57">
        <v>625</v>
      </c>
      <c r="E57">
        <v>250</v>
      </c>
      <c r="G57">
        <v>875</v>
      </c>
    </row>
    <row r="58" spans="1:7">
      <c r="A58" t="s">
        <v>110</v>
      </c>
      <c r="B58">
        <v>539.73</v>
      </c>
      <c r="G58">
        <v>539.73</v>
      </c>
    </row>
    <row r="59" spans="1:7">
      <c r="A59" t="s">
        <v>111</v>
      </c>
      <c r="E59">
        <v>1692.85</v>
      </c>
      <c r="F59">
        <v>249.5</v>
      </c>
      <c r="G59">
        <v>1942.35</v>
      </c>
    </row>
    <row r="60" spans="1:7">
      <c r="A60" t="s">
        <v>108</v>
      </c>
      <c r="B60">
        <v>18.06</v>
      </c>
      <c r="C60">
        <v>140.37</v>
      </c>
      <c r="D60">
        <v>334.44</v>
      </c>
      <c r="E60">
        <v>149.25</v>
      </c>
      <c r="G60">
        <v>642.12</v>
      </c>
    </row>
    <row r="61" spans="1:7">
      <c r="A61" t="s">
        <v>100</v>
      </c>
      <c r="B61">
        <v>1237.68</v>
      </c>
      <c r="C61">
        <v>999.29</v>
      </c>
      <c r="D61">
        <v>1333.94</v>
      </c>
      <c r="E61">
        <v>2092.1</v>
      </c>
      <c r="F61">
        <v>914.76</v>
      </c>
      <c r="G61">
        <v>6577.77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"/>
  <sheetViews>
    <sheetView workbookViewId="0">
      <selection activeCell="G27" sqref="G27"/>
    </sheetView>
  </sheetViews>
  <sheetFormatPr defaultColWidth="9.02654867256637" defaultRowHeight="14.25" outlineLevelRow="3"/>
  <cols>
    <col min="1" max="1" width="7.5929203539823" customWidth="1"/>
    <col min="2" max="2" width="10.7964601769912"/>
    <col min="21" max="21" width="10.7964601769912"/>
  </cols>
  <sheetData>
    <row r="1" ht="15"/>
    <row r="2" ht="15" spans="2:21">
      <c r="B2" s="44"/>
      <c r="D2" t="s">
        <v>112</v>
      </c>
      <c r="U2" s="36">
        <f>DATE(2017,1,1)</f>
        <v>42736</v>
      </c>
    </row>
    <row r="3" ht="15" spans="2:21">
      <c r="B3" s="45"/>
      <c r="D3" t="s">
        <v>113</v>
      </c>
      <c r="U3" s="36">
        <f>DATE(2020,12,31)</f>
        <v>44196</v>
      </c>
    </row>
    <row r="4" ht="15" spans="2:4">
      <c r="B4" s="46"/>
      <c r="D4" t="s">
        <v>114</v>
      </c>
    </row>
  </sheetData>
  <dataValidations count="3">
    <dataValidation type="date" operator="between" allowBlank="1" showInputMessage="1" showErrorMessage="1" errorTitle="Date format Required" promptTitle="Year should be betwen 2017-2020" sqref="B2">
      <formula1>U2</formula1>
      <formula2>U3</formula2>
    </dataValidation>
    <dataValidation type="whole" operator="between" allowBlank="1" showInputMessage="1" showErrorMessage="1" promptTitle="number between 1-100" sqref="B3">
      <formula1>1</formula1>
      <formula2>100</formula2>
    </dataValidation>
    <dataValidation type="textLength" operator="between" allowBlank="1" showInputMessage="1" showErrorMessage="1" sqref="B4">
      <formula1>2</formula1>
      <formula2>100</formula2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opLeftCell="A34" workbookViewId="0">
      <selection activeCell="I24" sqref="I24"/>
    </sheetView>
  </sheetViews>
  <sheetFormatPr defaultColWidth="9.02654867256637" defaultRowHeight="14.25"/>
  <cols>
    <col min="1" max="1" width="71.0353982300885" customWidth="1"/>
    <col min="9" max="9" width="22.0530973451327" customWidth="1"/>
    <col min="13" max="14" width="10.7964601769912"/>
  </cols>
  <sheetData>
    <row r="1" ht="15.75" spans="1:12">
      <c r="A1" t="s">
        <v>106</v>
      </c>
      <c r="B1" t="s">
        <v>115</v>
      </c>
      <c r="C1" t="s">
        <v>116</v>
      </c>
      <c r="D1" t="s">
        <v>117</v>
      </c>
      <c r="J1" s="34" t="s">
        <v>118</v>
      </c>
      <c r="L1" s="34" t="s">
        <v>119</v>
      </c>
    </row>
    <row r="2" spans="1:18">
      <c r="A2" t="s">
        <v>59</v>
      </c>
      <c r="B2">
        <v>1</v>
      </c>
      <c r="C2">
        <v>1542</v>
      </c>
      <c r="D2">
        <v>800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  <c r="R2" t="s">
        <v>128</v>
      </c>
    </row>
    <row r="3" spans="1:18">
      <c r="A3" t="s">
        <v>62</v>
      </c>
      <c r="B3">
        <v>1</v>
      </c>
      <c r="C3">
        <v>1234</v>
      </c>
      <c r="D3">
        <v>960</v>
      </c>
      <c r="J3" s="35" t="s">
        <v>33</v>
      </c>
      <c r="K3" t="s">
        <v>129</v>
      </c>
      <c r="L3" t="s">
        <v>130</v>
      </c>
      <c r="M3" s="36">
        <f>DATE(2018,1,1)</f>
        <v>43101</v>
      </c>
      <c r="N3" s="36">
        <f>DATE(2018,1,10)</f>
        <v>43110</v>
      </c>
      <c r="O3">
        <f>N3-M3+1</f>
        <v>10</v>
      </c>
      <c r="P3">
        <v>1250</v>
      </c>
      <c r="Q3">
        <v>1200</v>
      </c>
      <c r="R3">
        <f>Q3+P3</f>
        <v>2450</v>
      </c>
    </row>
    <row r="4" spans="1:18">
      <c r="A4" t="s">
        <v>131</v>
      </c>
      <c r="B4">
        <v>1</v>
      </c>
      <c r="C4">
        <v>2340</v>
      </c>
      <c r="D4">
        <v>2345</v>
      </c>
      <c r="J4" s="37" t="s">
        <v>34</v>
      </c>
      <c r="K4" t="s">
        <v>132</v>
      </c>
      <c r="L4" t="s">
        <v>133</v>
      </c>
      <c r="M4" s="36">
        <f>DATE(2018,1,1)</f>
        <v>43101</v>
      </c>
      <c r="N4" s="36">
        <f>DATE(2018,1,5)</f>
        <v>43105</v>
      </c>
      <c r="O4">
        <f t="shared" ref="O4:O12" si="0">N4-M4+1</f>
        <v>5</v>
      </c>
      <c r="P4">
        <v>250</v>
      </c>
      <c r="Q4">
        <v>2100</v>
      </c>
      <c r="R4">
        <f t="shared" ref="R4:R12" si="1">Q4+P4</f>
        <v>2350</v>
      </c>
    </row>
    <row r="5" spans="1:18">
      <c r="A5" t="s">
        <v>66</v>
      </c>
      <c r="B5">
        <v>1</v>
      </c>
      <c r="C5">
        <v>1540</v>
      </c>
      <c r="D5">
        <v>3210</v>
      </c>
      <c r="J5" s="35" t="s">
        <v>35</v>
      </c>
      <c r="K5" t="s">
        <v>134</v>
      </c>
      <c r="L5" t="s">
        <v>130</v>
      </c>
      <c r="M5" s="36">
        <f>DATE(2018,1,2)</f>
        <v>43102</v>
      </c>
      <c r="N5" s="36">
        <f>DATE(2018,3,2)</f>
        <v>43161</v>
      </c>
      <c r="O5">
        <f t="shared" si="0"/>
        <v>60</v>
      </c>
      <c r="P5">
        <v>7500</v>
      </c>
      <c r="Q5">
        <v>800</v>
      </c>
      <c r="R5">
        <f t="shared" si="1"/>
        <v>8300</v>
      </c>
    </row>
    <row r="6" spans="1:18">
      <c r="A6" t="s">
        <v>131</v>
      </c>
      <c r="B6">
        <v>1</v>
      </c>
      <c r="C6">
        <v>1200</v>
      </c>
      <c r="D6">
        <v>1000</v>
      </c>
      <c r="J6" s="35" t="s">
        <v>36</v>
      </c>
      <c r="K6" t="s">
        <v>135</v>
      </c>
      <c r="L6" t="s">
        <v>130</v>
      </c>
      <c r="M6" s="36">
        <f>DATE(2018,2,2)</f>
        <v>43133</v>
      </c>
      <c r="N6" s="36">
        <f>DATE(2018,2,2)</f>
        <v>43133</v>
      </c>
      <c r="O6">
        <f t="shared" si="0"/>
        <v>1</v>
      </c>
      <c r="P6">
        <v>125</v>
      </c>
      <c r="Q6">
        <v>900</v>
      </c>
      <c r="R6">
        <f t="shared" si="1"/>
        <v>1025</v>
      </c>
    </row>
    <row r="7" spans="1:18">
      <c r="A7" t="s">
        <v>76</v>
      </c>
      <c r="B7">
        <v>1</v>
      </c>
      <c r="C7">
        <v>900</v>
      </c>
      <c r="D7">
        <v>500</v>
      </c>
      <c r="J7" s="35" t="s">
        <v>37</v>
      </c>
      <c r="K7" t="s">
        <v>129</v>
      </c>
      <c r="L7" t="s">
        <v>133</v>
      </c>
      <c r="M7" s="36">
        <f>DATE(2018,2,4)</f>
        <v>43135</v>
      </c>
      <c r="N7" s="36">
        <f>DATE(2018,2,5)</f>
        <v>43136</v>
      </c>
      <c r="O7">
        <f t="shared" si="0"/>
        <v>2</v>
      </c>
      <c r="P7">
        <v>100</v>
      </c>
      <c r="Q7">
        <v>1350</v>
      </c>
      <c r="R7">
        <f t="shared" si="1"/>
        <v>1450</v>
      </c>
    </row>
    <row r="8" spans="1:18">
      <c r="A8" t="s">
        <v>82</v>
      </c>
      <c r="B8">
        <v>1</v>
      </c>
      <c r="C8">
        <v>2800</v>
      </c>
      <c r="D8">
        <v>910</v>
      </c>
      <c r="J8" s="35" t="s">
        <v>38</v>
      </c>
      <c r="K8" t="s">
        <v>132</v>
      </c>
      <c r="L8" t="s">
        <v>133</v>
      </c>
      <c r="M8" s="36">
        <f>DATE(2018,2,22)</f>
        <v>43153</v>
      </c>
      <c r="N8" s="36">
        <f>DATE(2018,2,28)</f>
        <v>43159</v>
      </c>
      <c r="O8">
        <f t="shared" si="0"/>
        <v>7</v>
      </c>
      <c r="P8">
        <v>350</v>
      </c>
      <c r="Q8">
        <v>2500</v>
      </c>
      <c r="R8">
        <f t="shared" si="1"/>
        <v>2850</v>
      </c>
    </row>
    <row r="9" spans="1:18">
      <c r="A9" t="s">
        <v>59</v>
      </c>
      <c r="B9">
        <v>2</v>
      </c>
      <c r="C9">
        <v>1990</v>
      </c>
      <c r="D9">
        <v>250</v>
      </c>
      <c r="J9" s="37" t="s">
        <v>39</v>
      </c>
      <c r="K9" t="s">
        <v>135</v>
      </c>
      <c r="L9" t="s">
        <v>133</v>
      </c>
      <c r="M9" s="36">
        <f>DATE(2018,3,3)</f>
        <v>43162</v>
      </c>
      <c r="N9" s="36">
        <f>DATE(2018,3,31)</f>
        <v>43190</v>
      </c>
      <c r="O9">
        <f t="shared" si="0"/>
        <v>29</v>
      </c>
      <c r="P9">
        <v>1450</v>
      </c>
      <c r="Q9">
        <v>2000</v>
      </c>
      <c r="R9">
        <f t="shared" si="1"/>
        <v>3450</v>
      </c>
    </row>
    <row r="10" spans="1:18">
      <c r="A10" t="s">
        <v>62</v>
      </c>
      <c r="B10">
        <v>2</v>
      </c>
      <c r="C10">
        <v>2000</v>
      </c>
      <c r="D10">
        <v>1200</v>
      </c>
      <c r="J10" s="35" t="s">
        <v>40</v>
      </c>
      <c r="K10" t="s">
        <v>135</v>
      </c>
      <c r="L10" t="s">
        <v>133</v>
      </c>
      <c r="M10" s="36">
        <f>DATE(2018,2,10)</f>
        <v>43141</v>
      </c>
      <c r="N10" s="36">
        <f>DATE(2018,5,5)</f>
        <v>43225</v>
      </c>
      <c r="O10">
        <f t="shared" si="0"/>
        <v>85</v>
      </c>
      <c r="P10">
        <v>7125</v>
      </c>
      <c r="Q10">
        <v>4150</v>
      </c>
      <c r="R10">
        <f t="shared" si="1"/>
        <v>11275</v>
      </c>
    </row>
    <row r="11" spans="1:18">
      <c r="A11" t="s">
        <v>131</v>
      </c>
      <c r="B11">
        <v>2</v>
      </c>
      <c r="C11">
        <v>5400</v>
      </c>
      <c r="D11">
        <v>450</v>
      </c>
      <c r="J11" s="35" t="s">
        <v>41</v>
      </c>
      <c r="K11" t="s">
        <v>129</v>
      </c>
      <c r="L11" t="s">
        <v>130</v>
      </c>
      <c r="M11" s="36">
        <f>DATE(2018,3,18)</f>
        <v>43177</v>
      </c>
      <c r="N11" s="36">
        <f>DATE(2018,4,1)</f>
        <v>43191</v>
      </c>
      <c r="O11">
        <f t="shared" si="0"/>
        <v>15</v>
      </c>
      <c r="P11">
        <v>1875</v>
      </c>
      <c r="Q11">
        <v>3100</v>
      </c>
      <c r="R11">
        <f t="shared" si="1"/>
        <v>4975</v>
      </c>
    </row>
    <row r="12" spans="1:18">
      <c r="A12" t="s">
        <v>66</v>
      </c>
      <c r="B12">
        <v>2</v>
      </c>
      <c r="C12">
        <v>500</v>
      </c>
      <c r="D12">
        <v>5100</v>
      </c>
      <c r="J12" s="35" t="s">
        <v>34</v>
      </c>
      <c r="K12" t="s">
        <v>134</v>
      </c>
      <c r="L12" t="s">
        <v>130</v>
      </c>
      <c r="M12" s="36">
        <f>DATE(2018,4,4)</f>
        <v>43194</v>
      </c>
      <c r="N12" s="36">
        <f>DATE(2018,5,26)</f>
        <v>43246</v>
      </c>
      <c r="O12">
        <f t="shared" si="0"/>
        <v>53</v>
      </c>
      <c r="P12">
        <v>8500</v>
      </c>
      <c r="Q12">
        <v>2500</v>
      </c>
      <c r="R12">
        <f t="shared" si="1"/>
        <v>11000</v>
      </c>
    </row>
    <row r="13" spans="1:4">
      <c r="A13" t="s">
        <v>131</v>
      </c>
      <c r="B13">
        <v>2</v>
      </c>
      <c r="C13">
        <v>2120</v>
      </c>
      <c r="D13">
        <v>7100</v>
      </c>
    </row>
    <row r="14" spans="1:4">
      <c r="A14" t="s">
        <v>76</v>
      </c>
      <c r="B14">
        <v>2</v>
      </c>
      <c r="C14">
        <v>1190</v>
      </c>
      <c r="D14">
        <v>2300</v>
      </c>
    </row>
    <row r="15" spans="1:4">
      <c r="A15" t="s">
        <v>82</v>
      </c>
      <c r="B15">
        <v>2</v>
      </c>
      <c r="C15">
        <v>2905</v>
      </c>
      <c r="D15">
        <v>1200</v>
      </c>
    </row>
    <row r="16" spans="1:14">
      <c r="A16" t="s">
        <v>59</v>
      </c>
      <c r="B16">
        <v>3</v>
      </c>
      <c r="C16">
        <v>1100</v>
      </c>
      <c r="D16">
        <v>100</v>
      </c>
      <c r="N16" t="s">
        <v>136</v>
      </c>
    </row>
    <row r="17" spans="1:15">
      <c r="A17" t="s">
        <v>62</v>
      </c>
      <c r="B17">
        <v>3</v>
      </c>
      <c r="C17">
        <v>2300</v>
      </c>
      <c r="D17">
        <v>200</v>
      </c>
      <c r="N17" t="s">
        <v>137</v>
      </c>
      <c r="O17">
        <f ca="1">DSUM(Dept,P2,COND1)</f>
        <v>100</v>
      </c>
    </row>
    <row r="18" spans="1:15">
      <c r="A18" t="s">
        <v>131</v>
      </c>
      <c r="B18">
        <v>3</v>
      </c>
      <c r="C18">
        <v>1250</v>
      </c>
      <c r="D18">
        <v>5400</v>
      </c>
      <c r="N18" t="s">
        <v>138</v>
      </c>
      <c r="O18">
        <f ca="1">DSUM(Dept,Q2,COND1)</f>
        <v>1350</v>
      </c>
    </row>
    <row r="19" spans="1:4">
      <c r="A19" t="s">
        <v>66</v>
      </c>
      <c r="B19">
        <v>3</v>
      </c>
      <c r="C19">
        <v>2125</v>
      </c>
      <c r="D19">
        <v>1200</v>
      </c>
    </row>
    <row r="20" spans="1:4">
      <c r="A20" t="s">
        <v>131</v>
      </c>
      <c r="B20">
        <v>3</v>
      </c>
      <c r="C20">
        <v>1450</v>
      </c>
      <c r="D20">
        <v>2450</v>
      </c>
    </row>
    <row r="21" spans="1:4">
      <c r="A21" t="s">
        <v>76</v>
      </c>
      <c r="B21">
        <v>3</v>
      </c>
      <c r="C21">
        <v>3450</v>
      </c>
      <c r="D21">
        <v>2100</v>
      </c>
    </row>
    <row r="22" spans="1:13">
      <c r="A22" t="s">
        <v>82</v>
      </c>
      <c r="B22">
        <v>3</v>
      </c>
      <c r="C22">
        <v>1025</v>
      </c>
      <c r="D22">
        <v>950</v>
      </c>
      <c r="I22" t="s">
        <v>139</v>
      </c>
      <c r="J22" s="38">
        <v>1</v>
      </c>
      <c r="K22" s="39" t="s">
        <v>121</v>
      </c>
      <c r="L22" s="39" t="s">
        <v>122</v>
      </c>
      <c r="M22" s="40">
        <v>2</v>
      </c>
    </row>
    <row r="23" spans="9:13">
      <c r="I23" t="s">
        <v>140</v>
      </c>
      <c r="J23" s="41"/>
      <c r="K23" s="42" t="str">
        <f ca="1">INDEX(Dept1,$J$22)</f>
        <v>Skin</v>
      </c>
      <c r="L23" s="42" t="str">
        <f>IF(M22=1,"Special","General")</f>
        <v>General</v>
      </c>
      <c r="M23" s="43"/>
    </row>
    <row r="24" spans="1:1">
      <c r="A24" t="s">
        <v>141</v>
      </c>
    </row>
    <row r="25" spans="1:2">
      <c r="A25" t="s">
        <v>142</v>
      </c>
      <c r="B25">
        <f ca="1">SUM(MARSAL)</f>
        <v>39725</v>
      </c>
    </row>
    <row r="26" spans="1:2">
      <c r="A26" t="s">
        <v>143</v>
      </c>
      <c r="B26">
        <f>SUM(INDEX(A2:D22,2,0))</f>
        <v>2195</v>
      </c>
    </row>
    <row r="27" spans="1:2">
      <c r="A27" t="s">
        <v>144</v>
      </c>
      <c r="B27">
        <f>SUM(INDEX(A2:D22,0,3))</f>
        <v>40361</v>
      </c>
    </row>
    <row r="30" spans="1:1">
      <c r="A30" s="30" t="s">
        <v>145</v>
      </c>
    </row>
    <row r="31" spans="1:5">
      <c r="A31" t="s">
        <v>59</v>
      </c>
      <c r="B31" t="s">
        <v>146</v>
      </c>
      <c r="E31">
        <f ca="1">DSUM(Data,"Income",COND)</f>
        <v>4165</v>
      </c>
    </row>
    <row r="32" spans="1:5">
      <c r="A32" t="s">
        <v>62</v>
      </c>
      <c r="B32" t="s">
        <v>147</v>
      </c>
      <c r="E32">
        <f ca="1">DSUM(Data,"Expense",COND)</f>
        <v>9510</v>
      </c>
    </row>
    <row r="33" spans="1:5">
      <c r="A33" t="s">
        <v>131</v>
      </c>
      <c r="B33" t="s">
        <v>148</v>
      </c>
      <c r="E33">
        <f ca="1">DSUM(Data,"Income",COND)-DSUM(Data,"Expense",COND)</f>
        <v>-5345</v>
      </c>
    </row>
    <row r="34" spans="1:1">
      <c r="A34" t="s">
        <v>66</v>
      </c>
    </row>
    <row r="35" spans="1:1">
      <c r="A35" t="s">
        <v>131</v>
      </c>
    </row>
    <row r="36" spans="1:1">
      <c r="A36" t="s">
        <v>76</v>
      </c>
    </row>
    <row r="37" spans="1:1">
      <c r="A37" t="s">
        <v>82</v>
      </c>
    </row>
    <row r="40" spans="1:1">
      <c r="A40" t="s">
        <v>149</v>
      </c>
    </row>
    <row r="41" spans="1:1">
      <c r="A41">
        <v>4</v>
      </c>
    </row>
    <row r="42" spans="1:2">
      <c r="A42" t="s">
        <v>150</v>
      </c>
      <c r="B42" t="s">
        <v>106</v>
      </c>
    </row>
    <row r="43" spans="2:2">
      <c r="B43" t="str">
        <f ca="1">INDEX(DATA1,$A$41)</f>
        <v>Las Vegas</v>
      </c>
    </row>
  </sheetData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name="List Box 2" r:id="rId3">
              <controlPr defaultSize="0">
                <anchor moveWithCells="1">
                  <from>
                    <xdr:col>0</xdr:col>
                    <xdr:colOff>3029585</xdr:colOff>
                    <xdr:row>29</xdr:row>
                    <xdr:rowOff>157480</xdr:rowOff>
                  </from>
                  <to>
                    <xdr:col>0</xdr:col>
                    <xdr:colOff>4658360</xdr:colOff>
                    <xdr:row>36</xdr:row>
                    <xdr:rowOff>175895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name="List Box 12" r:id="rId4">
              <controlPr defaultSize="0">
                <anchor moveWithCells="1">
                  <from>
                    <xdr:col>9</xdr:col>
                    <xdr:colOff>300355</xdr:colOff>
                    <xdr:row>14</xdr:row>
                    <xdr:rowOff>90805</xdr:rowOff>
                  </from>
                  <to>
                    <xdr:col>11</xdr:col>
                    <xdr:colOff>471805</xdr:colOff>
                    <xdr:row>20</xdr:row>
                    <xdr:rowOff>56515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name="Option Button 13" r:id="rId5">
              <controlPr defaultSize="0">
                <anchor moveWithCells="1">
                  <from>
                    <xdr:col>11</xdr:col>
                    <xdr:colOff>638810</xdr:colOff>
                    <xdr:row>15</xdr:row>
                    <xdr:rowOff>167005</xdr:rowOff>
                  </from>
                  <to>
                    <xdr:col>13</xdr:col>
                    <xdr:colOff>76835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name="Option Button 14" r:id="rId6">
              <controlPr defaultSize="0">
                <anchor moveWithCells="1">
                  <from>
                    <xdr:col>12</xdr:col>
                    <xdr:colOff>10160</xdr:colOff>
                    <xdr:row>17</xdr:row>
                    <xdr:rowOff>53340</xdr:rowOff>
                  </from>
                  <to>
                    <xdr:col>13</xdr:col>
                    <xdr:colOff>143510</xdr:colOff>
                    <xdr:row>18</xdr:row>
                    <xdr:rowOff>67310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J19" sqref="J19"/>
    </sheetView>
  </sheetViews>
  <sheetFormatPr defaultColWidth="9.02654867256637" defaultRowHeight="14.25"/>
  <cols>
    <col min="1" max="1" width="10.3097345132743" customWidth="1"/>
    <col min="2" max="2" width="20.1150442477876" customWidth="1"/>
    <col min="3" max="3" width="10.9115044247788" customWidth="1"/>
    <col min="10" max="10" width="9.93805309734513"/>
  </cols>
  <sheetData>
    <row r="1" spans="1:1">
      <c r="A1" s="30" t="s">
        <v>49</v>
      </c>
    </row>
    <row r="2" spans="1:6">
      <c r="A2" s="12" t="s">
        <v>151</v>
      </c>
      <c r="B2" s="12" t="s">
        <v>152</v>
      </c>
      <c r="C2" s="12" t="s">
        <v>153</v>
      </c>
      <c r="D2" s="12" t="s">
        <v>154</v>
      </c>
      <c r="E2" s="12" t="s">
        <v>155</v>
      </c>
      <c r="F2" s="12" t="s">
        <v>156</v>
      </c>
    </row>
    <row r="3" spans="1:6">
      <c r="A3" s="12" t="s">
        <v>157</v>
      </c>
      <c r="B3" s="31" t="s">
        <v>58</v>
      </c>
      <c r="C3" s="12" t="s">
        <v>158</v>
      </c>
      <c r="D3" s="12">
        <v>2000</v>
      </c>
      <c r="E3" s="28">
        <v>0.1</v>
      </c>
      <c r="F3" s="12">
        <f t="shared" ref="F3:F10" si="0">D3+(E3*D3)</f>
        <v>2200</v>
      </c>
    </row>
    <row r="4" spans="1:11">
      <c r="A4" s="12" t="s">
        <v>159</v>
      </c>
      <c r="B4" s="31" t="s">
        <v>61</v>
      </c>
      <c r="C4" s="12" t="s">
        <v>158</v>
      </c>
      <c r="D4" s="12">
        <v>2000</v>
      </c>
      <c r="E4" s="28">
        <v>0.1</v>
      </c>
      <c r="F4" s="12">
        <f t="shared" si="0"/>
        <v>2200</v>
      </c>
      <c r="K4" s="32"/>
    </row>
    <row r="5" spans="1:6">
      <c r="A5" s="12" t="s">
        <v>160</v>
      </c>
      <c r="B5" s="31" t="s">
        <v>65</v>
      </c>
      <c r="C5" s="12" t="s">
        <v>161</v>
      </c>
      <c r="D5" s="12">
        <v>5000</v>
      </c>
      <c r="E5" s="28">
        <v>0.2</v>
      </c>
      <c r="F5" s="12">
        <f t="shared" si="0"/>
        <v>6000</v>
      </c>
    </row>
    <row r="6" spans="1:6">
      <c r="A6" s="12" t="s">
        <v>162</v>
      </c>
      <c r="B6" s="31" t="s">
        <v>68</v>
      </c>
      <c r="C6" s="12" t="s">
        <v>161</v>
      </c>
      <c r="D6" s="12">
        <v>5000</v>
      </c>
      <c r="E6" s="28">
        <v>0.2</v>
      </c>
      <c r="F6" s="12">
        <f t="shared" si="0"/>
        <v>6000</v>
      </c>
    </row>
    <row r="7" spans="1:6">
      <c r="A7" s="12" t="s">
        <v>163</v>
      </c>
      <c r="B7" s="31" t="s">
        <v>71</v>
      </c>
      <c r="C7" s="12" t="s">
        <v>164</v>
      </c>
      <c r="D7" s="12">
        <v>3000</v>
      </c>
      <c r="E7" s="28">
        <v>0.15</v>
      </c>
      <c r="F7" s="12">
        <f t="shared" si="0"/>
        <v>3450</v>
      </c>
    </row>
    <row r="8" spans="1:6">
      <c r="A8" s="12" t="s">
        <v>165</v>
      </c>
      <c r="B8" s="31" t="s">
        <v>73</v>
      </c>
      <c r="C8" s="12" t="s">
        <v>166</v>
      </c>
      <c r="D8" s="12">
        <v>1000</v>
      </c>
      <c r="E8" s="28">
        <v>0.05</v>
      </c>
      <c r="F8" s="12">
        <f t="shared" si="0"/>
        <v>1050</v>
      </c>
    </row>
    <row r="9" spans="1:6">
      <c r="A9" s="12" t="s">
        <v>167</v>
      </c>
      <c r="B9" s="31" t="s">
        <v>75</v>
      </c>
      <c r="C9" s="12" t="s">
        <v>164</v>
      </c>
      <c r="D9" s="12">
        <v>4000</v>
      </c>
      <c r="E9" s="28">
        <v>0.2</v>
      </c>
      <c r="F9" s="12">
        <f t="shared" si="0"/>
        <v>4800</v>
      </c>
    </row>
    <row r="10" spans="1:10">
      <c r="A10" s="12" t="s">
        <v>168</v>
      </c>
      <c r="B10" s="31" t="s">
        <v>78</v>
      </c>
      <c r="C10" s="12" t="s">
        <v>164</v>
      </c>
      <c r="D10" s="12">
        <v>3000</v>
      </c>
      <c r="E10" s="28">
        <v>0.15</v>
      </c>
      <c r="F10" s="12">
        <f t="shared" si="0"/>
        <v>3450</v>
      </c>
      <c r="J10" s="33"/>
    </row>
    <row r="11" spans="1:6">
      <c r="A11" s="12"/>
      <c r="B11" s="12"/>
      <c r="C11" s="12"/>
      <c r="D11" s="12"/>
      <c r="E11" s="12"/>
      <c r="F11" s="12"/>
    </row>
    <row r="12" spans="1:1">
      <c r="A12" s="27" t="s">
        <v>169</v>
      </c>
    </row>
    <row r="13" spans="1:1">
      <c r="A13" s="27" t="s">
        <v>170</v>
      </c>
    </row>
    <row r="14" spans="1:5">
      <c r="A14" s="12">
        <f>D6+(E6*D6)</f>
        <v>6000</v>
      </c>
      <c r="B14" s="12">
        <v>6000</v>
      </c>
      <c r="C14" s="12">
        <v>6500</v>
      </c>
      <c r="D14" s="28">
        <v>70</v>
      </c>
      <c r="E14" s="12">
        <v>8500</v>
      </c>
    </row>
    <row r="15" spans="1:5">
      <c r="A15" s="28">
        <v>0.25</v>
      </c>
      <c r="B15" s="12">
        <v>7500</v>
      </c>
      <c r="C15" s="12">
        <v>8125</v>
      </c>
      <c r="D15" s="12">
        <v>87.5</v>
      </c>
      <c r="E15" s="12">
        <v>10625</v>
      </c>
    </row>
    <row r="16" spans="1:5">
      <c r="A16" s="28">
        <v>0.3</v>
      </c>
      <c r="B16" s="12">
        <v>7800</v>
      </c>
      <c r="C16" s="12">
        <v>8450</v>
      </c>
      <c r="D16" s="12">
        <v>91</v>
      </c>
      <c r="E16" s="12">
        <v>11050</v>
      </c>
    </row>
    <row r="17" spans="1:5">
      <c r="A17" s="28">
        <v>0.45</v>
      </c>
      <c r="B17" s="12">
        <v>8700</v>
      </c>
      <c r="C17" s="12">
        <v>9425</v>
      </c>
      <c r="D17" s="12">
        <v>101.5</v>
      </c>
      <c r="E17" s="12">
        <v>12325</v>
      </c>
    </row>
    <row r="18" spans="1:5">
      <c r="A18" s="28">
        <v>0.15</v>
      </c>
      <c r="B18" s="12">
        <v>6900</v>
      </c>
      <c r="C18" s="12">
        <v>7475</v>
      </c>
      <c r="D18" s="12">
        <v>80.5</v>
      </c>
      <c r="E18" s="12">
        <v>9775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F10" sqref="F10"/>
    </sheetView>
  </sheetViews>
  <sheetFormatPr defaultColWidth="9" defaultRowHeight="14.25" outlineLevelCol="3"/>
  <cols>
    <col min="1" max="1" width="9.70796460176991" style="12" customWidth="1"/>
    <col min="2" max="2" width="12" style="12" customWidth="1"/>
    <col min="3" max="16384" width="9" style="12"/>
  </cols>
  <sheetData>
    <row r="1" spans="1:1">
      <c r="A1" s="27" t="s">
        <v>171</v>
      </c>
    </row>
    <row r="2" spans="1:1">
      <c r="A2" s="27" t="s">
        <v>172</v>
      </c>
    </row>
    <row r="4" spans="1:4">
      <c r="A4" s="12" t="s">
        <v>173</v>
      </c>
      <c r="B4" s="12" t="s">
        <v>174</v>
      </c>
      <c r="C4" s="12" t="s">
        <v>175</v>
      </c>
      <c r="D4" s="12" t="s">
        <v>176</v>
      </c>
    </row>
    <row r="5" spans="1:4">
      <c r="A5" s="12">
        <v>300000</v>
      </c>
      <c r="B5" s="28">
        <v>0.07</v>
      </c>
      <c r="C5" s="12">
        <v>30</v>
      </c>
      <c r="D5" s="12">
        <f>Scenario!price*0.8</f>
        <v>240000</v>
      </c>
    </row>
    <row r="10" spans="1:1">
      <c r="A10" s="12" t="s">
        <v>177</v>
      </c>
    </row>
    <row r="11" spans="1:1">
      <c r="A11" s="29">
        <f>PMT(Scenario!interest_rate/12,Scenario!term*12,-Scenario!loan_amount)</f>
        <v>1596.72598843004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H13"/>
  <sheetViews>
    <sheetView showGridLines="0" workbookViewId="0">
      <selection activeCell="F10" sqref="F10"/>
    </sheetView>
  </sheetViews>
  <sheetFormatPr defaultColWidth="9" defaultRowHeight="14.25" outlineLevelCol="7"/>
  <cols>
    <col min="1" max="2" width="9" style="12"/>
    <col min="3" max="3" width="12.5663716814159" style="12" customWidth="1"/>
    <col min="4" max="8" width="13.141592920354" style="12" customWidth="1" outlineLevel="1"/>
    <col min="9" max="16384" width="9" style="12"/>
  </cols>
  <sheetData>
    <row r="1" ht="15"/>
    <row r="2" ht="15.75" spans="2:8">
      <c r="B2" s="13" t="s">
        <v>178</v>
      </c>
      <c r="C2" s="13"/>
      <c r="D2" s="14"/>
      <c r="E2" s="14"/>
      <c r="F2" s="14"/>
      <c r="G2" s="14"/>
      <c r="H2" s="14"/>
    </row>
    <row r="3" ht="15.75" collapsed="1" spans="2:8">
      <c r="B3" s="15"/>
      <c r="C3" s="15"/>
      <c r="D3" s="16" t="s">
        <v>179</v>
      </c>
      <c r="E3" s="16" t="s">
        <v>180</v>
      </c>
      <c r="F3" s="16" t="s">
        <v>181</v>
      </c>
      <c r="G3" s="16" t="s">
        <v>182</v>
      </c>
      <c r="H3" s="16" t="s">
        <v>183</v>
      </c>
    </row>
    <row r="4" ht="31.5" hidden="1" outlineLevel="1" spans="2:8">
      <c r="B4" s="17"/>
      <c r="C4" s="17"/>
      <c r="D4" s="18"/>
      <c r="E4" s="19" t="s">
        <v>184</v>
      </c>
      <c r="F4" s="19" t="s">
        <v>185</v>
      </c>
      <c r="G4" s="19" t="s">
        <v>185</v>
      </c>
      <c r="H4" s="19" t="s">
        <v>185</v>
      </c>
    </row>
    <row r="5" spans="2:8">
      <c r="B5" s="20" t="s">
        <v>186</v>
      </c>
      <c r="C5" s="20"/>
      <c r="D5" s="21"/>
      <c r="E5" s="21"/>
      <c r="F5" s="21"/>
      <c r="G5" s="21"/>
      <c r="H5" s="21"/>
    </row>
    <row r="6" outlineLevel="1" spans="2:8">
      <c r="B6" s="17"/>
      <c r="C6" s="17" t="s">
        <v>173</v>
      </c>
      <c r="D6" s="18">
        <v>300000</v>
      </c>
      <c r="E6" s="22">
        <v>200000</v>
      </c>
      <c r="F6" s="22">
        <v>200000</v>
      </c>
      <c r="G6" s="22">
        <v>300000</v>
      </c>
      <c r="H6" s="22">
        <v>300000</v>
      </c>
    </row>
    <row r="7" outlineLevel="1" spans="2:8">
      <c r="B7" s="17"/>
      <c r="C7" s="17" t="s">
        <v>187</v>
      </c>
      <c r="D7" s="23">
        <v>0.07</v>
      </c>
      <c r="E7" s="24">
        <v>0.07</v>
      </c>
      <c r="F7" s="24">
        <v>0.07</v>
      </c>
      <c r="G7" s="24">
        <v>0.07</v>
      </c>
      <c r="H7" s="24">
        <v>0.07</v>
      </c>
    </row>
    <row r="8" outlineLevel="1" spans="2:8">
      <c r="B8" s="17"/>
      <c r="C8" s="17" t="s">
        <v>175</v>
      </c>
      <c r="D8" s="18">
        <v>30</v>
      </c>
      <c r="E8" s="22">
        <v>15</v>
      </c>
      <c r="F8" s="22">
        <v>30</v>
      </c>
      <c r="G8" s="22">
        <v>15</v>
      </c>
      <c r="H8" s="22">
        <v>30</v>
      </c>
    </row>
    <row r="9" spans="2:8">
      <c r="B9" s="20" t="s">
        <v>188</v>
      </c>
      <c r="C9" s="20"/>
      <c r="D9" s="21"/>
      <c r="E9" s="21"/>
      <c r="F9" s="21"/>
      <c r="G9" s="21"/>
      <c r="H9" s="21"/>
    </row>
    <row r="10" ht="15" outlineLevel="1" spans="2:8">
      <c r="B10" s="25"/>
      <c r="C10" s="25" t="s">
        <v>177</v>
      </c>
      <c r="D10" s="26">
        <v>1596.72598843004</v>
      </c>
      <c r="E10" s="26">
        <v>1438.12523336388</v>
      </c>
      <c r="F10" s="26">
        <v>1064.48399228669</v>
      </c>
      <c r="G10" s="26">
        <v>2157.18785004583</v>
      </c>
      <c r="H10" s="26">
        <v>1596.72598843004</v>
      </c>
    </row>
    <row r="11" spans="2:2">
      <c r="B11" s="12" t="s">
        <v>189</v>
      </c>
    </row>
    <row r="12" spans="2:2">
      <c r="B12" s="12" t="s">
        <v>190</v>
      </c>
    </row>
    <row r="13" spans="2:2">
      <c r="B13" s="12" t="s">
        <v>191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Functions,Cell formating</vt:lpstr>
      <vt:lpstr>Charts</vt:lpstr>
      <vt:lpstr>Database,Pivot table and Data v</vt:lpstr>
      <vt:lpstr>Database Functions</vt:lpstr>
      <vt:lpstr>Data Validation and Consolidati</vt:lpstr>
      <vt:lpstr>Dynamic Data Range and Control</vt:lpstr>
      <vt:lpstr>What if analysis</vt:lpstr>
      <vt:lpstr>Scenario</vt:lpstr>
      <vt:lpstr>Scenario Summary </vt:lpstr>
      <vt:lpstr>Statistical Functions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2020-08-07T17:34:00Z</dcterms:created>
  <dcterms:modified xsi:type="dcterms:W3CDTF">2020-08-11T11:31:34Z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