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 Srikar\Desktop\models\"/>
    </mc:Choice>
  </mc:AlternateContent>
  <xr:revisionPtr revIDLastSave="0" documentId="13_ncr:1_{0F06A47B-138B-4224-8C8B-ACEFF2034E73}" xr6:coauthVersionLast="47" xr6:coauthVersionMax="47" xr10:uidLastSave="{00000000-0000-0000-0000-000000000000}"/>
  <bookViews>
    <workbookView xWindow="-108" yWindow="-108" windowWidth="23256" windowHeight="12456" activeTab="1" xr2:uid="{8F48D679-DCA8-47AC-BDA1-DA9BCC0228D6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" i="2" l="1"/>
  <c r="W7" i="2"/>
  <c r="W6" i="2"/>
  <c r="W5" i="2"/>
  <c r="W4" i="2"/>
  <c r="X7" i="2"/>
  <c r="X6" i="2"/>
  <c r="X5" i="2"/>
  <c r="X4" i="2"/>
  <c r="X53" i="2"/>
  <c r="X52" i="2"/>
  <c r="X51" i="2"/>
  <c r="X31" i="2"/>
  <c r="X30" i="2"/>
  <c r="X29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10" i="2"/>
  <c r="W53" i="2"/>
  <c r="W52" i="2"/>
  <c r="W51" i="2"/>
  <c r="W31" i="2"/>
  <c r="W30" i="2"/>
  <c r="W29" i="2"/>
  <c r="W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L30" i="2"/>
  <c r="H53" i="2"/>
  <c r="H52" i="2"/>
  <c r="H51" i="2"/>
  <c r="L47" i="2"/>
  <c r="J46" i="2"/>
  <c r="L44" i="2"/>
  <c r="J44" i="2"/>
  <c r="J45" i="2"/>
  <c r="J42" i="2"/>
  <c r="J43" i="2"/>
  <c r="J41" i="2"/>
  <c r="L42" i="2"/>
  <c r="L41" i="2"/>
  <c r="J39" i="2"/>
  <c r="J36" i="2"/>
  <c r="K22" i="2"/>
  <c r="K30" i="2" s="1"/>
  <c r="L22" i="2"/>
  <c r="K20" i="2"/>
  <c r="K19" i="2"/>
  <c r="K17" i="2"/>
  <c r="K13" i="2"/>
  <c r="K11" i="2"/>
  <c r="K12" i="2" s="1"/>
  <c r="K7" i="2"/>
  <c r="K6" i="2"/>
  <c r="K5" i="2"/>
  <c r="L7" i="2"/>
  <c r="L6" i="2"/>
  <c r="L5" i="2"/>
  <c r="L4" i="2"/>
  <c r="L52" i="2"/>
  <c r="L51" i="2"/>
  <c r="L46" i="2"/>
  <c r="L45" i="2"/>
  <c r="L43" i="2"/>
  <c r="U3" i="2"/>
  <c r="V3" i="2" s="1"/>
  <c r="W3" i="2" s="1"/>
  <c r="X3" i="2" s="1"/>
  <c r="Z3" i="2" s="1"/>
  <c r="AA3" i="2" s="1"/>
  <c r="AB3" i="2" s="1"/>
  <c r="AC3" i="2" s="1"/>
  <c r="AD3" i="2" s="1"/>
  <c r="AE3" i="2" s="1"/>
  <c r="AF3" i="2" s="1"/>
  <c r="L6" i="1"/>
  <c r="L5" i="1"/>
  <c r="L39" i="2"/>
  <c r="L38" i="2"/>
  <c r="L35" i="2"/>
  <c r="L53" i="2" l="1"/>
  <c r="K29" i="2"/>
  <c r="K18" i="2"/>
  <c r="K21" i="2" s="1"/>
  <c r="K23" i="2" s="1"/>
  <c r="K26" i="2" s="1"/>
  <c r="K27" i="2" s="1"/>
  <c r="L48" i="2"/>
  <c r="L25" i="2"/>
  <c r="L16" i="2"/>
  <c r="L14" i="2"/>
  <c r="L13" i="2"/>
  <c r="L17" i="2" l="1"/>
  <c r="L11" i="2"/>
  <c r="L10" i="2"/>
  <c r="L3" i="1"/>
  <c r="N4" i="1"/>
  <c r="L7" i="1"/>
  <c r="L9" i="1" s="1"/>
  <c r="L12" i="2" l="1"/>
  <c r="L18" i="2" l="1"/>
  <c r="L21" i="2" s="1"/>
  <c r="L23" i="2" s="1"/>
  <c r="L26" i="2" s="1"/>
  <c r="L27" i="2" s="1"/>
  <c r="L29" i="2"/>
</calcChain>
</file>

<file path=xl/sharedStrings.xml><?xml version="1.0" encoding="utf-8"?>
<sst xmlns="http://schemas.openxmlformats.org/spreadsheetml/2006/main" count="79" uniqueCount="66">
  <si>
    <t>price</t>
  </si>
  <si>
    <t>shares</t>
  </si>
  <si>
    <t>Ev's price</t>
  </si>
  <si>
    <t>market cap(cr)</t>
  </si>
  <si>
    <t>cash (cr)</t>
  </si>
  <si>
    <t>debt (cr)</t>
  </si>
  <si>
    <t>EV(cr)</t>
  </si>
  <si>
    <t>Operations</t>
  </si>
  <si>
    <t xml:space="preserve">Telecommunications </t>
  </si>
  <si>
    <t>India</t>
  </si>
  <si>
    <t>Africa</t>
  </si>
  <si>
    <t>South Asia</t>
  </si>
  <si>
    <t>Homes Servics</t>
  </si>
  <si>
    <t>Digital TV services</t>
  </si>
  <si>
    <t>Airtel Business</t>
  </si>
  <si>
    <t>(in millions)</t>
  </si>
  <si>
    <t>(sep -24)</t>
  </si>
  <si>
    <t>others</t>
  </si>
  <si>
    <t>Revenue</t>
  </si>
  <si>
    <t>COGS</t>
  </si>
  <si>
    <t>Marketing</t>
  </si>
  <si>
    <t>Employee  benfits</t>
  </si>
  <si>
    <t>Others</t>
  </si>
  <si>
    <t>OpEX</t>
  </si>
  <si>
    <t>Gross Profit</t>
  </si>
  <si>
    <t>D&amp;A</t>
  </si>
  <si>
    <t>Finance</t>
  </si>
  <si>
    <t>pre tax income</t>
  </si>
  <si>
    <t>Taxes</t>
  </si>
  <si>
    <t>Profit</t>
  </si>
  <si>
    <t>Reported Ni</t>
  </si>
  <si>
    <t>Model Ni</t>
  </si>
  <si>
    <t>PP&amp;E</t>
  </si>
  <si>
    <t>Goodwill</t>
  </si>
  <si>
    <t>Capital work in progrees</t>
  </si>
  <si>
    <t>intangibles</t>
  </si>
  <si>
    <t>Revenue Y/Y</t>
  </si>
  <si>
    <t>Taxes Y/Y</t>
  </si>
  <si>
    <t>Gross Margin (%)</t>
  </si>
  <si>
    <t>EPS (rupees)</t>
  </si>
  <si>
    <t>investments</t>
  </si>
  <si>
    <t>inventories</t>
  </si>
  <si>
    <t>cash and equivalents</t>
  </si>
  <si>
    <t>financial assets</t>
  </si>
  <si>
    <t>debt</t>
  </si>
  <si>
    <t>tax liabiities</t>
  </si>
  <si>
    <t>L+SE</t>
  </si>
  <si>
    <t>Equity</t>
  </si>
  <si>
    <t>CFFO</t>
  </si>
  <si>
    <t>CapEx</t>
  </si>
  <si>
    <t>FCF</t>
  </si>
  <si>
    <t>Sevices India</t>
  </si>
  <si>
    <t>Sevices foreign</t>
  </si>
  <si>
    <t>Digital Tv</t>
  </si>
  <si>
    <t>Home and business</t>
  </si>
  <si>
    <t>Receivables</t>
  </si>
  <si>
    <t>Payables</t>
  </si>
  <si>
    <t xml:space="preserve"> </t>
  </si>
  <si>
    <t>Est</t>
  </si>
  <si>
    <t>Discount rate</t>
  </si>
  <si>
    <t>IRR</t>
  </si>
  <si>
    <t>Growth rate</t>
  </si>
  <si>
    <t>NPV</t>
  </si>
  <si>
    <t>NPV EV</t>
  </si>
  <si>
    <t>share</t>
  </si>
  <si>
    <t>implied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</si>
</sst>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0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4" fillId="0" borderId="0" xfId="0" applyFont="1"/>
    <xf numFmtId="0" fontId="5" fillId="0" borderId="0" xfId="0" applyFont="1"/>
    <xf numFmtId="17" fontId="2" fillId="0" borderId="0" xfId="0" applyNumberFormat="1" applyFont="1"/>
    <xf numFmtId="3" fontId="5" fillId="0" borderId="0" xfId="0" applyNumberFormat="1" applyFont="1"/>
    <xf numFmtId="4" fontId="5" fillId="0" borderId="0" xfId="0" applyNumberFormat="1" applyFont="1"/>
    <xf numFmtId="4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horizontal="center" wrapText="1"/>
    </xf>
    <xf numFmtId="3" fontId="2" fillId="0" borderId="0" xfId="0" applyNumberFormat="1" applyFont="1"/>
    <xf numFmtId="4" fontId="2" fillId="0" borderId="0" xfId="0" applyNumberFormat="1" applyFont="1" applyAlignment="1">
      <alignment horizontal="center"/>
    </xf>
    <xf numFmtId="165" fontId="5" fillId="0" borderId="0" xfId="0" applyNumberFormat="1" applyFont="1"/>
    <xf numFmtId="166" fontId="5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0</xdr:row>
      <xdr:rowOff>15240</xdr:rowOff>
    </xdr:from>
    <xdr:to>
      <xdr:col>24</xdr:col>
      <xdr:colOff>7620</xdr:colOff>
      <xdr:row>53</xdr:row>
      <xdr:rowOff>152400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2F6975E-D377-A9EE-9605-766C776424AE}"/>
            </a:ext>
          </a:extLst>
        </xdr:cNvPr>
        <xdr:cNvCxnSpPr/>
      </xdr:nvCxnSpPr>
      <xdr:spPr>
        <a:xfrm>
          <a:off x="16969740" y="15240"/>
          <a:ext cx="7620" cy="10629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CB75-CF23-46A0-A34C-FF10EB458E82}">
  <dimension ref="B2:N12"/>
  <sheetViews>
    <sheetView zoomScale="96" zoomScaleNormal="96" workbookViewId="0">
      <selection activeCell="G12" sqref="G12"/>
    </sheetView>
  </sheetViews>
  <sheetFormatPr defaultRowHeight="14.4" x14ac:dyDescent="0.3"/>
  <cols>
    <col min="2" max="2" width="28.77734375" customWidth="1"/>
    <col min="5" max="5" width="10.5546875" customWidth="1"/>
    <col min="10" max="10" width="12.21875" customWidth="1"/>
    <col min="11" max="11" width="19.44140625" customWidth="1"/>
    <col min="12" max="12" width="16.109375" bestFit="1" customWidth="1"/>
    <col min="14" max="14" width="16.6640625" customWidth="1"/>
  </cols>
  <sheetData>
    <row r="2" spans="2:14" ht="18" x14ac:dyDescent="0.35">
      <c r="K2" s="2" t="s">
        <v>0</v>
      </c>
      <c r="L2" s="6">
        <v>1627</v>
      </c>
    </row>
    <row r="3" spans="2:14" ht="21" x14ac:dyDescent="0.4">
      <c r="B3" s="7" t="s">
        <v>7</v>
      </c>
      <c r="C3" s="1"/>
      <c r="D3" s="1"/>
      <c r="E3" s="1"/>
      <c r="K3" s="2" t="s">
        <v>1</v>
      </c>
      <c r="L3" s="6">
        <f>L4*10000000/L2</f>
        <v>5988955132.145052</v>
      </c>
      <c r="M3" s="1" t="s">
        <v>16</v>
      </c>
      <c r="N3" s="3">
        <v>5786151369</v>
      </c>
    </row>
    <row r="4" spans="2:14" ht="18" x14ac:dyDescent="0.35">
      <c r="B4" s="1" t="s">
        <v>8</v>
      </c>
      <c r="C4" s="1" t="s">
        <v>9</v>
      </c>
      <c r="D4" s="1" t="s">
        <v>10</v>
      </c>
      <c r="E4" s="1" t="s">
        <v>11</v>
      </c>
      <c r="K4" s="2" t="s">
        <v>3</v>
      </c>
      <c r="L4" s="6">
        <v>974403</v>
      </c>
      <c r="M4" s="1" t="s">
        <v>16</v>
      </c>
      <c r="N4" s="4">
        <f>N3*L2/10000000</f>
        <v>941406.82773629995</v>
      </c>
    </row>
    <row r="5" spans="2:14" ht="18" x14ac:dyDescent="0.35">
      <c r="B5" t="s">
        <v>12</v>
      </c>
      <c r="K5" s="2" t="s">
        <v>4</v>
      </c>
      <c r="L5" s="5">
        <f>47380*1000000/10000000</f>
        <v>4738</v>
      </c>
      <c r="M5" s="1" t="s">
        <v>16</v>
      </c>
      <c r="N5" s="4"/>
    </row>
    <row r="6" spans="2:14" ht="18" x14ac:dyDescent="0.35">
      <c r="B6" t="s">
        <v>13</v>
      </c>
      <c r="K6" s="2" t="s">
        <v>5</v>
      </c>
      <c r="L6" s="5">
        <f>155976*1000000/10000000</f>
        <v>15597.6</v>
      </c>
      <c r="M6" s="1" t="s">
        <v>16</v>
      </c>
    </row>
    <row r="7" spans="2:14" ht="18" x14ac:dyDescent="0.35">
      <c r="B7" t="s">
        <v>14</v>
      </c>
      <c r="K7" s="2" t="s">
        <v>6</v>
      </c>
      <c r="L7" s="6">
        <f>L4+L6-L5</f>
        <v>985262.6</v>
      </c>
      <c r="M7" s="1" t="s">
        <v>16</v>
      </c>
    </row>
    <row r="8" spans="2:14" ht="18" x14ac:dyDescent="0.35">
      <c r="K8" s="2"/>
      <c r="L8" s="5"/>
      <c r="M8" s="1"/>
    </row>
    <row r="9" spans="2:14" ht="18" x14ac:dyDescent="0.35">
      <c r="K9" s="2" t="s">
        <v>2</v>
      </c>
      <c r="L9" s="6">
        <f>L7*10000000/L3</f>
        <v>1645.1327122350815</v>
      </c>
      <c r="M9" s="1" t="s">
        <v>16</v>
      </c>
    </row>
    <row r="12" spans="2:14" ht="15.6" x14ac:dyDescent="0.3">
      <c r="E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BC77D-C40C-4FC7-A540-38F03746BE2A}">
  <dimension ref="A1:AK58"/>
  <sheetViews>
    <sheetView tabSelected="1" workbookViewId="0">
      <pane xSplit="2" ySplit="3" topLeftCell="AD46" activePane="bottomRight" state="frozen"/>
      <selection pane="topRight" activeCell="C1" sqref="C1"/>
      <selection pane="bottomLeft" activeCell="A4" sqref="A4"/>
      <selection pane="bottomRight" activeCell="AL62" sqref="AL62"/>
    </sheetView>
  </sheetViews>
  <sheetFormatPr defaultRowHeight="15.6" x14ac:dyDescent="0.3"/>
  <cols>
    <col min="1" max="1" width="8.88671875" style="1"/>
    <col min="2" max="2" width="11.77734375" style="1" customWidth="1"/>
    <col min="3" max="6" width="8.88671875" style="1"/>
    <col min="7" max="7" width="9" style="1" customWidth="1"/>
    <col min="8" max="8" width="11.5546875" style="1" bestFit="1" customWidth="1"/>
    <col min="9" max="9" width="8.88671875" style="1"/>
    <col min="10" max="10" width="12.6640625" style="1" bestFit="1" customWidth="1"/>
    <col min="11" max="11" width="9.6640625" style="1" customWidth="1"/>
    <col min="12" max="12" width="13.33203125" style="1" bestFit="1" customWidth="1"/>
    <col min="13" max="13" width="11.88671875" style="1" customWidth="1"/>
    <col min="14" max="15" width="13.33203125" style="1" customWidth="1"/>
    <col min="16" max="22" width="8.88671875" style="1"/>
    <col min="23" max="23" width="13.77734375" style="1" customWidth="1"/>
    <col min="24" max="24" width="11.5546875" style="1" bestFit="1" customWidth="1"/>
    <col min="25" max="35" width="8.88671875" style="1"/>
    <col min="36" max="36" width="17.88671875" style="1" customWidth="1"/>
    <col min="37" max="16384" width="8.88671875" style="1"/>
  </cols>
  <sheetData>
    <row r="1" spans="1:32" x14ac:dyDescent="0.3">
      <c r="I1" s="1" t="s">
        <v>57</v>
      </c>
    </row>
    <row r="2" spans="1:32" x14ac:dyDescent="0.3">
      <c r="A2" s="8" t="s">
        <v>15</v>
      </c>
      <c r="Y2" s="20" t="s">
        <v>58</v>
      </c>
      <c r="Z2" s="20" t="s">
        <v>58</v>
      </c>
      <c r="AA2" s="20" t="s">
        <v>58</v>
      </c>
      <c r="AB2" s="20" t="s">
        <v>58</v>
      </c>
      <c r="AC2" s="20" t="s">
        <v>58</v>
      </c>
      <c r="AD2" s="20" t="s">
        <v>58</v>
      </c>
      <c r="AE2" s="20" t="s">
        <v>58</v>
      </c>
      <c r="AF2" s="20" t="s">
        <v>58</v>
      </c>
    </row>
    <row r="3" spans="1:32" x14ac:dyDescent="0.3">
      <c r="E3" s="9">
        <v>44896</v>
      </c>
      <c r="F3" s="9">
        <v>45017</v>
      </c>
      <c r="G3" s="9">
        <v>45078</v>
      </c>
      <c r="H3" s="9">
        <v>45170</v>
      </c>
      <c r="I3" s="9">
        <v>45261</v>
      </c>
      <c r="J3" s="9">
        <v>45383</v>
      </c>
      <c r="K3" s="9">
        <v>45444</v>
      </c>
      <c r="L3" s="9">
        <v>45536</v>
      </c>
      <c r="M3" s="9">
        <v>45627</v>
      </c>
      <c r="N3" s="9">
        <v>45717</v>
      </c>
      <c r="O3" s="9">
        <v>45809</v>
      </c>
      <c r="P3" s="9">
        <v>45901</v>
      </c>
      <c r="Q3" s="9"/>
      <c r="T3" s="1">
        <v>2020</v>
      </c>
      <c r="U3" s="1">
        <f>T3+1</f>
        <v>2021</v>
      </c>
      <c r="V3" s="1">
        <f t="shared" ref="V3:AF3" si="0">U3+1</f>
        <v>2022</v>
      </c>
      <c r="W3" s="1">
        <f t="shared" si="0"/>
        <v>2023</v>
      </c>
      <c r="X3" s="1">
        <f t="shared" si="0"/>
        <v>2024</v>
      </c>
      <c r="Y3" s="1">
        <f>X3+1</f>
        <v>2025</v>
      </c>
      <c r="Z3" s="1">
        <f t="shared" si="0"/>
        <v>2026</v>
      </c>
      <c r="AA3" s="1">
        <f t="shared" si="0"/>
        <v>2027</v>
      </c>
      <c r="AB3" s="1">
        <f t="shared" si="0"/>
        <v>2028</v>
      </c>
      <c r="AC3" s="1">
        <f t="shared" si="0"/>
        <v>2029</v>
      </c>
      <c r="AD3" s="1">
        <f t="shared" si="0"/>
        <v>2030</v>
      </c>
      <c r="AE3" s="1">
        <f t="shared" si="0"/>
        <v>2031</v>
      </c>
      <c r="AF3" s="1">
        <f t="shared" si="0"/>
        <v>2032</v>
      </c>
    </row>
    <row r="4" spans="1:32" x14ac:dyDescent="0.3">
      <c r="A4" s="12" t="s">
        <v>51</v>
      </c>
      <c r="B4" s="12"/>
      <c r="C4" s="12"/>
      <c r="D4" s="12"/>
      <c r="E4" s="12"/>
      <c r="F4" s="12"/>
      <c r="G4" s="12"/>
      <c r="H4" s="12"/>
      <c r="I4" s="12"/>
      <c r="J4" s="12"/>
      <c r="K4" s="15">
        <v>225274</v>
      </c>
      <c r="L4" s="15">
        <f>248371</f>
        <v>248371</v>
      </c>
      <c r="M4" s="9"/>
      <c r="N4" s="9"/>
      <c r="O4" s="9"/>
      <c r="P4" s="9"/>
      <c r="Q4" s="9"/>
      <c r="W4" s="15">
        <f t="shared" ref="W4:W7" si="1">SUM(F4:I4)</f>
        <v>0</v>
      </c>
      <c r="X4" s="15">
        <f t="shared" ref="X4:X7" si="2">SUM(J4:N4)</f>
        <v>473645</v>
      </c>
    </row>
    <row r="5" spans="1:32" x14ac:dyDescent="0.3">
      <c r="A5" s="12" t="s">
        <v>52</v>
      </c>
      <c r="B5" s="12"/>
      <c r="C5" s="12"/>
      <c r="D5" s="12"/>
      <c r="E5" s="12"/>
      <c r="F5" s="12"/>
      <c r="G5" s="12"/>
      <c r="H5" s="12"/>
      <c r="I5" s="12"/>
      <c r="J5" s="12"/>
      <c r="K5" s="15">
        <f>96369+941</f>
        <v>97310</v>
      </c>
      <c r="L5" s="15">
        <f>101631</f>
        <v>101631</v>
      </c>
      <c r="M5" s="9"/>
      <c r="N5" s="9"/>
      <c r="O5" s="9"/>
      <c r="P5" s="9"/>
      <c r="Q5" s="9"/>
      <c r="W5" s="15">
        <f t="shared" si="1"/>
        <v>0</v>
      </c>
      <c r="X5" s="15">
        <f t="shared" si="2"/>
        <v>198941</v>
      </c>
    </row>
    <row r="6" spans="1:32" x14ac:dyDescent="0.3">
      <c r="A6" s="12" t="s">
        <v>53</v>
      </c>
      <c r="B6" s="12"/>
      <c r="C6" s="12"/>
      <c r="D6" s="12"/>
      <c r="E6" s="12"/>
      <c r="F6" s="12"/>
      <c r="G6" s="12"/>
      <c r="H6" s="12"/>
      <c r="I6" s="12"/>
      <c r="J6" s="12"/>
      <c r="K6" s="15">
        <f>7771</f>
        <v>7771</v>
      </c>
      <c r="L6" s="15">
        <f>7586</f>
        <v>7586</v>
      </c>
      <c r="M6" s="9"/>
      <c r="N6" s="9"/>
      <c r="O6" s="9"/>
      <c r="P6" s="9"/>
      <c r="Q6" s="9"/>
      <c r="W6" s="15">
        <f t="shared" si="1"/>
        <v>0</v>
      </c>
      <c r="X6" s="15">
        <f t="shared" si="2"/>
        <v>15357</v>
      </c>
    </row>
    <row r="7" spans="1:32" x14ac:dyDescent="0.3">
      <c r="A7" s="12" t="s">
        <v>54</v>
      </c>
      <c r="B7" s="12"/>
      <c r="C7" s="12"/>
      <c r="D7" s="12"/>
      <c r="E7" s="12"/>
      <c r="F7" s="12"/>
      <c r="G7" s="12"/>
      <c r="H7" s="12"/>
      <c r="I7" s="12"/>
      <c r="J7" s="12"/>
      <c r="K7" s="15">
        <f>54765+13670</f>
        <v>68435</v>
      </c>
      <c r="L7" s="15">
        <f>56555+14321</f>
        <v>70876</v>
      </c>
      <c r="M7" s="9"/>
      <c r="N7" s="9"/>
      <c r="O7" s="9"/>
      <c r="P7" s="9"/>
      <c r="Q7" s="9"/>
      <c r="W7" s="15">
        <f t="shared" si="1"/>
        <v>0</v>
      </c>
      <c r="X7" s="15">
        <f t="shared" si="2"/>
        <v>139311</v>
      </c>
    </row>
    <row r="8" spans="1:32" x14ac:dyDescent="0.3">
      <c r="A8" s="12"/>
      <c r="B8" s="12"/>
      <c r="C8" s="12"/>
      <c r="D8" s="12"/>
      <c r="E8" s="12"/>
      <c r="F8" s="12"/>
      <c r="G8" s="12"/>
      <c r="H8" s="12"/>
      <c r="I8" s="12"/>
      <c r="J8" s="12"/>
      <c r="K8" s="15"/>
      <c r="L8" s="15"/>
      <c r="M8" s="9"/>
      <c r="N8" s="9"/>
      <c r="O8" s="9"/>
      <c r="P8" s="9"/>
      <c r="Q8" s="9"/>
      <c r="W8" s="15"/>
    </row>
    <row r="9" spans="1:32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5"/>
      <c r="L9" s="15"/>
      <c r="M9" s="9"/>
      <c r="N9" s="9"/>
      <c r="O9" s="9"/>
      <c r="P9" s="9"/>
      <c r="Q9" s="9"/>
      <c r="W9" s="15"/>
    </row>
    <row r="10" spans="1:32" x14ac:dyDescent="0.3">
      <c r="A10" s="12" t="s">
        <v>7</v>
      </c>
      <c r="B10" s="12"/>
      <c r="C10" s="12"/>
      <c r="D10" s="12"/>
      <c r="E10" s="12"/>
      <c r="F10" s="12"/>
      <c r="G10" s="12"/>
      <c r="H10" s="12"/>
      <c r="I10" s="12"/>
      <c r="J10" s="12"/>
      <c r="K10" s="15">
        <v>385064</v>
      </c>
      <c r="L10" s="15">
        <f>414733</f>
        <v>414733</v>
      </c>
      <c r="W10" s="15">
        <f>SUM(F10:I10)</f>
        <v>0</v>
      </c>
      <c r="X10" s="15">
        <f>SUM(J10:N10)</f>
        <v>799797</v>
      </c>
      <c r="AE10" s="19"/>
    </row>
    <row r="11" spans="1:32" x14ac:dyDescent="0.3">
      <c r="A11" s="12" t="s">
        <v>17</v>
      </c>
      <c r="B11" s="12"/>
      <c r="C11" s="12"/>
      <c r="D11" s="12"/>
      <c r="E11" s="12"/>
      <c r="F11" s="12"/>
      <c r="G11" s="12"/>
      <c r="H11" s="12"/>
      <c r="I11" s="12"/>
      <c r="J11" s="12"/>
      <c r="K11" s="15">
        <f>3635</f>
        <v>3635</v>
      </c>
      <c r="L11" s="15">
        <f>2547</f>
        <v>2547</v>
      </c>
      <c r="W11" s="15">
        <f t="shared" ref="W11:W27" si="3">SUM(F11:I11)</f>
        <v>0</v>
      </c>
      <c r="X11" s="15">
        <f t="shared" ref="X11:X31" si="4">SUM(J11:N11)</f>
        <v>6182</v>
      </c>
    </row>
    <row r="12" spans="1:32" s="8" customFormat="1" x14ac:dyDescent="0.3">
      <c r="A12" s="11" t="s">
        <v>18</v>
      </c>
      <c r="B12" s="11"/>
      <c r="C12" s="11"/>
      <c r="D12" s="11"/>
      <c r="E12" s="11"/>
      <c r="F12" s="11"/>
      <c r="G12" s="11"/>
      <c r="H12" s="11"/>
      <c r="I12" s="11"/>
      <c r="J12" s="11"/>
      <c r="K12" s="10">
        <f>K10+K11</f>
        <v>388699</v>
      </c>
      <c r="L12" s="10">
        <f>L10+L11</f>
        <v>417280</v>
      </c>
      <c r="M12" s="10"/>
      <c r="N12" s="10"/>
      <c r="O12" s="10"/>
      <c r="W12" s="10">
        <f t="shared" si="3"/>
        <v>0</v>
      </c>
      <c r="X12" s="10">
        <f t="shared" si="4"/>
        <v>805979</v>
      </c>
    </row>
    <row r="13" spans="1:32" x14ac:dyDescent="0.3">
      <c r="A13" s="12" t="s">
        <v>19</v>
      </c>
      <c r="B13" s="12"/>
      <c r="C13" s="12"/>
      <c r="D13" s="12"/>
      <c r="E13" s="12"/>
      <c r="F13" s="12"/>
      <c r="G13" s="12"/>
      <c r="H13" s="12"/>
      <c r="I13" s="12"/>
      <c r="J13" s="12"/>
      <c r="K13" s="15">
        <f>77605+19804+31564</f>
        <v>128973</v>
      </c>
      <c r="L13" s="15">
        <f>80115+18211+34658</f>
        <v>132984</v>
      </c>
      <c r="W13" s="15">
        <f t="shared" si="3"/>
        <v>0</v>
      </c>
      <c r="X13" s="15">
        <f t="shared" si="4"/>
        <v>261957</v>
      </c>
    </row>
    <row r="14" spans="1:32" x14ac:dyDescent="0.3">
      <c r="A14" s="12" t="s">
        <v>20</v>
      </c>
      <c r="B14" s="12"/>
      <c r="C14" s="12"/>
      <c r="D14" s="12"/>
      <c r="E14" s="12"/>
      <c r="F14" s="12"/>
      <c r="G14" s="12"/>
      <c r="H14" s="12"/>
      <c r="I14" s="12"/>
      <c r="J14" s="12"/>
      <c r="K14" s="15">
        <v>27157</v>
      </c>
      <c r="L14" s="15">
        <f>28824</f>
        <v>28824</v>
      </c>
      <c r="W14" s="15">
        <f t="shared" si="3"/>
        <v>0</v>
      </c>
      <c r="X14" s="15">
        <f t="shared" si="4"/>
        <v>55981</v>
      </c>
    </row>
    <row r="15" spans="1:32" x14ac:dyDescent="0.3">
      <c r="A15" s="12" t="s">
        <v>21</v>
      </c>
      <c r="B15" s="12"/>
      <c r="C15" s="12"/>
      <c r="D15" s="12"/>
      <c r="E15" s="12"/>
      <c r="F15" s="12"/>
      <c r="G15" s="12"/>
      <c r="H15" s="12"/>
      <c r="I15" s="12"/>
      <c r="J15" s="12"/>
      <c r="K15" s="15">
        <v>13728</v>
      </c>
      <c r="L15" s="15">
        <v>14966</v>
      </c>
      <c r="W15" s="15">
        <f t="shared" si="3"/>
        <v>0</v>
      </c>
      <c r="X15" s="15">
        <f t="shared" si="4"/>
        <v>28694</v>
      </c>
    </row>
    <row r="16" spans="1:32" x14ac:dyDescent="0.3">
      <c r="A16" s="12" t="s">
        <v>22</v>
      </c>
      <c r="B16" s="12"/>
      <c r="C16" s="12"/>
      <c r="D16" s="12"/>
      <c r="E16" s="12"/>
      <c r="F16" s="12"/>
      <c r="G16" s="12"/>
      <c r="H16" s="12"/>
      <c r="I16" s="12"/>
      <c r="J16" s="12"/>
      <c r="K16" s="15">
        <v>18489</v>
      </c>
      <c r="L16" s="15">
        <f>19497</f>
        <v>19497</v>
      </c>
      <c r="W16" s="15">
        <f t="shared" si="3"/>
        <v>0</v>
      </c>
      <c r="X16" s="15">
        <f t="shared" si="4"/>
        <v>37986</v>
      </c>
    </row>
    <row r="17" spans="1:24" x14ac:dyDescent="0.3">
      <c r="A17" s="12" t="s">
        <v>23</v>
      </c>
      <c r="B17" s="12"/>
      <c r="C17" s="12"/>
      <c r="D17" s="12"/>
      <c r="E17" s="12"/>
      <c r="F17" s="12"/>
      <c r="G17" s="12"/>
      <c r="H17" s="12"/>
      <c r="I17" s="12"/>
      <c r="J17" s="12"/>
      <c r="K17" s="15">
        <f>K16+K15+K14</f>
        <v>59374</v>
      </c>
      <c r="L17" s="15">
        <f>L16+L15+L14</f>
        <v>63287</v>
      </c>
      <c r="W17" s="15">
        <f t="shared" si="3"/>
        <v>0</v>
      </c>
      <c r="X17" s="15">
        <f t="shared" si="4"/>
        <v>122661</v>
      </c>
    </row>
    <row r="18" spans="1:24" s="8" customFormat="1" x14ac:dyDescent="0.3">
      <c r="A18" s="11" t="s">
        <v>24</v>
      </c>
      <c r="B18" s="11"/>
      <c r="C18" s="11"/>
      <c r="D18" s="11"/>
      <c r="E18" s="11"/>
      <c r="F18" s="11"/>
      <c r="G18" s="11"/>
      <c r="H18" s="11"/>
      <c r="I18" s="11"/>
      <c r="J18" s="11"/>
      <c r="K18" s="10">
        <f>K12-K17-K13</f>
        <v>200352</v>
      </c>
      <c r="L18" s="10">
        <f>L12-L17-L13</f>
        <v>221009</v>
      </c>
      <c r="M18" s="11"/>
      <c r="N18" s="11"/>
      <c r="O18" s="11"/>
      <c r="W18" s="10">
        <f t="shared" si="3"/>
        <v>0</v>
      </c>
      <c r="X18" s="10">
        <f t="shared" si="4"/>
        <v>421361</v>
      </c>
    </row>
    <row r="19" spans="1:24" x14ac:dyDescent="0.3">
      <c r="A19" s="12" t="s">
        <v>25</v>
      </c>
      <c r="B19" s="12"/>
      <c r="C19" s="12"/>
      <c r="D19" s="12"/>
      <c r="E19" s="12"/>
      <c r="F19" s="12"/>
      <c r="G19" s="12"/>
      <c r="H19" s="12"/>
      <c r="I19" s="12"/>
      <c r="J19" s="12"/>
      <c r="K19" s="15">
        <f>105401</f>
        <v>105401</v>
      </c>
      <c r="L19" s="15">
        <v>110000</v>
      </c>
      <c r="W19" s="15">
        <f t="shared" si="3"/>
        <v>0</v>
      </c>
      <c r="X19" s="15">
        <f t="shared" si="4"/>
        <v>215401</v>
      </c>
    </row>
    <row r="20" spans="1:24" x14ac:dyDescent="0.3">
      <c r="A20" s="12" t="s">
        <v>26</v>
      </c>
      <c r="B20" s="12"/>
      <c r="C20" s="12"/>
      <c r="D20" s="12"/>
      <c r="E20" s="12"/>
      <c r="F20" s="12"/>
      <c r="G20" s="12"/>
      <c r="H20" s="12"/>
      <c r="I20" s="12"/>
      <c r="J20" s="12"/>
      <c r="K20" s="15">
        <f>51254</f>
        <v>51254</v>
      </c>
      <c r="L20" s="15">
        <v>54237</v>
      </c>
      <c r="W20" s="15">
        <f t="shared" si="3"/>
        <v>0</v>
      </c>
      <c r="X20" s="15">
        <f t="shared" si="4"/>
        <v>105491</v>
      </c>
    </row>
    <row r="21" spans="1:24" x14ac:dyDescent="0.3">
      <c r="A21" s="12" t="s">
        <v>27</v>
      </c>
      <c r="B21" s="12"/>
      <c r="C21" s="12"/>
      <c r="D21" s="12"/>
      <c r="E21" s="12"/>
      <c r="F21" s="12"/>
      <c r="G21" s="12"/>
      <c r="H21" s="12"/>
      <c r="I21" s="12"/>
      <c r="J21" s="12"/>
      <c r="K21" s="15">
        <f>K18-K19-K20</f>
        <v>43697</v>
      </c>
      <c r="L21" s="15">
        <f>L18-L19-L20</f>
        <v>56772</v>
      </c>
      <c r="M21" s="12"/>
      <c r="N21" s="12"/>
      <c r="O21" s="12"/>
      <c r="W21" s="15">
        <f t="shared" si="3"/>
        <v>0</v>
      </c>
      <c r="X21" s="15">
        <f t="shared" si="4"/>
        <v>100469</v>
      </c>
    </row>
    <row r="22" spans="1:24" x14ac:dyDescent="0.3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  <c r="K22" s="15">
        <f>7883+5195</f>
        <v>13078</v>
      </c>
      <c r="L22" s="15">
        <f>8491+8949</f>
        <v>17440</v>
      </c>
      <c r="W22" s="15">
        <f t="shared" si="3"/>
        <v>0</v>
      </c>
      <c r="X22" s="15">
        <f t="shared" si="4"/>
        <v>30518</v>
      </c>
    </row>
    <row r="23" spans="1:24" x14ac:dyDescent="0.3">
      <c r="A23" s="12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5">
        <f>K21-K22</f>
        <v>30619</v>
      </c>
      <c r="L23" s="15">
        <f>L21-L22</f>
        <v>39332</v>
      </c>
      <c r="M23" s="12"/>
      <c r="N23" s="12"/>
      <c r="O23" s="12"/>
      <c r="W23" s="15">
        <f t="shared" si="3"/>
        <v>0</v>
      </c>
      <c r="X23" s="15">
        <f t="shared" si="4"/>
        <v>69951</v>
      </c>
    </row>
    <row r="24" spans="1:24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5"/>
      <c r="L24" s="15"/>
      <c r="W24" s="15">
        <f t="shared" si="3"/>
        <v>0</v>
      </c>
      <c r="X24" s="15">
        <f t="shared" si="4"/>
        <v>0</v>
      </c>
    </row>
    <row r="25" spans="1:24" x14ac:dyDescent="0.3">
      <c r="A25" s="12" t="s">
        <v>30</v>
      </c>
      <c r="B25" s="12"/>
      <c r="C25" s="12"/>
      <c r="D25" s="12"/>
      <c r="E25" s="12"/>
      <c r="F25" s="12"/>
      <c r="G25" s="12"/>
      <c r="H25" s="12"/>
      <c r="I25" s="12"/>
      <c r="J25" s="12"/>
      <c r="K25" s="15">
        <v>47051</v>
      </c>
      <c r="L25" s="15">
        <f>40580</f>
        <v>40580</v>
      </c>
      <c r="M25" s="12"/>
      <c r="N25" s="12"/>
      <c r="O25" s="12"/>
      <c r="W25" s="15">
        <f t="shared" si="3"/>
        <v>0</v>
      </c>
      <c r="X25" s="15">
        <f t="shared" si="4"/>
        <v>87631</v>
      </c>
    </row>
    <row r="26" spans="1:24" x14ac:dyDescent="0.3">
      <c r="A26" s="12" t="s">
        <v>31</v>
      </c>
      <c r="B26" s="12"/>
      <c r="C26" s="12"/>
      <c r="D26" s="12"/>
      <c r="E26" s="12"/>
      <c r="F26" s="12"/>
      <c r="G26" s="12"/>
      <c r="H26" s="12"/>
      <c r="I26" s="12"/>
      <c r="J26" s="12"/>
      <c r="K26" s="15">
        <f>K23</f>
        <v>30619</v>
      </c>
      <c r="L26" s="12">
        <f>L23</f>
        <v>39332</v>
      </c>
      <c r="M26" s="12"/>
      <c r="N26" s="12"/>
      <c r="O26" s="12"/>
      <c r="W26" s="15">
        <f t="shared" si="3"/>
        <v>0</v>
      </c>
      <c r="X26" s="15">
        <f t="shared" si="4"/>
        <v>69951</v>
      </c>
    </row>
    <row r="27" spans="1:24" x14ac:dyDescent="0.3">
      <c r="A27" s="12" t="s">
        <v>39</v>
      </c>
      <c r="B27" s="12"/>
      <c r="C27" s="12"/>
      <c r="D27" s="12"/>
      <c r="E27" s="12"/>
      <c r="F27" s="12"/>
      <c r="G27" s="12"/>
      <c r="H27" s="12"/>
      <c r="I27" s="12"/>
      <c r="J27" s="12"/>
      <c r="K27" s="12">
        <f>K26*1000000/Main!L3</f>
        <v>5.1125779579906876</v>
      </c>
      <c r="L27" s="12">
        <f>L26*1000000/Main!L3</f>
        <v>6.5674227193471291</v>
      </c>
      <c r="M27" s="13"/>
      <c r="N27" s="13"/>
      <c r="O27" s="13"/>
      <c r="W27" s="15">
        <f t="shared" si="3"/>
        <v>0</v>
      </c>
      <c r="X27" s="15">
        <f t="shared" si="4"/>
        <v>11.680000677337816</v>
      </c>
    </row>
    <row r="28" spans="1:24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W28" s="15"/>
    </row>
    <row r="29" spans="1:24" s="8" customFormat="1" x14ac:dyDescent="0.3">
      <c r="A29" s="11" t="s">
        <v>36</v>
      </c>
      <c r="B29" s="11"/>
      <c r="C29" s="11"/>
      <c r="D29" s="11"/>
      <c r="E29" s="11"/>
      <c r="F29" s="11"/>
      <c r="G29" s="11"/>
      <c r="H29" s="11"/>
      <c r="I29" s="11"/>
      <c r="J29" s="11"/>
      <c r="K29" s="17" t="e">
        <f>K12/J12-1</f>
        <v>#DIV/0!</v>
      </c>
      <c r="L29" s="17">
        <f>L12/K12-1</f>
        <v>7.3529903601501356E-2</v>
      </c>
      <c r="W29" s="10">
        <f t="shared" ref="W29:W31" si="5">SUM(F29:I29)</f>
        <v>0</v>
      </c>
      <c r="X29" s="11" t="e">
        <f t="shared" si="4"/>
        <v>#DIV/0!</v>
      </c>
    </row>
    <row r="30" spans="1:24" s="8" customFormat="1" x14ac:dyDescent="0.3">
      <c r="A30" s="11" t="s">
        <v>37</v>
      </c>
      <c r="B30" s="11"/>
      <c r="C30" s="11"/>
      <c r="D30" s="11"/>
      <c r="E30" s="11"/>
      <c r="F30" s="11"/>
      <c r="G30" s="11"/>
      <c r="H30" s="11"/>
      <c r="I30" s="11"/>
      <c r="J30" s="11"/>
      <c r="K30" s="18" t="e">
        <f>K22/J22-1</f>
        <v>#DIV/0!</v>
      </c>
      <c r="L30" s="18">
        <f>L22/K22-1</f>
        <v>0.33353723810980274</v>
      </c>
      <c r="W30" s="10">
        <f t="shared" si="5"/>
        <v>0</v>
      </c>
      <c r="X30" s="11" t="e">
        <f t="shared" si="4"/>
        <v>#DIV/0!</v>
      </c>
    </row>
    <row r="31" spans="1:24" s="8" customFormat="1" x14ac:dyDescent="0.3">
      <c r="A31" s="11" t="s">
        <v>38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W31" s="11">
        <f t="shared" si="5"/>
        <v>0</v>
      </c>
      <c r="X31" s="11">
        <f t="shared" si="4"/>
        <v>0</v>
      </c>
    </row>
    <row r="32" spans="1:24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7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1:17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spans="1:17" ht="15" customHeight="1" x14ac:dyDescent="0.3">
      <c r="A35" s="12" t="s">
        <v>32</v>
      </c>
      <c r="B35" s="12"/>
      <c r="C35" s="12"/>
      <c r="D35" s="12"/>
      <c r="E35" s="12"/>
      <c r="F35" s="12"/>
      <c r="G35" s="12"/>
      <c r="H35" s="12"/>
      <c r="I35" s="12"/>
      <c r="J35" s="15">
        <v>1066121</v>
      </c>
      <c r="K35" s="15"/>
      <c r="L35" s="15">
        <f>1087108</f>
        <v>1087108</v>
      </c>
    </row>
    <row r="36" spans="1:17" x14ac:dyDescent="0.3">
      <c r="A36" s="12" t="s">
        <v>33</v>
      </c>
      <c r="B36" s="12"/>
      <c r="C36" s="12"/>
      <c r="D36" s="12"/>
      <c r="E36" s="12"/>
      <c r="F36" s="12"/>
      <c r="G36" s="12"/>
      <c r="H36" s="12"/>
      <c r="I36" s="12"/>
      <c r="J36" s="15">
        <f>265017</f>
        <v>265017</v>
      </c>
      <c r="K36" s="15"/>
      <c r="L36" s="15">
        <v>262555</v>
      </c>
    </row>
    <row r="37" spans="1:17" x14ac:dyDescent="0.3">
      <c r="A37" s="16" t="s">
        <v>34</v>
      </c>
      <c r="B37" s="12"/>
      <c r="C37" s="12"/>
      <c r="D37" s="12"/>
      <c r="E37" s="12"/>
      <c r="F37" s="12"/>
      <c r="G37" s="12"/>
      <c r="H37" s="12"/>
      <c r="I37" s="12"/>
      <c r="J37" s="15">
        <v>89077</v>
      </c>
      <c r="K37" s="15"/>
      <c r="L37" s="15">
        <v>87533</v>
      </c>
    </row>
    <row r="38" spans="1:17" x14ac:dyDescent="0.3">
      <c r="A38" s="12" t="s">
        <v>35</v>
      </c>
      <c r="B38" s="12"/>
      <c r="C38" s="12"/>
      <c r="D38" s="12"/>
      <c r="E38" s="12"/>
      <c r="F38" s="12"/>
      <c r="G38" s="12"/>
      <c r="H38" s="12"/>
      <c r="I38" s="12"/>
      <c r="J38" s="15">
        <v>1142526</v>
      </c>
      <c r="K38" s="15"/>
      <c r="L38" s="15">
        <f>1179020</f>
        <v>1179020</v>
      </c>
      <c r="P38" s="14"/>
      <c r="Q38" s="14"/>
    </row>
    <row r="39" spans="1:17" x14ac:dyDescent="0.3">
      <c r="A39" s="12" t="s">
        <v>40</v>
      </c>
      <c r="B39" s="12"/>
      <c r="C39" s="12"/>
      <c r="D39" s="12"/>
      <c r="E39" s="12"/>
      <c r="F39" s="12"/>
      <c r="G39" s="12"/>
      <c r="H39" s="12"/>
      <c r="I39" s="12"/>
      <c r="J39" s="15">
        <f>79694+924+2695+312404</f>
        <v>395717</v>
      </c>
      <c r="K39" s="15"/>
      <c r="L39" s="15">
        <f>70487+338041+3631+1194</f>
        <v>413353</v>
      </c>
    </row>
    <row r="40" spans="1:17" x14ac:dyDescent="0.3">
      <c r="A40" s="12" t="s">
        <v>41</v>
      </c>
      <c r="B40" s="12"/>
      <c r="C40" s="12"/>
      <c r="D40" s="12"/>
      <c r="E40" s="12"/>
      <c r="F40" s="12"/>
      <c r="G40" s="12"/>
      <c r="H40" s="12"/>
      <c r="I40" s="12"/>
      <c r="J40" s="15">
        <v>3639</v>
      </c>
      <c r="K40" s="15"/>
      <c r="L40" s="15">
        <v>4361</v>
      </c>
    </row>
    <row r="41" spans="1:17" x14ac:dyDescent="0.3">
      <c r="A41" s="12" t="s">
        <v>55</v>
      </c>
      <c r="B41" s="12"/>
      <c r="C41" s="12"/>
      <c r="D41" s="12"/>
      <c r="E41" s="12"/>
      <c r="F41" s="12"/>
      <c r="G41" s="12"/>
      <c r="H41" s="12"/>
      <c r="I41" s="12"/>
      <c r="J41" s="15">
        <f>47277</f>
        <v>47277</v>
      </c>
      <c r="K41" s="15"/>
      <c r="L41" s="15">
        <f>56452</f>
        <v>56452</v>
      </c>
    </row>
    <row r="42" spans="1:17" x14ac:dyDescent="0.3">
      <c r="A42" s="12" t="s">
        <v>43</v>
      </c>
      <c r="B42" s="12"/>
      <c r="C42" s="12"/>
      <c r="D42" s="12"/>
      <c r="E42" s="12"/>
      <c r="F42" s="12"/>
      <c r="G42" s="12"/>
      <c r="H42" s="12"/>
      <c r="I42" s="12"/>
      <c r="J42" s="15">
        <f>2695+1168+94244+249544</f>
        <v>347651</v>
      </c>
      <c r="K42" s="15"/>
      <c r="L42" s="15">
        <f>2711+455+246704</f>
        <v>249870</v>
      </c>
    </row>
    <row r="43" spans="1:17" s="8" customFormat="1" x14ac:dyDescent="0.3">
      <c r="A43" s="11" t="s">
        <v>42</v>
      </c>
      <c r="B43" s="11"/>
      <c r="C43" s="11"/>
      <c r="D43" s="11"/>
      <c r="E43" s="11"/>
      <c r="F43" s="11"/>
      <c r="G43" s="11"/>
      <c r="H43" s="11"/>
      <c r="I43" s="11"/>
      <c r="J43" s="10">
        <f>94244</f>
        <v>94244</v>
      </c>
      <c r="K43" s="10"/>
      <c r="L43" s="10">
        <f>47380</f>
        <v>47380</v>
      </c>
    </row>
    <row r="44" spans="1:17" x14ac:dyDescent="0.3">
      <c r="A44" s="12" t="s">
        <v>56</v>
      </c>
      <c r="B44" s="12"/>
      <c r="C44" s="12"/>
      <c r="D44" s="12"/>
      <c r="E44" s="12"/>
      <c r="F44" s="12"/>
      <c r="G44" s="12"/>
      <c r="H44" s="12"/>
      <c r="I44" s="12"/>
      <c r="J44" s="15">
        <f>253456</f>
        <v>253456</v>
      </c>
      <c r="K44" s="15"/>
      <c r="L44" s="15">
        <f>266720</f>
        <v>266720</v>
      </c>
    </row>
    <row r="45" spans="1:17" s="8" customFormat="1" x14ac:dyDescent="0.3">
      <c r="A45" s="11" t="s">
        <v>44</v>
      </c>
      <c r="B45" s="11"/>
      <c r="C45" s="11"/>
      <c r="D45" s="11"/>
      <c r="E45" s="11"/>
      <c r="F45" s="11"/>
      <c r="G45" s="11"/>
      <c r="H45" s="11"/>
      <c r="I45" s="11"/>
      <c r="J45" s="10">
        <f>209539+94487+12207+87262+351325+283282</f>
        <v>1038102</v>
      </c>
      <c r="K45" s="10"/>
      <c r="L45" s="10">
        <f>1165534+297870+96358</f>
        <v>1559762</v>
      </c>
    </row>
    <row r="46" spans="1:17" x14ac:dyDescent="0.3">
      <c r="A46" s="12" t="s">
        <v>45</v>
      </c>
      <c r="B46" s="12"/>
      <c r="C46" s="12"/>
      <c r="D46" s="12"/>
      <c r="E46" s="12"/>
      <c r="F46" s="12"/>
      <c r="G46" s="12"/>
      <c r="H46" s="12"/>
      <c r="I46" s="12"/>
      <c r="J46" s="15">
        <f>33021</f>
        <v>33021</v>
      </c>
      <c r="K46" s="15"/>
      <c r="L46" s="15">
        <f>695646+16773</f>
        <v>712419</v>
      </c>
    </row>
    <row r="47" spans="1:17" x14ac:dyDescent="0.3">
      <c r="A47" s="12" t="s">
        <v>47</v>
      </c>
      <c r="B47" s="12"/>
      <c r="C47" s="12"/>
      <c r="D47" s="12"/>
      <c r="E47" s="12"/>
      <c r="F47" s="12"/>
      <c r="G47" s="12"/>
      <c r="H47" s="12"/>
      <c r="I47" s="12"/>
      <c r="J47" s="12"/>
      <c r="K47" s="15"/>
      <c r="L47" s="15">
        <f>870974+232056</f>
        <v>1103030</v>
      </c>
    </row>
    <row r="48" spans="1:17" x14ac:dyDescent="0.3">
      <c r="A48" s="12" t="s">
        <v>46</v>
      </c>
      <c r="B48" s="12"/>
      <c r="C48" s="12"/>
      <c r="D48" s="12"/>
      <c r="E48" s="12"/>
      <c r="F48" s="12"/>
      <c r="G48" s="12"/>
      <c r="H48" s="12"/>
      <c r="I48" s="12"/>
      <c r="J48" s="12"/>
      <c r="K48" s="15"/>
      <c r="L48" s="15">
        <f>SUM(L45:L46)+L47</f>
        <v>3375211</v>
      </c>
    </row>
    <row r="49" spans="1:37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5"/>
      <c r="L49" s="15"/>
    </row>
    <row r="50" spans="1:37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5"/>
      <c r="L50" s="15"/>
    </row>
    <row r="51" spans="1:37" x14ac:dyDescent="0.3">
      <c r="A51" s="12" t="s">
        <v>48</v>
      </c>
      <c r="B51" s="12"/>
      <c r="C51" s="12"/>
      <c r="D51" s="12"/>
      <c r="E51" s="12"/>
      <c r="F51" s="12"/>
      <c r="G51" s="12"/>
      <c r="H51" s="15">
        <f>399388</f>
        <v>399388</v>
      </c>
      <c r="I51" s="12"/>
      <c r="J51" s="12"/>
      <c r="K51" s="15"/>
      <c r="L51" s="15">
        <f>467341</f>
        <v>467341</v>
      </c>
      <c r="W51" s="15">
        <f t="shared" ref="W51:W53" si="6">SUM(F51:I51)</f>
        <v>399388</v>
      </c>
      <c r="X51" s="15">
        <f t="shared" ref="X51:X53" si="7">SUM(J51:N51)</f>
        <v>467341</v>
      </c>
    </row>
    <row r="52" spans="1:37" x14ac:dyDescent="0.3">
      <c r="A52" s="12" t="s">
        <v>49</v>
      </c>
      <c r="B52" s="12"/>
      <c r="C52" s="12"/>
      <c r="D52" s="12"/>
      <c r="E52" s="12"/>
      <c r="F52" s="12"/>
      <c r="G52" s="12"/>
      <c r="H52" s="15">
        <f>188733</f>
        <v>188733</v>
      </c>
      <c r="I52" s="12"/>
      <c r="J52" s="12"/>
      <c r="K52" s="15"/>
      <c r="L52" s="15">
        <f>194795</f>
        <v>194795</v>
      </c>
      <c r="W52" s="15">
        <f t="shared" si="6"/>
        <v>188733</v>
      </c>
      <c r="X52" s="15">
        <f t="shared" si="7"/>
        <v>194795</v>
      </c>
      <c r="AJ52" s="8" t="s">
        <v>59</v>
      </c>
      <c r="AK52" s="8"/>
    </row>
    <row r="53" spans="1:37" x14ac:dyDescent="0.3">
      <c r="A53" s="11" t="s">
        <v>50</v>
      </c>
      <c r="B53" s="11"/>
      <c r="C53" s="11"/>
      <c r="D53" s="11"/>
      <c r="E53" s="11"/>
      <c r="F53" s="11"/>
      <c r="G53" s="11"/>
      <c r="H53" s="10">
        <f>H51-H52</f>
        <v>210655</v>
      </c>
      <c r="I53" s="11"/>
      <c r="J53" s="11"/>
      <c r="K53" s="15"/>
      <c r="L53" s="15">
        <f>L51-L52</f>
        <v>272546</v>
      </c>
      <c r="W53" s="15">
        <f t="shared" si="6"/>
        <v>210655</v>
      </c>
      <c r="X53" s="15">
        <f t="shared" si="7"/>
        <v>272546</v>
      </c>
      <c r="AJ53" s="8" t="s">
        <v>60</v>
      </c>
      <c r="AK53" s="8"/>
    </row>
    <row r="54" spans="1:37" x14ac:dyDescent="0.3">
      <c r="AJ54" s="8" t="s">
        <v>61</v>
      </c>
      <c r="AK54" s="8"/>
    </row>
    <row r="55" spans="1:37" x14ac:dyDescent="0.3">
      <c r="AJ55" s="8" t="s">
        <v>62</v>
      </c>
      <c r="AK55" s="8"/>
    </row>
    <row r="56" spans="1:37" x14ac:dyDescent="0.3">
      <c r="AJ56" s="8" t="s">
        <v>63</v>
      </c>
      <c r="AK56" s="8"/>
    </row>
    <row r="57" spans="1:37" x14ac:dyDescent="0.3">
      <c r="AJ57" s="8" t="s">
        <v>64</v>
      </c>
      <c r="AK57" s="8"/>
    </row>
    <row r="58" spans="1:37" x14ac:dyDescent="0.3">
      <c r="AJ58" s="8" t="s">
        <v>65</v>
      </c>
      <c r="AK58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SRIKAR</dc:creator>
  <cp:lastModifiedBy>MANI SRIKAR</cp:lastModifiedBy>
  <dcterms:created xsi:type="dcterms:W3CDTF">2024-11-30T12:20:35Z</dcterms:created>
  <dcterms:modified xsi:type="dcterms:W3CDTF">2024-12-05T17:05:15Z</dcterms:modified>
</cp:coreProperties>
</file>