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"/>
    </mc:Choice>
  </mc:AlternateContent>
  <xr:revisionPtr revIDLastSave="0" documentId="13_ncr:1_{095BBCC4-D083-475B-BD7E-935A834A7BF0}" xr6:coauthVersionLast="47" xr6:coauthVersionMax="47" xr10:uidLastSave="{00000000-0000-0000-0000-000000000000}"/>
  <bookViews>
    <workbookView xWindow="-108" yWindow="-108" windowWidth="23256" windowHeight="12456" activeTab="2" xr2:uid="{84155E43-7C15-488F-B789-D5D412404665}"/>
  </bookViews>
  <sheets>
    <sheet name="Main" sheetId="1" r:id="rId1"/>
    <sheet name="Model" sheetId="2" r:id="rId2"/>
    <sheet name="Revenue Proj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3" l="1"/>
  <c r="J22" i="3"/>
  <c r="I22" i="3"/>
  <c r="H22" i="3"/>
  <c r="G22" i="3"/>
  <c r="F22" i="3"/>
  <c r="E22" i="3"/>
  <c r="D22" i="3"/>
  <c r="G19" i="3"/>
  <c r="G15" i="3" s="1"/>
  <c r="F19" i="3"/>
  <c r="F15" i="3"/>
  <c r="G16" i="3"/>
  <c r="H16" i="3" s="1"/>
  <c r="I16" i="3" s="1"/>
  <c r="J16" i="3" s="1"/>
  <c r="K16" i="3" s="1"/>
  <c r="F16" i="3"/>
  <c r="G17" i="3"/>
  <c r="H17" i="3" s="1"/>
  <c r="I17" i="3" s="1"/>
  <c r="J17" i="3" s="1"/>
  <c r="K17" i="3" s="1"/>
  <c r="F17" i="3"/>
  <c r="K18" i="3"/>
  <c r="J18" i="3"/>
  <c r="I18" i="3"/>
  <c r="H18" i="3"/>
  <c r="G18" i="3"/>
  <c r="F18" i="3"/>
  <c r="G21" i="3"/>
  <c r="F21" i="3"/>
  <c r="E21" i="3"/>
  <c r="D21" i="3"/>
  <c r="AE25" i="2"/>
  <c r="X8" i="2"/>
  <c r="W8" i="2"/>
  <c r="V8" i="2"/>
  <c r="U8" i="2"/>
  <c r="T8" i="2"/>
  <c r="S8" i="2"/>
  <c r="R8" i="2"/>
  <c r="Q8" i="2"/>
  <c r="P8" i="2"/>
  <c r="O8" i="2"/>
  <c r="N8" i="2"/>
  <c r="J14" i="2"/>
  <c r="J13" i="2"/>
  <c r="J8" i="2"/>
  <c r="J5" i="2"/>
  <c r="L22" i="2"/>
  <c r="L21" i="2"/>
  <c r="L20" i="2"/>
  <c r="K22" i="2"/>
  <c r="K21" i="2"/>
  <c r="K20" i="2"/>
  <c r="K8" i="2"/>
  <c r="K13" i="2" s="1"/>
  <c r="K5" i="2"/>
  <c r="K14" i="2" s="1"/>
  <c r="K16" i="2" s="1"/>
  <c r="L8" i="2"/>
  <c r="L13" i="2" s="1"/>
  <c r="L5" i="2"/>
  <c r="L14" i="2" s="1"/>
  <c r="M8" i="2"/>
  <c r="H19" i="3" l="1"/>
  <c r="H21" i="3"/>
  <c r="L16" i="2"/>
  <c r="H15" i="3" l="1"/>
  <c r="I19" i="3"/>
  <c r="I21" i="3"/>
  <c r="T9" i="2"/>
  <c r="U9" i="2" s="1"/>
  <c r="V9" i="2" s="1"/>
  <c r="W9" i="2" s="1"/>
  <c r="X9" i="2" s="1"/>
  <c r="T10" i="2"/>
  <c r="U10" i="2" s="1"/>
  <c r="V10" i="2" s="1"/>
  <c r="W10" i="2" s="1"/>
  <c r="X10" i="2" s="1"/>
  <c r="T11" i="2"/>
  <c r="U11" i="2" s="1"/>
  <c r="V11" i="2" s="1"/>
  <c r="W11" i="2" s="1"/>
  <c r="X11" i="2" s="1"/>
  <c r="T12" i="2"/>
  <c r="U12" i="2" s="1"/>
  <c r="V12" i="2" s="1"/>
  <c r="W12" i="2" s="1"/>
  <c r="X12" i="2" s="1"/>
  <c r="S22" i="2"/>
  <c r="T22" i="2"/>
  <c r="U22" i="2"/>
  <c r="V22" i="2"/>
  <c r="W22" i="2"/>
  <c r="X22" i="2"/>
  <c r="S20" i="2"/>
  <c r="T20" i="2"/>
  <c r="U20" i="2"/>
  <c r="V20" i="2"/>
  <c r="W20" i="2"/>
  <c r="X20" i="2"/>
  <c r="S10" i="2"/>
  <c r="S11" i="2"/>
  <c r="S12" i="2"/>
  <c r="S9" i="2"/>
  <c r="T7" i="2"/>
  <c r="U7" i="2" s="1"/>
  <c r="V7" i="2" s="1"/>
  <c r="W7" i="2" s="1"/>
  <c r="X7" i="2" s="1"/>
  <c r="S7" i="2"/>
  <c r="T6" i="2"/>
  <c r="U6" i="2" s="1"/>
  <c r="V6" i="2" s="1"/>
  <c r="W6" i="2" s="1"/>
  <c r="X6" i="2" s="1"/>
  <c r="S6" i="2"/>
  <c r="S5" i="2"/>
  <c r="T5" i="2"/>
  <c r="U5" i="2"/>
  <c r="V5" i="2"/>
  <c r="W5" i="2"/>
  <c r="X5" i="2"/>
  <c r="T4" i="2"/>
  <c r="U4" i="2" s="1"/>
  <c r="V4" i="2" s="1"/>
  <c r="W4" i="2" s="1"/>
  <c r="X4" i="2" s="1"/>
  <c r="S4" i="2"/>
  <c r="T3" i="2"/>
  <c r="U3" i="2"/>
  <c r="V3" i="2"/>
  <c r="W3" i="2"/>
  <c r="X3" i="2"/>
  <c r="S3" i="2"/>
  <c r="G20" i="3"/>
  <c r="H20" i="3" s="1"/>
  <c r="I20" i="3" s="1"/>
  <c r="J20" i="3" s="1"/>
  <c r="K20" i="3" s="1"/>
  <c r="F20" i="3"/>
  <c r="E12" i="3"/>
  <c r="F12" i="3"/>
  <c r="G12" i="3"/>
  <c r="H12" i="3"/>
  <c r="I12" i="3"/>
  <c r="J12" i="3"/>
  <c r="K12" i="3"/>
  <c r="F9" i="3"/>
  <c r="G9" i="3" s="1"/>
  <c r="H9" i="3" s="1"/>
  <c r="I9" i="3" s="1"/>
  <c r="J9" i="3" s="1"/>
  <c r="K9" i="3" s="1"/>
  <c r="F6" i="3"/>
  <c r="G6" i="3" s="1"/>
  <c r="H6" i="3" s="1"/>
  <c r="I6" i="3" s="1"/>
  <c r="J6" i="3" s="1"/>
  <c r="K6" i="3" s="1"/>
  <c r="G3" i="3"/>
  <c r="H3" i="3"/>
  <c r="I3" i="3" s="1"/>
  <c r="J3" i="3" s="1"/>
  <c r="K3" i="3" s="1"/>
  <c r="F3" i="3"/>
  <c r="E20" i="3"/>
  <c r="D20" i="3"/>
  <c r="I15" i="3" l="1"/>
  <c r="J19" i="3"/>
  <c r="J21" i="3"/>
  <c r="K21" i="3" s="1"/>
  <c r="D12" i="3"/>
  <c r="M20" i="2"/>
  <c r="M5" i="2"/>
  <c r="M28" i="2"/>
  <c r="M30" i="2" s="1"/>
  <c r="N28" i="2"/>
  <c r="N30" i="2" s="1"/>
  <c r="O20" i="2"/>
  <c r="N20" i="2"/>
  <c r="N13" i="2"/>
  <c r="N5" i="2"/>
  <c r="R20" i="2"/>
  <c r="Q20" i="2"/>
  <c r="P20" i="2"/>
  <c r="O5" i="2"/>
  <c r="P5" i="2"/>
  <c r="Q5" i="2"/>
  <c r="R5" i="2"/>
  <c r="D8" i="2"/>
  <c r="D13" i="2" s="1"/>
  <c r="D5" i="2"/>
  <c r="D14" i="2" s="1"/>
  <c r="K7" i="1"/>
  <c r="K6" i="1"/>
  <c r="K4" i="1"/>
  <c r="K5" i="1" s="1"/>
  <c r="K19" i="3" l="1"/>
  <c r="K15" i="3" s="1"/>
  <c r="J15" i="3"/>
  <c r="N14" i="2"/>
  <c r="M13" i="2"/>
  <c r="M14" i="2" s="1"/>
  <c r="M21" i="2" s="1"/>
  <c r="M22" i="2"/>
  <c r="O13" i="2"/>
  <c r="O14" i="2" s="1"/>
  <c r="O22" i="2"/>
  <c r="Q13" i="2"/>
  <c r="Q14" i="2" s="1"/>
  <c r="Q21" i="2" s="1"/>
  <c r="Q22" i="2"/>
  <c r="N22" i="2"/>
  <c r="P13" i="2"/>
  <c r="P14" i="2" s="1"/>
  <c r="P22" i="2"/>
  <c r="R13" i="2"/>
  <c r="S13" i="2" s="1"/>
  <c r="R22" i="2"/>
  <c r="K8" i="1"/>
  <c r="N16" i="2"/>
  <c r="N21" i="2"/>
  <c r="R14" i="2"/>
  <c r="R16" i="2" s="1"/>
  <c r="D21" i="2"/>
  <c r="D16" i="2"/>
  <c r="D17" i="2" s="1"/>
  <c r="T13" i="2" l="1"/>
  <c r="S14" i="2"/>
  <c r="P16" i="2"/>
  <c r="P21" i="2"/>
  <c r="O21" i="2"/>
  <c r="O16" i="2"/>
  <c r="M16" i="2"/>
  <c r="R21" i="2"/>
  <c r="Q16" i="2"/>
  <c r="S15" i="2" l="1"/>
  <c r="S16" i="2" s="1"/>
  <c r="T14" i="2"/>
  <c r="U13" i="2"/>
  <c r="V13" i="2" l="1"/>
  <c r="U14" i="2"/>
  <c r="T15" i="2"/>
  <c r="T16" i="2" s="1"/>
  <c r="U16" i="2" l="1"/>
  <c r="U15" i="2"/>
  <c r="W13" i="2"/>
  <c r="V14" i="2"/>
  <c r="V15" i="2" l="1"/>
  <c r="V16" i="2" s="1"/>
  <c r="X13" i="2"/>
  <c r="X14" i="2" s="1"/>
  <c r="W14" i="2"/>
  <c r="W15" i="2" l="1"/>
  <c r="W16" i="2" s="1"/>
  <c r="X15" i="2"/>
  <c r="X16" i="2"/>
  <c r="Y16" i="2" s="1"/>
  <c r="Z16" i="2" l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EV16" i="2" s="1"/>
  <c r="EW16" i="2" s="1"/>
  <c r="EX16" i="2" s="1"/>
  <c r="EY16" i="2" s="1"/>
  <c r="EZ16" i="2" s="1"/>
  <c r="FA16" i="2" s="1"/>
  <c r="FB16" i="2" s="1"/>
  <c r="FC16" i="2" s="1"/>
  <c r="FD16" i="2" s="1"/>
  <c r="FE16" i="2" s="1"/>
  <c r="FF16" i="2" s="1"/>
  <c r="FG16" i="2" s="1"/>
  <c r="FH16" i="2" s="1"/>
  <c r="FI16" i="2" s="1"/>
  <c r="AE22" i="2" l="1"/>
  <c r="AE24" i="2" s="1"/>
  <c r="AF22" i="2"/>
  <c r="AF24" i="2" s="1"/>
  <c r="AF25" i="2" s="1"/>
  <c r="AG22" i="2"/>
  <c r="AG24" i="2" s="1"/>
  <c r="AG25" i="2" s="1"/>
</calcChain>
</file>

<file path=xl/sharedStrings.xml><?xml version="1.0" encoding="utf-8"?>
<sst xmlns="http://schemas.openxmlformats.org/spreadsheetml/2006/main" count="115" uniqueCount="69">
  <si>
    <t xml:space="preserve">Price </t>
  </si>
  <si>
    <t>shares</t>
  </si>
  <si>
    <t>Mc</t>
  </si>
  <si>
    <t>Cash</t>
  </si>
  <si>
    <t>debt</t>
  </si>
  <si>
    <t>Ev</t>
  </si>
  <si>
    <t>cr</t>
  </si>
  <si>
    <t xml:space="preserve">Business Model </t>
  </si>
  <si>
    <t>Supermarket chains across Indian Subcontinent and various chains in almost every part</t>
  </si>
  <si>
    <t>Flash ,loot deals and Discount Offers</t>
  </si>
  <si>
    <t>*Mostly debt covered in trade finances , no longterm outstanding debt</t>
  </si>
  <si>
    <t>inr</t>
  </si>
  <si>
    <t>Operations</t>
  </si>
  <si>
    <t>others</t>
  </si>
  <si>
    <t>Revenue</t>
  </si>
  <si>
    <t>Purchase of Materials</t>
  </si>
  <si>
    <t>change of Inventories</t>
  </si>
  <si>
    <t>Cogs</t>
  </si>
  <si>
    <t>Employee Benefits</t>
  </si>
  <si>
    <t>D&amp;A expenses</t>
  </si>
  <si>
    <t>Expenses</t>
  </si>
  <si>
    <t>Taxes</t>
  </si>
  <si>
    <t>Nopat</t>
  </si>
  <si>
    <t>EPS</t>
  </si>
  <si>
    <t>Eps Model</t>
  </si>
  <si>
    <t>Revenue (y/y)</t>
  </si>
  <si>
    <t>Taxes %</t>
  </si>
  <si>
    <t>Operating Profit</t>
  </si>
  <si>
    <t>https://www.dmartindia.com/investor-relationship</t>
  </si>
  <si>
    <t>CFFO</t>
  </si>
  <si>
    <t>CFFI</t>
  </si>
  <si>
    <t>FCF</t>
  </si>
  <si>
    <t>CFFF</t>
  </si>
  <si>
    <t>PP&amp;E</t>
  </si>
  <si>
    <t xml:space="preserve">Food </t>
  </si>
  <si>
    <t>% of Revenue</t>
  </si>
  <si>
    <t>Non -Food(Fmcg)</t>
  </si>
  <si>
    <t>Home care, personal care ,others</t>
  </si>
  <si>
    <t>22-23</t>
  </si>
  <si>
    <t>Mechadndise &amp; Apparel</t>
  </si>
  <si>
    <t>bed&amp;bath ,utensils,garments ,home applience</t>
  </si>
  <si>
    <t>games ,plastic wears ,garments</t>
  </si>
  <si>
    <t>Opearations</t>
  </si>
  <si>
    <t>investor Relations</t>
  </si>
  <si>
    <t>Raw materials ,Fresh and Frozen foods</t>
  </si>
  <si>
    <t>Financing Costs</t>
  </si>
  <si>
    <t>Fast Moving consumer Goods</t>
  </si>
  <si>
    <t>100 % of opearations in INDIA no international ventures</t>
  </si>
  <si>
    <t>COGS(%of revenue)</t>
  </si>
  <si>
    <t>sale of Goods</t>
  </si>
  <si>
    <t>sale of Goods on approvals</t>
  </si>
  <si>
    <t>Cogs on approval basis</t>
  </si>
  <si>
    <t>taxes</t>
  </si>
  <si>
    <t>Total revenue</t>
  </si>
  <si>
    <t>Revenue Breakdown (Operations)</t>
  </si>
  <si>
    <t>23-24</t>
  </si>
  <si>
    <t>24-25</t>
  </si>
  <si>
    <t>25-26</t>
  </si>
  <si>
    <t>26-27</t>
  </si>
  <si>
    <t>27-28</t>
  </si>
  <si>
    <t>28-29</t>
  </si>
  <si>
    <t>29-30</t>
  </si>
  <si>
    <t>Growth</t>
  </si>
  <si>
    <t>Discount rate</t>
  </si>
  <si>
    <t>Npv</t>
  </si>
  <si>
    <t>Price</t>
  </si>
  <si>
    <t>Nil</t>
  </si>
  <si>
    <t>Taxes(%)</t>
  </si>
  <si>
    <t>Revenue segregated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</si>
</sst>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u/>
      <sz val="14"/>
      <color theme="1"/>
      <name val="Arial"/>
      <family val="2"/>
    </font>
    <font>
      <b/>
      <u/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 applyAlignment="1">
      <alignment horizontal="left"/>
    </xf>
    <xf numFmtId="17" fontId="1" fillId="0" borderId="0" xfId="0" applyNumberFormat="1" applyFont="1"/>
    <xf numFmtId="0" fontId="4" fillId="0" borderId="0" xfId="0" applyFont="1"/>
    <xf numFmtId="164" fontId="1" fillId="0" borderId="0" xfId="0" applyNumberFormat="1" applyFont="1"/>
    <xf numFmtId="164" fontId="4" fillId="0" borderId="0" xfId="0" applyNumberFormat="1" applyFont="1"/>
    <xf numFmtId="1" fontId="1" fillId="0" borderId="0" xfId="0" applyNumberFormat="1" applyFont="1"/>
    <xf numFmtId="0" fontId="1" fillId="0" borderId="0" xfId="0" quotePrefix="1" applyFont="1" applyAlignment="1">
      <alignment horizontal="left"/>
    </xf>
    <xf numFmtId="10" fontId="1" fillId="0" borderId="0" xfId="0" applyNumberFormat="1" applyFont="1"/>
    <xf numFmtId="0" fontId="5" fillId="0" borderId="0" xfId="1"/>
    <xf numFmtId="0" fontId="6" fillId="0" borderId="0" xfId="0" applyFont="1"/>
    <xf numFmtId="10" fontId="6" fillId="0" borderId="0" xfId="0" applyNumberFormat="1" applyFont="1"/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/>
    <xf numFmtId="15" fontId="6" fillId="0" borderId="0" xfId="0" applyNumberFormat="1" applyFont="1"/>
    <xf numFmtId="3" fontId="6" fillId="0" borderId="0" xfId="0" applyNumberFormat="1" applyFont="1"/>
    <xf numFmtId="0" fontId="8" fillId="0" borderId="0" xfId="0" applyFont="1"/>
    <xf numFmtId="0" fontId="9" fillId="0" borderId="0" xfId="0" quotePrefix="1" applyFont="1" applyAlignment="1">
      <alignment horizontal="left"/>
    </xf>
    <xf numFmtId="2" fontId="1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166" fontId="1" fillId="0" borderId="0" xfId="0" applyNumberFormat="1" applyFont="1"/>
    <xf numFmtId="4" fontId="1" fillId="0" borderId="0" xfId="0" applyNumberFormat="1" applyFont="1"/>
    <xf numFmtId="4" fontId="4" fillId="0" borderId="0" xfId="0" applyNumberFormat="1" applyFont="1"/>
    <xf numFmtId="0" fontId="11" fillId="0" borderId="0" xfId="0" applyFont="1"/>
    <xf numFmtId="3" fontId="11" fillId="0" borderId="0" xfId="0" applyNumberFormat="1" applyFont="1"/>
    <xf numFmtId="1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662940</xdr:colOff>
      <xdr:row>0</xdr:row>
      <xdr:rowOff>53340</xdr:rowOff>
    </xdr:from>
    <xdr:to>
      <xdr:col>17</xdr:col>
      <xdr:colOff>678180</xdr:colOff>
      <xdr:row>31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5530666-FD9B-ED1E-96B3-6197E32116B7}"/>
            </a:ext>
          </a:extLst>
        </xdr:cNvPr>
        <xdr:cNvCxnSpPr/>
      </xdr:nvCxnSpPr>
      <xdr:spPr>
        <a:xfrm flipH="1">
          <a:off x="16055340" y="53340"/>
          <a:ext cx="15240" cy="5471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martindia.com/investor-relationshi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9B0C-5D7A-4BC8-8664-A4164319787C}">
  <dimension ref="A2:M20"/>
  <sheetViews>
    <sheetView topLeftCell="H1" workbookViewId="0">
      <selection activeCell="M5" sqref="M5"/>
    </sheetView>
  </sheetViews>
  <sheetFormatPr defaultRowHeight="15" x14ac:dyDescent="0.25"/>
  <cols>
    <col min="1" max="1" width="8.88671875" style="2"/>
    <col min="2" max="2" width="13.44140625" style="2" customWidth="1"/>
    <col min="3" max="8" width="8.88671875" style="2"/>
    <col min="9" max="9" width="15.77734375" style="2" customWidth="1"/>
    <col min="10" max="10" width="10.109375" style="2" customWidth="1"/>
    <col min="11" max="11" width="16.33203125" style="2" bestFit="1" customWidth="1"/>
    <col min="12" max="12" width="13.33203125" style="2" bestFit="1" customWidth="1"/>
    <col min="13" max="16384" width="8.88671875" style="2"/>
  </cols>
  <sheetData>
    <row r="2" spans="1:13" ht="17.399999999999999" x14ac:dyDescent="0.3">
      <c r="J2" s="13"/>
      <c r="K2" s="13"/>
      <c r="L2" s="19">
        <v>45378</v>
      </c>
    </row>
    <row r="3" spans="1:13" ht="17.399999999999999" x14ac:dyDescent="0.3">
      <c r="A3" s="4" t="s">
        <v>10</v>
      </c>
      <c r="J3" s="13" t="s">
        <v>0</v>
      </c>
      <c r="K3" s="13">
        <v>4000</v>
      </c>
      <c r="L3" s="13" t="s">
        <v>11</v>
      </c>
    </row>
    <row r="4" spans="1:13" ht="17.399999999999999" x14ac:dyDescent="0.3">
      <c r="J4" s="13" t="s">
        <v>1</v>
      </c>
      <c r="K4" s="20">
        <f>161031652+485747156</f>
        <v>646778808</v>
      </c>
      <c r="L4" s="13"/>
      <c r="M4" s="2" t="s">
        <v>43</v>
      </c>
    </row>
    <row r="5" spans="1:13" ht="17.399999999999999" x14ac:dyDescent="0.3">
      <c r="A5" s="3" t="s">
        <v>7</v>
      </c>
      <c r="J5" s="13" t="s">
        <v>2</v>
      </c>
      <c r="K5" s="20">
        <f>K4*K3/10000000</f>
        <v>258711.5232</v>
      </c>
      <c r="L5" s="13" t="s">
        <v>6</v>
      </c>
      <c r="M5" s="12" t="s">
        <v>28</v>
      </c>
    </row>
    <row r="6" spans="1:13" ht="17.399999999999999" x14ac:dyDescent="0.3">
      <c r="A6" s="2" t="s">
        <v>8</v>
      </c>
      <c r="J6" s="13" t="s">
        <v>3</v>
      </c>
      <c r="K6" s="20">
        <f>258.92+300.94+1124.42</f>
        <v>1684.2800000000002</v>
      </c>
      <c r="L6" s="13" t="s">
        <v>6</v>
      </c>
    </row>
    <row r="7" spans="1:13" ht="17.399999999999999" x14ac:dyDescent="0.3">
      <c r="A7" s="2" t="s">
        <v>9</v>
      </c>
      <c r="J7" s="13" t="s">
        <v>4</v>
      </c>
      <c r="K7" s="20">
        <f>148.99+377.69+744.88</f>
        <v>1271.56</v>
      </c>
      <c r="L7" s="13" t="s">
        <v>6</v>
      </c>
    </row>
    <row r="8" spans="1:13" ht="17.399999999999999" x14ac:dyDescent="0.3">
      <c r="A8" s="2" t="s">
        <v>47</v>
      </c>
      <c r="J8" s="13" t="s">
        <v>5</v>
      </c>
      <c r="K8" s="20">
        <f>K5+K7-K6</f>
        <v>258298.80319999999</v>
      </c>
      <c r="L8" s="13" t="s">
        <v>6</v>
      </c>
    </row>
    <row r="10" spans="1:13" ht="21" x14ac:dyDescent="0.4">
      <c r="A10" s="18" t="s">
        <v>42</v>
      </c>
      <c r="B10" s="18"/>
    </row>
    <row r="11" spans="1:13" x14ac:dyDescent="0.25">
      <c r="A11" s="1"/>
    </row>
    <row r="12" spans="1:13" ht="17.399999999999999" x14ac:dyDescent="0.3">
      <c r="A12" s="21" t="s">
        <v>34</v>
      </c>
      <c r="B12" s="13"/>
    </row>
    <row r="13" spans="1:13" ht="17.399999999999999" x14ac:dyDescent="0.3">
      <c r="A13" s="13" t="s">
        <v>44</v>
      </c>
      <c r="B13" s="13"/>
    </row>
    <row r="14" spans="1:13" ht="17.399999999999999" x14ac:dyDescent="0.3">
      <c r="A14" s="13"/>
      <c r="B14" s="13"/>
    </row>
    <row r="15" spans="1:13" ht="17.399999999999999" x14ac:dyDescent="0.3">
      <c r="A15" s="21" t="s">
        <v>36</v>
      </c>
      <c r="B15" s="13"/>
      <c r="C15" s="13" t="s">
        <v>46</v>
      </c>
      <c r="D15" s="13"/>
      <c r="E15" s="13"/>
      <c r="F15" s="13"/>
    </row>
    <row r="16" spans="1:13" ht="17.399999999999999" x14ac:dyDescent="0.3">
      <c r="A16" s="13" t="s">
        <v>37</v>
      </c>
      <c r="B16" s="13"/>
    </row>
    <row r="17" spans="1:2" ht="17.399999999999999" x14ac:dyDescent="0.3">
      <c r="A17" s="13"/>
      <c r="B17" s="13"/>
    </row>
    <row r="18" spans="1:2" ht="17.399999999999999" x14ac:dyDescent="0.3">
      <c r="A18" s="21" t="s">
        <v>39</v>
      </c>
      <c r="B18" s="13"/>
    </row>
    <row r="19" spans="1:2" ht="17.399999999999999" x14ac:dyDescent="0.3">
      <c r="A19" s="15" t="s">
        <v>40</v>
      </c>
      <c r="B19" s="13"/>
    </row>
    <row r="20" spans="1:2" ht="17.399999999999999" x14ac:dyDescent="0.3">
      <c r="A20" s="13" t="s">
        <v>41</v>
      </c>
      <c r="B20" s="13"/>
    </row>
  </sheetData>
  <hyperlinks>
    <hyperlink ref="M5" r:id="rId1" xr:uid="{58B849E6-88E3-4145-8B7D-2BA7C234C0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6B56-4154-4AB0-9C47-572B3034C0D4}">
  <dimension ref="A2:FI34"/>
  <sheetViews>
    <sheetView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E22" sqref="AE22"/>
    </sheetView>
  </sheetViews>
  <sheetFormatPr defaultRowHeight="13.8" x14ac:dyDescent="0.25"/>
  <cols>
    <col min="1" max="1" width="8.88671875" style="1"/>
    <col min="2" max="2" width="14.44140625" style="1" customWidth="1"/>
    <col min="3" max="3" width="9.5546875" style="1" customWidth="1"/>
    <col min="4" max="14" width="14.33203125" style="1" customWidth="1"/>
    <col min="15" max="15" width="12.33203125" style="1" customWidth="1"/>
    <col min="16" max="16" width="11.5546875" style="1" customWidth="1"/>
    <col min="17" max="23" width="10" style="1" customWidth="1"/>
    <col min="24" max="24" width="10.44140625" style="1" customWidth="1"/>
    <col min="25" max="25" width="9.77734375" style="1" customWidth="1"/>
    <col min="26" max="29" width="8.88671875" style="1"/>
    <col min="30" max="30" width="8.5546875" style="1" customWidth="1"/>
    <col min="31" max="31" width="18.6640625" style="1" customWidth="1"/>
    <col min="32" max="32" width="12.77734375" style="1" customWidth="1"/>
    <col min="33" max="76" width="8.88671875" style="1"/>
    <col min="77" max="84" width="10.88671875" style="1" customWidth="1"/>
    <col min="85" max="165" width="12.6640625" style="1" customWidth="1"/>
    <col min="166" max="16384" width="8.88671875" style="1"/>
  </cols>
  <sheetData>
    <row r="2" spans="1:165" x14ac:dyDescent="0.25">
      <c r="D2" s="5">
        <v>45627</v>
      </c>
      <c r="E2" s="5"/>
      <c r="F2" s="9">
        <v>2012</v>
      </c>
      <c r="G2" s="9">
        <v>2013</v>
      </c>
      <c r="H2" s="9">
        <v>2014</v>
      </c>
      <c r="I2" s="9">
        <v>2015</v>
      </c>
      <c r="J2" s="9">
        <v>2016</v>
      </c>
      <c r="K2" s="9">
        <v>2017</v>
      </c>
      <c r="L2" s="9">
        <v>2018</v>
      </c>
      <c r="M2" s="9">
        <v>2019</v>
      </c>
      <c r="N2" s="9">
        <v>2020</v>
      </c>
      <c r="O2" s="9">
        <v>2021</v>
      </c>
      <c r="P2" s="1">
        <v>2022</v>
      </c>
      <c r="Q2" s="1">
        <v>2023</v>
      </c>
      <c r="R2" s="1">
        <v>2024</v>
      </c>
      <c r="S2" s="1">
        <v>2025</v>
      </c>
      <c r="T2" s="1">
        <v>2026</v>
      </c>
      <c r="U2" s="1">
        <v>2027</v>
      </c>
      <c r="V2" s="1">
        <v>2028</v>
      </c>
      <c r="W2" s="1">
        <v>2029</v>
      </c>
      <c r="X2" s="1">
        <v>2030</v>
      </c>
    </row>
    <row r="3" spans="1:165" x14ac:dyDescent="0.25">
      <c r="A3" s="1" t="s">
        <v>12</v>
      </c>
      <c r="D3" s="7">
        <v>15972</v>
      </c>
      <c r="E3" s="7"/>
      <c r="F3" s="7" t="s">
        <v>66</v>
      </c>
      <c r="G3" s="7" t="s">
        <v>66</v>
      </c>
      <c r="H3" s="7" t="s">
        <v>66</v>
      </c>
      <c r="I3" s="7" t="s">
        <v>66</v>
      </c>
      <c r="J3" s="7">
        <v>8583.75</v>
      </c>
      <c r="K3" s="7">
        <v>11897.69</v>
      </c>
      <c r="L3" s="7">
        <v>15033.19</v>
      </c>
      <c r="M3" s="7">
        <v>20004.52</v>
      </c>
      <c r="N3" s="7">
        <v>24870.2</v>
      </c>
      <c r="O3" s="7">
        <v>24143.06</v>
      </c>
      <c r="P3" s="7">
        <v>30976.27</v>
      </c>
      <c r="Q3" s="7">
        <v>41833.25</v>
      </c>
      <c r="R3" s="7">
        <v>49532.95</v>
      </c>
      <c r="S3" s="1">
        <f>'Revenue Projection'!F20</f>
        <v>56962.892500000002</v>
      </c>
      <c r="T3" s="1">
        <f>'Revenue Projection'!G20</f>
        <v>65507.326375000004</v>
      </c>
      <c r="U3" s="1">
        <f>'Revenue Projection'!H20</f>
        <v>75333.425331250008</v>
      </c>
      <c r="V3" s="1">
        <f>'Revenue Projection'!I20</f>
        <v>86633.439130937506</v>
      </c>
      <c r="W3" s="1">
        <f>'Revenue Projection'!J20</f>
        <v>99628.455000578135</v>
      </c>
      <c r="X3" s="1">
        <f>'Revenue Projection'!K20</f>
        <v>114572.72325066486</v>
      </c>
    </row>
    <row r="4" spans="1:165" x14ac:dyDescent="0.25">
      <c r="A4" s="1" t="s">
        <v>13</v>
      </c>
      <c r="D4" s="7">
        <v>24.14</v>
      </c>
      <c r="E4" s="7"/>
      <c r="F4" s="7" t="s">
        <v>66</v>
      </c>
      <c r="G4" s="7" t="s">
        <v>66</v>
      </c>
      <c r="H4" s="7" t="s">
        <v>66</v>
      </c>
      <c r="I4" s="7" t="s">
        <v>66</v>
      </c>
      <c r="J4" s="7">
        <v>17.93</v>
      </c>
      <c r="K4" s="7">
        <v>28.55</v>
      </c>
      <c r="L4" s="7">
        <v>69.319999999999993</v>
      </c>
      <c r="M4" s="7">
        <v>48.35</v>
      </c>
      <c r="N4" s="7">
        <v>59.99</v>
      </c>
      <c r="O4" s="7">
        <v>196.21</v>
      </c>
      <c r="P4" s="7">
        <v>117.49</v>
      </c>
      <c r="Q4" s="7">
        <v>163.09</v>
      </c>
      <c r="R4" s="7">
        <v>189.05</v>
      </c>
      <c r="S4" s="23">
        <f>0.1*R4+R4</f>
        <v>207.95500000000001</v>
      </c>
      <c r="T4" s="23">
        <f t="shared" ref="T4:X4" si="0">0.1*S4+S4</f>
        <v>228.75050000000002</v>
      </c>
      <c r="U4" s="23">
        <f t="shared" si="0"/>
        <v>251.62555000000003</v>
      </c>
      <c r="V4" s="23">
        <f t="shared" si="0"/>
        <v>276.78810500000003</v>
      </c>
      <c r="W4" s="23">
        <f t="shared" si="0"/>
        <v>304.46691550000003</v>
      </c>
      <c r="X4" s="23">
        <f t="shared" si="0"/>
        <v>334.91360705000005</v>
      </c>
    </row>
    <row r="5" spans="1:165" s="6" customFormat="1" x14ac:dyDescent="0.25">
      <c r="A5" s="6" t="s">
        <v>14</v>
      </c>
      <c r="D5" s="8">
        <f>D3+D4</f>
        <v>15996.14</v>
      </c>
      <c r="E5" s="8"/>
      <c r="F5" s="7" t="s">
        <v>66</v>
      </c>
      <c r="G5" s="7" t="s">
        <v>66</v>
      </c>
      <c r="H5" s="7" t="s">
        <v>66</v>
      </c>
      <c r="I5" s="7" t="s">
        <v>66</v>
      </c>
      <c r="J5" s="8">
        <f t="shared" ref="J5:K5" si="1">J3+J4</f>
        <v>8601.68</v>
      </c>
      <c r="K5" s="8">
        <f t="shared" si="1"/>
        <v>11926.24</v>
      </c>
      <c r="L5" s="8">
        <f t="shared" ref="L5" si="2">L3+L4</f>
        <v>15102.51</v>
      </c>
      <c r="M5" s="8">
        <f t="shared" ref="M5:X5" si="3">M3+M4</f>
        <v>20052.87</v>
      </c>
      <c r="N5" s="8">
        <f t="shared" si="3"/>
        <v>24930.190000000002</v>
      </c>
      <c r="O5" s="8">
        <f t="shared" si="3"/>
        <v>24339.27</v>
      </c>
      <c r="P5" s="8">
        <f t="shared" si="3"/>
        <v>31093.760000000002</v>
      </c>
      <c r="Q5" s="8">
        <f t="shared" si="3"/>
        <v>41996.34</v>
      </c>
      <c r="R5" s="8">
        <f t="shared" si="3"/>
        <v>49722</v>
      </c>
      <c r="S5" s="8">
        <f t="shared" si="3"/>
        <v>57170.847500000003</v>
      </c>
      <c r="T5" s="8">
        <f t="shared" si="3"/>
        <v>65736.076874999999</v>
      </c>
      <c r="U5" s="8">
        <f t="shared" si="3"/>
        <v>75585.050881250005</v>
      </c>
      <c r="V5" s="8">
        <f t="shared" si="3"/>
        <v>86910.227235937506</v>
      </c>
      <c r="W5" s="8">
        <f t="shared" si="3"/>
        <v>99932.921916078136</v>
      </c>
      <c r="X5" s="8">
        <f t="shared" si="3"/>
        <v>114907.63685771485</v>
      </c>
    </row>
    <row r="6" spans="1:165" x14ac:dyDescent="0.25">
      <c r="A6" s="1" t="s">
        <v>15</v>
      </c>
      <c r="D6" s="7">
        <v>13376.92</v>
      </c>
      <c r="E6" s="7"/>
      <c r="F6" s="7" t="s">
        <v>66</v>
      </c>
      <c r="G6" s="7" t="s">
        <v>66</v>
      </c>
      <c r="H6" s="7" t="s">
        <v>66</v>
      </c>
      <c r="I6" s="7" t="s">
        <v>66</v>
      </c>
      <c r="J6" s="27">
        <v>7435.61</v>
      </c>
      <c r="K6" s="27">
        <v>10357.25</v>
      </c>
      <c r="L6" s="7">
        <v>12846.95</v>
      </c>
      <c r="M6" s="27">
        <v>17445.490000000002</v>
      </c>
      <c r="N6" s="7">
        <v>21441.68</v>
      </c>
      <c r="O6" s="7">
        <v>20855.560000000001</v>
      </c>
      <c r="P6" s="7">
        <v>26891.77</v>
      </c>
      <c r="Q6" s="7">
        <v>36243.89</v>
      </c>
      <c r="R6" s="7">
        <v>43214.52</v>
      </c>
      <c r="S6" s="24">
        <f>0.1*R6+R6</f>
        <v>47535.971999999994</v>
      </c>
      <c r="T6" s="24">
        <f t="shared" ref="T6:X6" si="4">0.1*S6+S6</f>
        <v>52289.569199999991</v>
      </c>
      <c r="U6" s="24">
        <f t="shared" si="4"/>
        <v>57518.526119999988</v>
      </c>
      <c r="V6" s="24">
        <f t="shared" si="4"/>
        <v>63270.378731999983</v>
      </c>
      <c r="W6" s="24">
        <f t="shared" si="4"/>
        <v>69597.416605199978</v>
      </c>
      <c r="X6" s="24">
        <f t="shared" si="4"/>
        <v>76557.158265719976</v>
      </c>
    </row>
    <row r="7" spans="1:165" x14ac:dyDescent="0.25">
      <c r="A7" s="1" t="s">
        <v>16</v>
      </c>
      <c r="D7" s="7">
        <v>243.66</v>
      </c>
      <c r="E7" s="7"/>
      <c r="F7" s="7" t="s">
        <v>66</v>
      </c>
      <c r="G7" s="7" t="s">
        <v>66</v>
      </c>
      <c r="H7" s="7" t="s">
        <v>66</v>
      </c>
      <c r="I7" s="7" t="s">
        <v>66</v>
      </c>
      <c r="J7" s="27">
        <v>-132.07</v>
      </c>
      <c r="K7" s="27">
        <v>-276.20999999999998</v>
      </c>
      <c r="L7" s="7">
        <v>-213.31</v>
      </c>
      <c r="M7" s="27">
        <v>-444.65</v>
      </c>
      <c r="N7" s="7">
        <v>-338.75</v>
      </c>
      <c r="O7" s="7">
        <v>-300.88</v>
      </c>
      <c r="P7" s="7">
        <v>-494.38</v>
      </c>
      <c r="Q7" s="7">
        <v>-468.67</v>
      </c>
      <c r="R7" s="7">
        <v>-667.87</v>
      </c>
      <c r="S7" s="24">
        <f>0.2*R7+R7</f>
        <v>-801.44399999999996</v>
      </c>
      <c r="T7" s="24">
        <f t="shared" ref="T7:X7" si="5">0.2*S7+S7</f>
        <v>-961.7328</v>
      </c>
      <c r="U7" s="24">
        <f t="shared" si="5"/>
        <v>-1154.07936</v>
      </c>
      <c r="V7" s="24">
        <f t="shared" si="5"/>
        <v>-1384.8952319999999</v>
      </c>
      <c r="W7" s="24">
        <f t="shared" si="5"/>
        <v>-1661.8742783999999</v>
      </c>
      <c r="X7" s="24">
        <f t="shared" si="5"/>
        <v>-1994.2491340799997</v>
      </c>
    </row>
    <row r="8" spans="1:165" s="6" customFormat="1" x14ac:dyDescent="0.25">
      <c r="A8" s="6" t="s">
        <v>17</v>
      </c>
      <c r="D8" s="8">
        <f>D6+D7</f>
        <v>13620.58</v>
      </c>
      <c r="E8" s="8"/>
      <c r="F8" s="7" t="s">
        <v>66</v>
      </c>
      <c r="G8" s="7" t="s">
        <v>66</v>
      </c>
      <c r="H8" s="7" t="s">
        <v>66</v>
      </c>
      <c r="I8" s="7" t="s">
        <v>66</v>
      </c>
      <c r="J8" s="28">
        <f>J6+J7</f>
        <v>7303.54</v>
      </c>
      <c r="K8" s="28">
        <f>K6+K7</f>
        <v>10081.040000000001</v>
      </c>
      <c r="L8" s="28">
        <f>L6+L7</f>
        <v>12633.640000000001</v>
      </c>
      <c r="M8" s="28">
        <f>M6+M7</f>
        <v>17000.84</v>
      </c>
      <c r="N8" s="28">
        <f t="shared" ref="N8:X8" si="6">N6+N7</f>
        <v>21102.93</v>
      </c>
      <c r="O8" s="28">
        <f t="shared" si="6"/>
        <v>20554.68</v>
      </c>
      <c r="P8" s="28">
        <f t="shared" si="6"/>
        <v>26397.39</v>
      </c>
      <c r="Q8" s="28">
        <f t="shared" si="6"/>
        <v>35775.22</v>
      </c>
      <c r="R8" s="28">
        <f t="shared" si="6"/>
        <v>42546.649999999994</v>
      </c>
      <c r="S8" s="28">
        <f t="shared" si="6"/>
        <v>46734.527999999991</v>
      </c>
      <c r="T8" s="28">
        <f t="shared" si="6"/>
        <v>51327.836399999993</v>
      </c>
      <c r="U8" s="28">
        <f t="shared" si="6"/>
        <v>56364.446759999984</v>
      </c>
      <c r="V8" s="28">
        <f t="shared" si="6"/>
        <v>61885.48349999998</v>
      </c>
      <c r="W8" s="28">
        <f t="shared" si="6"/>
        <v>67935.542326799972</v>
      </c>
      <c r="X8" s="28">
        <f t="shared" si="6"/>
        <v>74562.909131639972</v>
      </c>
    </row>
    <row r="9" spans="1:165" x14ac:dyDescent="0.25">
      <c r="A9" s="1" t="s">
        <v>18</v>
      </c>
      <c r="D9" s="7">
        <v>304.83</v>
      </c>
      <c r="E9" s="7"/>
      <c r="F9" s="7" t="s">
        <v>66</v>
      </c>
      <c r="G9" s="7" t="s">
        <v>66</v>
      </c>
      <c r="H9" s="7" t="s">
        <v>66</v>
      </c>
      <c r="I9" s="7" t="s">
        <v>66</v>
      </c>
      <c r="J9" s="27">
        <v>149.03</v>
      </c>
      <c r="K9" s="27">
        <v>192.51</v>
      </c>
      <c r="L9" s="7">
        <v>282.58</v>
      </c>
      <c r="M9" s="27">
        <v>355.42</v>
      </c>
      <c r="N9" s="7">
        <v>456.1</v>
      </c>
      <c r="O9" s="7">
        <v>563.47</v>
      </c>
      <c r="P9" s="7">
        <v>616.21</v>
      </c>
      <c r="Q9" s="7">
        <v>648.17999999999995</v>
      </c>
      <c r="R9" s="7">
        <v>785.71</v>
      </c>
      <c r="S9" s="24">
        <f>0.15*R9+R9</f>
        <v>903.56650000000002</v>
      </c>
      <c r="T9" s="24">
        <f t="shared" ref="T9:X9" si="7">0.15*S9+S9</f>
        <v>1039.1014749999999</v>
      </c>
      <c r="U9" s="24">
        <f t="shared" si="7"/>
        <v>1194.96669625</v>
      </c>
      <c r="V9" s="24">
        <f t="shared" si="7"/>
        <v>1374.2117006875001</v>
      </c>
      <c r="W9" s="24">
        <f t="shared" si="7"/>
        <v>1580.3434557906251</v>
      </c>
      <c r="X9" s="24">
        <f t="shared" si="7"/>
        <v>1817.3949741592187</v>
      </c>
    </row>
    <row r="10" spans="1:165" x14ac:dyDescent="0.25">
      <c r="A10" s="10" t="s">
        <v>45</v>
      </c>
      <c r="D10" s="7">
        <v>18.21</v>
      </c>
      <c r="E10" s="7"/>
      <c r="F10" s="7" t="s">
        <v>66</v>
      </c>
      <c r="G10" s="7" t="s">
        <v>66</v>
      </c>
      <c r="H10" s="7" t="s">
        <v>66</v>
      </c>
      <c r="I10" s="7" t="s">
        <v>66</v>
      </c>
      <c r="J10" s="27">
        <v>91.33</v>
      </c>
      <c r="K10" s="27">
        <v>121.97</v>
      </c>
      <c r="L10" s="7">
        <v>59.54</v>
      </c>
      <c r="M10" s="27">
        <v>47.21</v>
      </c>
      <c r="N10" s="7">
        <v>69.12</v>
      </c>
      <c r="O10" s="7">
        <v>41.65</v>
      </c>
      <c r="P10" s="7">
        <v>53.79</v>
      </c>
      <c r="Q10" s="7">
        <v>48.07</v>
      </c>
      <c r="R10" s="7">
        <v>44.27</v>
      </c>
      <c r="S10" s="24">
        <f t="shared" ref="S10:X13" si="8">0.15*R10+R10</f>
        <v>50.910500000000006</v>
      </c>
      <c r="T10" s="24">
        <f t="shared" si="8"/>
        <v>58.547075000000007</v>
      </c>
      <c r="U10" s="24">
        <f t="shared" si="8"/>
        <v>67.329136250000005</v>
      </c>
      <c r="V10" s="24">
        <f t="shared" si="8"/>
        <v>77.428506687500004</v>
      </c>
      <c r="W10" s="24">
        <f t="shared" si="8"/>
        <v>89.042782690625003</v>
      </c>
      <c r="X10" s="24">
        <f t="shared" si="8"/>
        <v>102.39920009421876</v>
      </c>
    </row>
    <row r="11" spans="1:165" x14ac:dyDescent="0.25">
      <c r="A11" s="1" t="s">
        <v>19</v>
      </c>
      <c r="D11" s="7">
        <v>228.12</v>
      </c>
      <c r="E11" s="7"/>
      <c r="F11" s="7" t="s">
        <v>66</v>
      </c>
      <c r="G11" s="7" t="s">
        <v>66</v>
      </c>
      <c r="H11" s="7" t="s">
        <v>66</v>
      </c>
      <c r="I11" s="7" t="s">
        <v>66</v>
      </c>
      <c r="J11" s="27">
        <v>98.42</v>
      </c>
      <c r="K11" s="27">
        <v>127.81</v>
      </c>
      <c r="L11" s="7">
        <v>158.99</v>
      </c>
      <c r="M11" s="27">
        <v>212.49</v>
      </c>
      <c r="N11" s="7">
        <v>374.12</v>
      </c>
      <c r="O11" s="7">
        <v>414.16</v>
      </c>
      <c r="P11" s="7">
        <v>498.08</v>
      </c>
      <c r="Q11" s="7">
        <v>543.25</v>
      </c>
      <c r="R11" s="7">
        <v>632.79</v>
      </c>
      <c r="S11" s="24">
        <f t="shared" si="8"/>
        <v>727.70849999999996</v>
      </c>
      <c r="T11" s="24">
        <f t="shared" si="8"/>
        <v>836.86477500000001</v>
      </c>
      <c r="U11" s="24">
        <f t="shared" si="8"/>
        <v>962.39449124999999</v>
      </c>
      <c r="V11" s="24">
        <f t="shared" si="8"/>
        <v>1106.7536649374999</v>
      </c>
      <c r="W11" s="24">
        <f t="shared" si="8"/>
        <v>1272.766714678125</v>
      </c>
      <c r="X11" s="24">
        <f t="shared" si="8"/>
        <v>1463.6817218798437</v>
      </c>
    </row>
    <row r="12" spans="1:165" x14ac:dyDescent="0.25">
      <c r="A12" s="1" t="s">
        <v>13</v>
      </c>
      <c r="D12" s="7">
        <v>830.1</v>
      </c>
      <c r="E12" s="7"/>
      <c r="F12" s="7"/>
      <c r="G12" s="7"/>
      <c r="H12" s="7"/>
      <c r="I12" s="7"/>
      <c r="J12" s="27">
        <v>467.57</v>
      </c>
      <c r="K12" s="27">
        <v>642.9</v>
      </c>
      <c r="L12" s="7">
        <v>762.16</v>
      </c>
      <c r="M12" s="27">
        <v>1014.97</v>
      </c>
      <c r="N12" s="7">
        <v>1182.8599999999999</v>
      </c>
      <c r="O12" s="7">
        <v>1308.76</v>
      </c>
      <c r="P12" s="7">
        <v>1464.17</v>
      </c>
      <c r="Q12" s="7">
        <v>1750.46</v>
      </c>
      <c r="R12" s="7">
        <v>2101.1999999999998</v>
      </c>
      <c r="S12" s="24">
        <f t="shared" si="8"/>
        <v>2416.3799999999997</v>
      </c>
      <c r="T12" s="24">
        <f t="shared" si="8"/>
        <v>2778.8369999999995</v>
      </c>
      <c r="U12" s="24">
        <f t="shared" si="8"/>
        <v>3195.6625499999996</v>
      </c>
      <c r="V12" s="24">
        <f t="shared" si="8"/>
        <v>3675.0119324999996</v>
      </c>
      <c r="W12" s="24">
        <f t="shared" si="8"/>
        <v>4226.2637223749998</v>
      </c>
      <c r="X12" s="24">
        <f t="shared" si="8"/>
        <v>4860.2032807312498</v>
      </c>
    </row>
    <row r="13" spans="1:165" x14ac:dyDescent="0.25">
      <c r="A13" s="1" t="s">
        <v>20</v>
      </c>
      <c r="D13" s="7">
        <f>SUM(D8:D12)</f>
        <v>15001.84</v>
      </c>
      <c r="E13" s="7"/>
      <c r="F13" s="7"/>
      <c r="G13" s="7"/>
      <c r="H13" s="7"/>
      <c r="I13" s="7"/>
      <c r="J13" s="7">
        <f t="shared" ref="J13:K13" si="9">SUM(J8:J12)</f>
        <v>8109.8899999999994</v>
      </c>
      <c r="K13" s="7">
        <f t="shared" si="9"/>
        <v>11166.23</v>
      </c>
      <c r="L13" s="7">
        <f t="shared" ref="L13" si="10">SUM(L8:L12)</f>
        <v>13896.910000000002</v>
      </c>
      <c r="M13" s="7">
        <f t="shared" ref="M13" si="11">SUM(M8:M12)</f>
        <v>18630.93</v>
      </c>
      <c r="N13" s="7">
        <f t="shared" ref="N13:P13" si="12">SUM(N8:N12)</f>
        <v>23185.129999999997</v>
      </c>
      <c r="O13" s="7">
        <f t="shared" si="12"/>
        <v>22882.720000000001</v>
      </c>
      <c r="P13" s="7">
        <f t="shared" si="12"/>
        <v>29029.64</v>
      </c>
      <c r="Q13" s="7">
        <f>SUM(Q8:Q12)</f>
        <v>38765.18</v>
      </c>
      <c r="R13" s="7">
        <f>SUM(R8:R12)</f>
        <v>46110.619999999988</v>
      </c>
      <c r="S13" s="24">
        <f t="shared" si="8"/>
        <v>53027.212999999989</v>
      </c>
      <c r="T13" s="24">
        <f t="shared" si="8"/>
        <v>60981.294949999989</v>
      </c>
      <c r="U13" s="24">
        <f t="shared" si="8"/>
        <v>70128.489192499983</v>
      </c>
      <c r="V13" s="24">
        <f t="shared" si="8"/>
        <v>80647.762571374973</v>
      </c>
      <c r="W13" s="24">
        <f t="shared" si="8"/>
        <v>92744.926957081218</v>
      </c>
      <c r="X13" s="24">
        <f t="shared" si="8"/>
        <v>106656.6660006434</v>
      </c>
    </row>
    <row r="14" spans="1:165" s="6" customFormat="1" x14ac:dyDescent="0.25">
      <c r="A14" s="6" t="s">
        <v>27</v>
      </c>
      <c r="D14" s="8">
        <f>D5-D13</f>
        <v>994.29999999999927</v>
      </c>
      <c r="E14" s="8"/>
      <c r="F14" s="8"/>
      <c r="G14" s="8"/>
      <c r="H14" s="8"/>
      <c r="I14" s="8"/>
      <c r="J14" s="8">
        <f t="shared" ref="J14:O14" si="13">J5-J13</f>
        <v>491.79000000000087</v>
      </c>
      <c r="K14" s="8">
        <f t="shared" si="13"/>
        <v>760.01000000000022</v>
      </c>
      <c r="L14" s="8">
        <f t="shared" si="13"/>
        <v>1205.5999999999985</v>
      </c>
      <c r="M14" s="8">
        <f t="shared" si="13"/>
        <v>1421.9399999999987</v>
      </c>
      <c r="N14" s="8">
        <f t="shared" si="13"/>
        <v>1745.0600000000049</v>
      </c>
      <c r="O14" s="8">
        <f t="shared" si="13"/>
        <v>1456.5499999999993</v>
      </c>
      <c r="P14" s="8">
        <f t="shared" ref="P14:X14" si="14">P5-P13</f>
        <v>2064.1200000000026</v>
      </c>
      <c r="Q14" s="8">
        <f t="shared" si="14"/>
        <v>3231.1599999999962</v>
      </c>
      <c r="R14" s="8">
        <f t="shared" si="14"/>
        <v>3611.3800000000119</v>
      </c>
      <c r="S14" s="8">
        <f t="shared" si="14"/>
        <v>4143.6345000000147</v>
      </c>
      <c r="T14" s="8">
        <f t="shared" si="14"/>
        <v>4754.7819250000102</v>
      </c>
      <c r="U14" s="8">
        <f t="shared" si="14"/>
        <v>5456.5616887500219</v>
      </c>
      <c r="V14" s="8">
        <f t="shared" si="14"/>
        <v>6262.4646645625326</v>
      </c>
      <c r="W14" s="8">
        <f t="shared" si="14"/>
        <v>7187.9949589969183</v>
      </c>
      <c r="X14" s="8">
        <f t="shared" si="14"/>
        <v>8250.9708570714574</v>
      </c>
    </row>
    <row r="15" spans="1:165" x14ac:dyDescent="0.25">
      <c r="A15" s="1" t="s">
        <v>21</v>
      </c>
      <c r="D15" s="7">
        <v>262.94</v>
      </c>
      <c r="E15" s="7"/>
      <c r="F15" s="7"/>
      <c r="G15" s="7"/>
      <c r="H15" s="7"/>
      <c r="I15" s="7"/>
      <c r="J15" s="7">
        <v>161.94</v>
      </c>
      <c r="K15" s="7">
        <v>256.08</v>
      </c>
      <c r="L15" s="7">
        <v>421.7</v>
      </c>
      <c r="M15" s="7">
        <v>509.13</v>
      </c>
      <c r="N15" s="7">
        <v>459.74</v>
      </c>
      <c r="O15" s="7">
        <v>394.69</v>
      </c>
      <c r="P15" s="7">
        <v>546.33000000000004</v>
      </c>
      <c r="Q15" s="7">
        <v>799.88</v>
      </c>
      <c r="R15" s="7">
        <v>901</v>
      </c>
      <c r="S15" s="1">
        <f>S21*S14</f>
        <v>1740.3264900000061</v>
      </c>
      <c r="T15" s="1">
        <f t="shared" ref="T15:X15" si="15">T21*T14</f>
        <v>1997.0084085000042</v>
      </c>
      <c r="U15" s="1">
        <f t="shared" si="15"/>
        <v>2291.7559092750089</v>
      </c>
      <c r="V15" s="1">
        <f t="shared" si="15"/>
        <v>2630.2351591162637</v>
      </c>
      <c r="W15" s="1">
        <f t="shared" si="15"/>
        <v>3018.9578827787054</v>
      </c>
      <c r="X15" s="1">
        <f t="shared" si="15"/>
        <v>3465.4077599700122</v>
      </c>
    </row>
    <row r="16" spans="1:165" x14ac:dyDescent="0.25">
      <c r="A16" s="1" t="s">
        <v>22</v>
      </c>
      <c r="D16" s="7">
        <f>D14-D15</f>
        <v>731.35999999999922</v>
      </c>
      <c r="E16" s="7"/>
      <c r="F16" s="7"/>
      <c r="G16" s="7"/>
      <c r="H16" s="7"/>
      <c r="I16" s="7"/>
      <c r="J16" s="7"/>
      <c r="K16" s="7">
        <f t="shared" ref="K16:L16" si="16">K14-K15</f>
        <v>503.93000000000023</v>
      </c>
      <c r="L16" s="7">
        <f t="shared" si="16"/>
        <v>783.8999999999985</v>
      </c>
      <c r="M16" s="7">
        <f t="shared" ref="M16:N16" si="17">M14-M15</f>
        <v>912.80999999999869</v>
      </c>
      <c r="N16" s="7">
        <f t="shared" si="17"/>
        <v>1285.3200000000049</v>
      </c>
      <c r="O16" s="7">
        <f t="shared" ref="O16:X16" si="18">O14-O15</f>
        <v>1061.8599999999992</v>
      </c>
      <c r="P16" s="7">
        <f t="shared" si="18"/>
        <v>1517.7900000000027</v>
      </c>
      <c r="Q16" s="7">
        <f t="shared" si="18"/>
        <v>2431.2799999999961</v>
      </c>
      <c r="R16" s="7">
        <f t="shared" si="18"/>
        <v>2710.3800000000119</v>
      </c>
      <c r="S16" s="7">
        <f t="shared" si="18"/>
        <v>2403.3080100000088</v>
      </c>
      <c r="T16" s="7">
        <f t="shared" si="18"/>
        <v>2757.7735165000058</v>
      </c>
      <c r="U16" s="7">
        <f t="shared" si="18"/>
        <v>3164.805779475013</v>
      </c>
      <c r="V16" s="7">
        <f t="shared" si="18"/>
        <v>3632.2295054462688</v>
      </c>
      <c r="W16" s="7">
        <f t="shared" si="18"/>
        <v>4169.0370762182129</v>
      </c>
      <c r="X16" s="7">
        <f t="shared" si="18"/>
        <v>4785.5630971014452</v>
      </c>
      <c r="Y16" s="24">
        <f>X16*$AE$20+X16</f>
        <v>5024.8412519565172</v>
      </c>
      <c r="Z16" s="24">
        <f t="shared" ref="Z16:CK16" si="19">Y16*$AE$20+Y16</f>
        <v>5276.0833145543429</v>
      </c>
      <c r="AA16" s="24">
        <f t="shared" si="19"/>
        <v>5539.8874802820601</v>
      </c>
      <c r="AB16" s="24">
        <f t="shared" si="19"/>
        <v>5816.8818542961635</v>
      </c>
      <c r="AC16" s="24">
        <f t="shared" si="19"/>
        <v>6107.725947010972</v>
      </c>
      <c r="AD16" s="24">
        <f t="shared" si="19"/>
        <v>6413.1122443615204</v>
      </c>
      <c r="AE16" s="24">
        <f t="shared" si="19"/>
        <v>6733.7678565795968</v>
      </c>
      <c r="AF16" s="24">
        <f t="shared" si="19"/>
        <v>7070.4562494085767</v>
      </c>
      <c r="AG16" s="24">
        <f t="shared" si="19"/>
        <v>7423.9790618790057</v>
      </c>
      <c r="AH16" s="24">
        <f t="shared" si="19"/>
        <v>7795.1780149729557</v>
      </c>
      <c r="AI16" s="24">
        <f t="shared" si="19"/>
        <v>8184.9369157216033</v>
      </c>
      <c r="AJ16" s="24">
        <f t="shared" si="19"/>
        <v>8594.1837615076838</v>
      </c>
      <c r="AK16" s="24">
        <f t="shared" si="19"/>
        <v>9023.8929495830671</v>
      </c>
      <c r="AL16" s="24">
        <f t="shared" si="19"/>
        <v>9475.0875970622201</v>
      </c>
      <c r="AM16" s="24">
        <f t="shared" si="19"/>
        <v>9948.8419769153315</v>
      </c>
      <c r="AN16" s="24">
        <f t="shared" si="19"/>
        <v>10446.284075761097</v>
      </c>
      <c r="AO16" s="24">
        <f t="shared" si="19"/>
        <v>10968.598279549153</v>
      </c>
      <c r="AP16" s="24">
        <f t="shared" si="19"/>
        <v>11517.02819352661</v>
      </c>
      <c r="AQ16" s="24">
        <f t="shared" si="19"/>
        <v>12092.87960320294</v>
      </c>
      <c r="AR16" s="24">
        <f t="shared" si="19"/>
        <v>12697.523583363087</v>
      </c>
      <c r="AS16" s="24">
        <f t="shared" si="19"/>
        <v>13332.39976253124</v>
      </c>
      <c r="AT16" s="24">
        <f t="shared" si="19"/>
        <v>13999.019750657802</v>
      </c>
      <c r="AU16" s="24">
        <f t="shared" si="19"/>
        <v>14698.970738190692</v>
      </c>
      <c r="AV16" s="24">
        <f t="shared" si="19"/>
        <v>15433.919275100227</v>
      </c>
      <c r="AW16" s="24">
        <f t="shared" si="19"/>
        <v>16205.615238855238</v>
      </c>
      <c r="AX16" s="24">
        <f t="shared" si="19"/>
        <v>17015.896000797999</v>
      </c>
      <c r="AY16" s="24">
        <f t="shared" si="19"/>
        <v>17866.6908008379</v>
      </c>
      <c r="AZ16" s="24">
        <f t="shared" si="19"/>
        <v>18760.025340879794</v>
      </c>
      <c r="BA16" s="24">
        <f t="shared" si="19"/>
        <v>19698.026607923784</v>
      </c>
      <c r="BB16" s="24">
        <f t="shared" si="19"/>
        <v>20682.927938319976</v>
      </c>
      <c r="BC16" s="24">
        <f t="shared" si="19"/>
        <v>21717.074335235975</v>
      </c>
      <c r="BD16" s="24">
        <f t="shared" si="19"/>
        <v>22802.928051997773</v>
      </c>
      <c r="BE16" s="24">
        <f t="shared" si="19"/>
        <v>23943.074454597663</v>
      </c>
      <c r="BF16" s="24">
        <f t="shared" si="19"/>
        <v>25140.228177327546</v>
      </c>
      <c r="BG16" s="24">
        <f t="shared" si="19"/>
        <v>26397.239586193922</v>
      </c>
      <c r="BH16" s="24">
        <f t="shared" si="19"/>
        <v>27717.101565503617</v>
      </c>
      <c r="BI16" s="24">
        <f t="shared" si="19"/>
        <v>29102.956643778798</v>
      </c>
      <c r="BJ16" s="24">
        <f>BI16*$AE$20+BI16</f>
        <v>30558.104475967739</v>
      </c>
      <c r="BK16" s="24">
        <f t="shared" si="19"/>
        <v>32086.009699766124</v>
      </c>
      <c r="BL16" s="24">
        <f t="shared" si="19"/>
        <v>33690.310184754431</v>
      </c>
      <c r="BM16" s="24">
        <f t="shared" si="19"/>
        <v>35374.825693992156</v>
      </c>
      <c r="BN16" s="24">
        <f t="shared" si="19"/>
        <v>37143.566978691764</v>
      </c>
      <c r="BO16" s="24">
        <f t="shared" si="19"/>
        <v>39000.745327626355</v>
      </c>
      <c r="BP16" s="24">
        <f t="shared" si="19"/>
        <v>40950.782594007673</v>
      </c>
      <c r="BQ16" s="24">
        <f t="shared" si="19"/>
        <v>42998.321723708053</v>
      </c>
      <c r="BR16" s="24">
        <f t="shared" si="19"/>
        <v>45148.237809893457</v>
      </c>
      <c r="BS16" s="24">
        <f t="shared" si="19"/>
        <v>47405.64970038813</v>
      </c>
      <c r="BT16" s="24">
        <f t="shared" si="19"/>
        <v>49775.932185407539</v>
      </c>
      <c r="BU16" s="24">
        <f t="shared" si="19"/>
        <v>52264.728794677918</v>
      </c>
      <c r="BV16" s="24">
        <f t="shared" si="19"/>
        <v>54877.965234411815</v>
      </c>
      <c r="BW16" s="24">
        <f t="shared" si="19"/>
        <v>57621.863496132406</v>
      </c>
      <c r="BX16" s="24">
        <f t="shared" si="19"/>
        <v>60502.956670939027</v>
      </c>
      <c r="BY16" s="24">
        <f t="shared" si="19"/>
        <v>63528.104504485978</v>
      </c>
      <c r="BZ16" s="24">
        <f t="shared" si="19"/>
        <v>66704.509729710277</v>
      </c>
      <c r="CA16" s="24">
        <f t="shared" si="19"/>
        <v>70039.735216195797</v>
      </c>
      <c r="CB16" s="24">
        <f t="shared" si="19"/>
        <v>73541.721977005582</v>
      </c>
      <c r="CC16" s="24">
        <f t="shared" si="19"/>
        <v>77218.808075855864</v>
      </c>
      <c r="CD16" s="24">
        <f t="shared" si="19"/>
        <v>81079.748479648653</v>
      </c>
      <c r="CE16" s="24">
        <f t="shared" si="19"/>
        <v>85133.735903631081</v>
      </c>
      <c r="CF16" s="24">
        <f t="shared" si="19"/>
        <v>89390.422698812632</v>
      </c>
      <c r="CG16" s="24">
        <f t="shared" si="19"/>
        <v>93859.943833753263</v>
      </c>
      <c r="CH16" s="24">
        <f t="shared" si="19"/>
        <v>98552.94102544093</v>
      </c>
      <c r="CI16" s="24">
        <f t="shared" si="19"/>
        <v>103480.58807671297</v>
      </c>
      <c r="CJ16" s="24">
        <f t="shared" si="19"/>
        <v>108654.61748054862</v>
      </c>
      <c r="CK16" s="24">
        <f t="shared" si="19"/>
        <v>114087.34835457605</v>
      </c>
      <c r="CL16" s="24">
        <f t="shared" ref="CL16:EW16" si="20">CK16*$AE$20+CK16</f>
        <v>119791.71577230486</v>
      </c>
      <c r="CM16" s="24">
        <f t="shared" si="20"/>
        <v>125781.3015609201</v>
      </c>
      <c r="CN16" s="24">
        <f t="shared" si="20"/>
        <v>132070.36663896611</v>
      </c>
      <c r="CO16" s="24">
        <f t="shared" si="20"/>
        <v>138673.88497091443</v>
      </c>
      <c r="CP16" s="24">
        <f t="shared" si="20"/>
        <v>145607.57921946014</v>
      </c>
      <c r="CQ16" s="24">
        <f t="shared" si="20"/>
        <v>152887.95818043314</v>
      </c>
      <c r="CR16" s="24">
        <f t="shared" si="20"/>
        <v>160532.35608945478</v>
      </c>
      <c r="CS16" s="24">
        <f t="shared" si="20"/>
        <v>168558.97389392753</v>
      </c>
      <c r="CT16" s="24">
        <f t="shared" si="20"/>
        <v>176986.92258862391</v>
      </c>
      <c r="CU16" s="24">
        <f t="shared" si="20"/>
        <v>185836.2687180551</v>
      </c>
      <c r="CV16" s="24">
        <f t="shared" si="20"/>
        <v>195128.08215395786</v>
      </c>
      <c r="CW16" s="24">
        <f t="shared" si="20"/>
        <v>204884.48626165575</v>
      </c>
      <c r="CX16" s="24">
        <f t="shared" si="20"/>
        <v>215128.71057473854</v>
      </c>
      <c r="CY16" s="24">
        <f t="shared" si="20"/>
        <v>225885.14610347548</v>
      </c>
      <c r="CZ16" s="24">
        <f t="shared" si="20"/>
        <v>237179.40340864926</v>
      </c>
      <c r="DA16" s="24">
        <f t="shared" si="20"/>
        <v>249038.37357908173</v>
      </c>
      <c r="DB16" s="24">
        <f t="shared" si="20"/>
        <v>261490.29225803583</v>
      </c>
      <c r="DC16" s="24">
        <f t="shared" si="20"/>
        <v>274564.80687093764</v>
      </c>
      <c r="DD16" s="24">
        <f t="shared" si="20"/>
        <v>288293.04721448454</v>
      </c>
      <c r="DE16" s="24">
        <f t="shared" si="20"/>
        <v>302707.69957520877</v>
      </c>
      <c r="DF16" s="24">
        <f t="shared" si="20"/>
        <v>317843.08455396921</v>
      </c>
      <c r="DG16" s="24">
        <f t="shared" si="20"/>
        <v>333735.23878166766</v>
      </c>
      <c r="DH16" s="24">
        <f t="shared" si="20"/>
        <v>350422.00072075106</v>
      </c>
      <c r="DI16" s="24">
        <f t="shared" si="20"/>
        <v>367943.10075678863</v>
      </c>
      <c r="DJ16" s="24">
        <f t="shared" si="20"/>
        <v>386340.25579462806</v>
      </c>
      <c r="DK16" s="24">
        <f t="shared" si="20"/>
        <v>405657.26858435944</v>
      </c>
      <c r="DL16" s="24">
        <f t="shared" si="20"/>
        <v>425940.13201357739</v>
      </c>
      <c r="DM16" s="24">
        <f t="shared" si="20"/>
        <v>447237.13861425628</v>
      </c>
      <c r="DN16" s="24">
        <f t="shared" si="20"/>
        <v>469598.9955449691</v>
      </c>
      <c r="DO16" s="24">
        <f t="shared" si="20"/>
        <v>493078.94532221754</v>
      </c>
      <c r="DP16" s="24">
        <f t="shared" si="20"/>
        <v>517732.8925883284</v>
      </c>
      <c r="DQ16" s="24">
        <f t="shared" si="20"/>
        <v>543619.53721774486</v>
      </c>
      <c r="DR16" s="24">
        <f t="shared" si="20"/>
        <v>570800.51407863211</v>
      </c>
      <c r="DS16" s="24">
        <f t="shared" si="20"/>
        <v>599340.53978256369</v>
      </c>
      <c r="DT16" s="24">
        <f t="shared" si="20"/>
        <v>629307.5667716919</v>
      </c>
      <c r="DU16" s="24">
        <f t="shared" si="20"/>
        <v>660772.94511027646</v>
      </c>
      <c r="DV16" s="24">
        <f t="shared" si="20"/>
        <v>693811.59236579027</v>
      </c>
      <c r="DW16" s="24">
        <f t="shared" si="20"/>
        <v>728502.17198407976</v>
      </c>
      <c r="DX16" s="24">
        <f t="shared" si="20"/>
        <v>764927.28058328375</v>
      </c>
      <c r="DY16" s="24">
        <f t="shared" si="20"/>
        <v>803173.64461244794</v>
      </c>
      <c r="DZ16" s="24">
        <f t="shared" si="20"/>
        <v>843332.32684307033</v>
      </c>
      <c r="EA16" s="24">
        <f t="shared" si="20"/>
        <v>885498.94318522385</v>
      </c>
      <c r="EB16" s="24">
        <f t="shared" si="20"/>
        <v>929773.89034448506</v>
      </c>
      <c r="EC16" s="24">
        <f t="shared" si="20"/>
        <v>976262.58486170927</v>
      </c>
      <c r="ED16" s="24">
        <f t="shared" si="20"/>
        <v>1025075.7141047948</v>
      </c>
      <c r="EE16" s="24">
        <f t="shared" si="20"/>
        <v>1076329.4998100344</v>
      </c>
      <c r="EF16" s="24">
        <f t="shared" si="20"/>
        <v>1130145.9748005362</v>
      </c>
      <c r="EG16" s="24">
        <f t="shared" si="20"/>
        <v>1186653.273540563</v>
      </c>
      <c r="EH16" s="24">
        <f t="shared" si="20"/>
        <v>1245985.9372175911</v>
      </c>
      <c r="EI16" s="24">
        <f t="shared" si="20"/>
        <v>1308285.2340784706</v>
      </c>
      <c r="EJ16" s="24">
        <f t="shared" si="20"/>
        <v>1373699.4957823942</v>
      </c>
      <c r="EK16" s="24">
        <f t="shared" si="20"/>
        <v>1442384.470571514</v>
      </c>
      <c r="EL16" s="24">
        <f t="shared" si="20"/>
        <v>1514503.6941000896</v>
      </c>
      <c r="EM16" s="24">
        <f t="shared" si="20"/>
        <v>1590228.8788050942</v>
      </c>
      <c r="EN16" s="24">
        <f t="shared" si="20"/>
        <v>1669740.3227453488</v>
      </c>
      <c r="EO16" s="24">
        <f t="shared" si="20"/>
        <v>1753227.3388826163</v>
      </c>
      <c r="EP16" s="24">
        <f t="shared" si="20"/>
        <v>1840888.705826747</v>
      </c>
      <c r="EQ16" s="24">
        <f t="shared" si="20"/>
        <v>1932933.1411180843</v>
      </c>
      <c r="ER16" s="24">
        <f t="shared" si="20"/>
        <v>2029579.7981739885</v>
      </c>
      <c r="ES16" s="24">
        <f t="shared" si="20"/>
        <v>2131058.7880826881</v>
      </c>
      <c r="ET16" s="24">
        <f t="shared" si="20"/>
        <v>2237611.7274868228</v>
      </c>
      <c r="EU16" s="24">
        <f t="shared" si="20"/>
        <v>2349492.3138611638</v>
      </c>
      <c r="EV16" s="24">
        <f t="shared" si="20"/>
        <v>2466966.9295542222</v>
      </c>
      <c r="EW16" s="24">
        <f t="shared" si="20"/>
        <v>2590315.2760319333</v>
      </c>
      <c r="EX16" s="24">
        <f t="shared" ref="EX16:FI16" si="21">EW16*$AE$20+EW16</f>
        <v>2719831.0398335299</v>
      </c>
      <c r="EY16" s="24">
        <f t="shared" si="21"/>
        <v>2855822.5918252063</v>
      </c>
      <c r="EZ16" s="24">
        <f t="shared" si="21"/>
        <v>2998613.7214164664</v>
      </c>
      <c r="FA16" s="24">
        <f t="shared" si="21"/>
        <v>3148544.4074872895</v>
      </c>
      <c r="FB16" s="24">
        <f t="shared" si="21"/>
        <v>3305971.6278616539</v>
      </c>
      <c r="FC16" s="24">
        <f t="shared" si="21"/>
        <v>3471270.2092547365</v>
      </c>
      <c r="FD16" s="24">
        <f t="shared" si="21"/>
        <v>3644833.7197174733</v>
      </c>
      <c r="FE16" s="24">
        <f t="shared" si="21"/>
        <v>3827075.4057033472</v>
      </c>
      <c r="FF16" s="24">
        <f t="shared" si="21"/>
        <v>4018429.1759885144</v>
      </c>
      <c r="FG16" s="24">
        <f t="shared" si="21"/>
        <v>4219350.6347879404</v>
      </c>
      <c r="FH16" s="24">
        <f t="shared" si="21"/>
        <v>4430318.1665273374</v>
      </c>
      <c r="FI16" s="24">
        <f t="shared" si="21"/>
        <v>4651834.0748537043</v>
      </c>
    </row>
    <row r="17" spans="1:77" x14ac:dyDescent="0.25">
      <c r="A17" s="1" t="s">
        <v>23</v>
      </c>
      <c r="D17" s="7">
        <f>Main!K4/(Model!D16*10000000)</f>
        <v>8.8435080945088701E-2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77" x14ac:dyDescent="0.25">
      <c r="A18" s="1" t="s">
        <v>24</v>
      </c>
      <c r="D18" s="7"/>
      <c r="E18" s="7"/>
      <c r="F18" s="7"/>
      <c r="G18" s="7"/>
      <c r="H18" s="7"/>
      <c r="I18" s="7"/>
      <c r="J18" s="7">
        <v>5.7</v>
      </c>
      <c r="K18" s="1">
        <v>8.49</v>
      </c>
      <c r="L18" s="7">
        <v>12.92</v>
      </c>
      <c r="M18" s="7">
        <v>14.46</v>
      </c>
      <c r="N18" s="7">
        <v>20.71</v>
      </c>
      <c r="O18" s="7">
        <v>16.850000000000001</v>
      </c>
      <c r="P18" s="7">
        <v>23.04</v>
      </c>
      <c r="Q18" s="7">
        <v>39.46</v>
      </c>
      <c r="R18" s="7">
        <v>41.36</v>
      </c>
    </row>
    <row r="20" spans="1:77" x14ac:dyDescent="0.25">
      <c r="A20" s="10" t="s">
        <v>25</v>
      </c>
      <c r="K20" s="11">
        <f t="shared" ref="K20:P20" si="22">K3/J3-1</f>
        <v>0.3860713557594293</v>
      </c>
      <c r="L20" s="11">
        <f t="shared" si="22"/>
        <v>0.26353855244169244</v>
      </c>
      <c r="M20" s="11">
        <f t="shared" si="22"/>
        <v>0.3306902926125459</v>
      </c>
      <c r="N20" s="11">
        <f t="shared" si="22"/>
        <v>0.24322903023916598</v>
      </c>
      <c r="O20" s="11">
        <f t="shared" si="22"/>
        <v>-2.9237400583831175E-2</v>
      </c>
      <c r="P20" s="11">
        <f t="shared" si="22"/>
        <v>0.28302998874210639</v>
      </c>
      <c r="Q20" s="11">
        <f t="shared" ref="Q20:R20" si="23">Q3/P3-1</f>
        <v>0.35049345837959178</v>
      </c>
      <c r="R20" s="11">
        <f t="shared" si="23"/>
        <v>0.18405694035247078</v>
      </c>
      <c r="S20" s="11">
        <f t="shared" ref="S20" si="24">S3/R3-1</f>
        <v>0.15000000000000013</v>
      </c>
      <c r="T20" s="11">
        <f t="shared" ref="T20" si="25">T3/S3-1</f>
        <v>0.15000000000000013</v>
      </c>
      <c r="U20" s="11">
        <f t="shared" ref="U20" si="26">U3/T3-1</f>
        <v>0.15000000000000013</v>
      </c>
      <c r="V20" s="11">
        <f t="shared" ref="V20" si="27">V3/U3-1</f>
        <v>0.14999999999999991</v>
      </c>
      <c r="W20" s="11">
        <f t="shared" ref="W20" si="28">W3/V3-1</f>
        <v>0.15000000000000013</v>
      </c>
      <c r="X20" s="11">
        <f t="shared" ref="X20" si="29">X3/W3-1</f>
        <v>0.15000000000000013</v>
      </c>
      <c r="Y20" s="11"/>
      <c r="Z20" s="11"/>
      <c r="AD20" s="1" t="s">
        <v>62</v>
      </c>
      <c r="AE20" s="25">
        <v>0.05</v>
      </c>
      <c r="AF20" s="25">
        <v>0.05</v>
      </c>
      <c r="AG20" s="25">
        <v>0.05</v>
      </c>
    </row>
    <row r="21" spans="1:77" x14ac:dyDescent="0.25">
      <c r="A21" s="1" t="s">
        <v>26</v>
      </c>
      <c r="D21" s="11">
        <f>D15/D14</f>
        <v>0.26444734989439828</v>
      </c>
      <c r="E21" s="11"/>
      <c r="F21" s="11"/>
      <c r="G21" s="11"/>
      <c r="H21" s="11"/>
      <c r="I21" s="11"/>
      <c r="J21" s="11"/>
      <c r="K21" s="11">
        <f>K15/K14</f>
        <v>0.33694293496138195</v>
      </c>
      <c r="L21" s="11">
        <f>L15/L14</f>
        <v>0.34978433974784379</v>
      </c>
      <c r="M21" s="11">
        <f>M15/M14</f>
        <v>0.35805308240854078</v>
      </c>
      <c r="N21" s="11">
        <f t="shared" ref="N21:O21" si="30">N15/N14</f>
        <v>0.26345225952116186</v>
      </c>
      <c r="O21" s="11">
        <f t="shared" si="30"/>
        <v>0.27097593628780353</v>
      </c>
      <c r="P21" s="11">
        <f t="shared" ref="P21:R21" si="31">P15/P14</f>
        <v>0.26467937910586564</v>
      </c>
      <c r="Q21" s="11">
        <f t="shared" si="31"/>
        <v>0.24755196276259947</v>
      </c>
      <c r="R21" s="11">
        <f t="shared" si="31"/>
        <v>0.24948911496436182</v>
      </c>
      <c r="S21" s="11">
        <v>0.42</v>
      </c>
      <c r="T21" s="11">
        <v>0.42</v>
      </c>
      <c r="U21" s="11">
        <v>0.42</v>
      </c>
      <c r="V21" s="11">
        <v>0.42</v>
      </c>
      <c r="W21" s="11">
        <v>0.42</v>
      </c>
      <c r="X21" s="11">
        <v>0.42</v>
      </c>
      <c r="AD21" s="1" t="s">
        <v>63</v>
      </c>
      <c r="AE21" s="25">
        <v>0.06</v>
      </c>
      <c r="AF21" s="25">
        <v>0.06</v>
      </c>
      <c r="AG21" s="25">
        <v>0.06</v>
      </c>
    </row>
    <row r="22" spans="1:77" x14ac:dyDescent="0.25">
      <c r="A22" s="1" t="s">
        <v>48</v>
      </c>
      <c r="K22" s="11">
        <f>K8/K5</f>
        <v>0.84528233542172559</v>
      </c>
      <c r="L22" s="11">
        <f>L8/L5</f>
        <v>0.83652584901450167</v>
      </c>
      <c r="M22" s="11">
        <f>M8/M5</f>
        <v>0.84780083848346899</v>
      </c>
      <c r="N22" s="11">
        <f t="shared" ref="N22:X22" si="32">N8/N5</f>
        <v>0.84648091330230524</v>
      </c>
      <c r="O22" s="11">
        <f t="shared" si="32"/>
        <v>0.84450684018049837</v>
      </c>
      <c r="P22" s="11">
        <f t="shared" si="32"/>
        <v>0.84896101339947305</v>
      </c>
      <c r="Q22" s="11">
        <f t="shared" si="32"/>
        <v>0.85186518634719133</v>
      </c>
      <c r="R22" s="11">
        <f t="shared" si="32"/>
        <v>0.8556906399581673</v>
      </c>
      <c r="S22" s="11">
        <f t="shared" si="32"/>
        <v>0.81745382557080315</v>
      </c>
      <c r="T22" s="11">
        <f t="shared" si="32"/>
        <v>0.78081684883024127</v>
      </c>
      <c r="U22" s="11">
        <f t="shared" si="32"/>
        <v>0.7457089213124023</v>
      </c>
      <c r="V22" s="11">
        <f t="shared" si="32"/>
        <v>0.71206215273143647</v>
      </c>
      <c r="W22" s="11">
        <f t="shared" si="32"/>
        <v>0.67981142774801495</v>
      </c>
      <c r="X22" s="11">
        <f t="shared" si="32"/>
        <v>0.64889428736549504</v>
      </c>
      <c r="AD22" s="1" t="s">
        <v>64</v>
      </c>
      <c r="AE22" s="26">
        <f>NPV(AE21,S16:FI16)</f>
        <v>277897.52205374592</v>
      </c>
      <c r="AF22" s="26">
        <f t="shared" ref="AF22:AG22" si="33">NPV(AF21,T16:FJ16)</f>
        <v>292168.06536697049</v>
      </c>
      <c r="AG22" s="26">
        <f t="shared" si="33"/>
        <v>306940.37577248889</v>
      </c>
    </row>
    <row r="23" spans="1:77" x14ac:dyDescent="0.25">
      <c r="M23" s="11"/>
      <c r="N23" s="11"/>
      <c r="O23" s="11"/>
      <c r="P23" s="11"/>
      <c r="Q23" s="11"/>
      <c r="R23" s="11"/>
    </row>
    <row r="24" spans="1:77" x14ac:dyDescent="0.25">
      <c r="M24" s="11"/>
      <c r="N24" s="11"/>
      <c r="O24" s="11"/>
      <c r="P24" s="11"/>
      <c r="Q24" s="11"/>
      <c r="R24" s="11"/>
      <c r="AE24" s="1">
        <f>AE22*10000000</f>
        <v>2778975220537.4595</v>
      </c>
      <c r="AF24" s="1">
        <f t="shared" ref="AF24:AG24" si="34">AF22*10000000</f>
        <v>2921680653669.7051</v>
      </c>
      <c r="AG24" s="1">
        <f t="shared" si="34"/>
        <v>3069403757724.8887</v>
      </c>
    </row>
    <row r="25" spans="1:77" x14ac:dyDescent="0.25"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 t="s">
        <v>65</v>
      </c>
      <c r="AE25" s="23">
        <f>AE24/Main!K4</f>
        <v>4296.6392623944157</v>
      </c>
      <c r="AF25" s="23" t="e">
        <f>AF24/Main!L4</f>
        <v>#DIV/0!</v>
      </c>
      <c r="AG25" s="23" t="e">
        <f>AG24/Main!M4</f>
        <v>#VALUE!</v>
      </c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x14ac:dyDescent="0.25"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77" x14ac:dyDescent="0.25">
      <c r="A27" s="1" t="s">
        <v>29</v>
      </c>
      <c r="M27" s="1">
        <v>806.84</v>
      </c>
      <c r="N27" s="1">
        <v>1280.1400000000001</v>
      </c>
    </row>
    <row r="28" spans="1:77" x14ac:dyDescent="0.25">
      <c r="A28" s="1" t="s">
        <v>30</v>
      </c>
      <c r="M28" s="1">
        <f>(-958.34)</f>
        <v>-958.34</v>
      </c>
      <c r="N28" s="1">
        <f>(-4656.56)</f>
        <v>-4656.5600000000004</v>
      </c>
    </row>
    <row r="29" spans="1:77" x14ac:dyDescent="0.25">
      <c r="A29" s="1" t="s">
        <v>32</v>
      </c>
      <c r="M29" s="1">
        <v>208.98</v>
      </c>
      <c r="N29" s="1">
        <v>5587.34</v>
      </c>
    </row>
    <row r="30" spans="1:77" x14ac:dyDescent="0.25">
      <c r="A30" s="1" t="s">
        <v>31</v>
      </c>
      <c r="M30" s="1">
        <f>M28-M27</f>
        <v>-1765.18</v>
      </c>
      <c r="N30" s="1">
        <f>N28-N27</f>
        <v>-5936.7000000000007</v>
      </c>
    </row>
    <row r="32" spans="1:77" x14ac:dyDescent="0.25">
      <c r="A32" s="1" t="s">
        <v>33</v>
      </c>
      <c r="N32" s="1">
        <v>5107.3599999999997</v>
      </c>
    </row>
    <row r="33" spans="14:14" x14ac:dyDescent="0.25">
      <c r="N33" s="1">
        <v>364.4</v>
      </c>
    </row>
    <row r="34" spans="14:14" x14ac:dyDescent="0.25">
      <c r="N34" s="1">
        <v>717.33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270E-772F-4C59-82A3-EF7A05845F76}">
  <dimension ref="B1:X22"/>
  <sheetViews>
    <sheetView tabSelected="1" zoomScale="7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21" sqref="S21"/>
    </sheetView>
  </sheetViews>
  <sheetFormatPr defaultRowHeight="17.399999999999999" x14ac:dyDescent="0.3"/>
  <cols>
    <col min="1" max="2" width="8.88671875" style="13"/>
    <col min="3" max="3" width="44.6640625" style="13" customWidth="1"/>
    <col min="4" max="11" width="16" style="13" customWidth="1"/>
    <col min="12" max="16384" width="8.88671875" style="13"/>
  </cols>
  <sheetData>
    <row r="1" spans="2:11" x14ac:dyDescent="0.3">
      <c r="C1" s="13" t="s">
        <v>35</v>
      </c>
      <c r="D1" s="16" t="s">
        <v>38</v>
      </c>
      <c r="E1" s="16" t="s">
        <v>55</v>
      </c>
      <c r="F1" s="13" t="s">
        <v>56</v>
      </c>
      <c r="G1" s="13" t="s">
        <v>57</v>
      </c>
      <c r="H1" s="13" t="s">
        <v>58</v>
      </c>
      <c r="I1" s="13" t="s">
        <v>59</v>
      </c>
      <c r="J1" s="13" t="s">
        <v>60</v>
      </c>
      <c r="K1" s="13" t="s">
        <v>61</v>
      </c>
    </row>
    <row r="3" spans="2:11" x14ac:dyDescent="0.3">
      <c r="B3" s="13" t="s">
        <v>34</v>
      </c>
      <c r="D3" s="17">
        <v>0.56030000000000002</v>
      </c>
      <c r="E3" s="14">
        <v>0.56950000000000001</v>
      </c>
      <c r="F3" s="14">
        <f>E3+0.1%</f>
        <v>0.57050000000000001</v>
      </c>
      <c r="G3" s="14">
        <f t="shared" ref="G3:K3" si="0">F3+0.1%</f>
        <v>0.57150000000000001</v>
      </c>
      <c r="H3" s="14">
        <f t="shared" si="0"/>
        <v>0.57250000000000001</v>
      </c>
      <c r="I3" s="14">
        <f t="shared" si="0"/>
        <v>0.57350000000000001</v>
      </c>
      <c r="J3" s="14">
        <f t="shared" si="0"/>
        <v>0.57450000000000001</v>
      </c>
      <c r="K3" s="14">
        <f t="shared" si="0"/>
        <v>0.57550000000000001</v>
      </c>
    </row>
    <row r="4" spans="2:11" x14ac:dyDescent="0.3">
      <c r="D4" s="17"/>
      <c r="E4" s="14"/>
    </row>
    <row r="5" spans="2:11" x14ac:dyDescent="0.3">
      <c r="B5" s="13" t="s">
        <v>36</v>
      </c>
      <c r="D5" s="16"/>
    </row>
    <row r="6" spans="2:11" x14ac:dyDescent="0.3">
      <c r="B6" s="13" t="s">
        <v>37</v>
      </c>
      <c r="D6" s="17">
        <v>0.20930000000000001</v>
      </c>
      <c r="E6" s="14">
        <v>0.20680000000000001</v>
      </c>
      <c r="F6" s="14">
        <f>0.25%+E6</f>
        <v>0.20930000000000001</v>
      </c>
      <c r="G6" s="14">
        <f>0.75%+F6</f>
        <v>0.21680000000000002</v>
      </c>
      <c r="H6" s="14">
        <f>0.75%+G6</f>
        <v>0.22430000000000003</v>
      </c>
      <c r="I6" s="14">
        <f>0.1%+H6</f>
        <v>0.22530000000000003</v>
      </c>
      <c r="J6" s="14">
        <f t="shared" ref="J6:K6" si="1">0.05%+I6</f>
        <v>0.22580000000000003</v>
      </c>
      <c r="K6" s="14">
        <f t="shared" si="1"/>
        <v>0.22630000000000003</v>
      </c>
    </row>
    <row r="7" spans="2:11" x14ac:dyDescent="0.3">
      <c r="D7" s="16"/>
    </row>
    <row r="8" spans="2:11" x14ac:dyDescent="0.3">
      <c r="B8" s="13" t="s">
        <v>39</v>
      </c>
      <c r="D8" s="16"/>
    </row>
    <row r="9" spans="2:11" x14ac:dyDescent="0.3">
      <c r="B9" s="15" t="s">
        <v>40</v>
      </c>
      <c r="D9" s="17">
        <v>0.23039999999999999</v>
      </c>
      <c r="E9" s="14">
        <v>0.22370000000000001</v>
      </c>
      <c r="F9" s="14">
        <f>0.25%+E9</f>
        <v>0.22620000000000001</v>
      </c>
      <c r="G9" s="14">
        <f>0.75%+F9</f>
        <v>0.23370000000000002</v>
      </c>
      <c r="H9" s="14">
        <f>0.75%+G9</f>
        <v>0.24120000000000003</v>
      </c>
      <c r="I9" s="14">
        <f>0.1%+H9</f>
        <v>0.24220000000000003</v>
      </c>
      <c r="J9" s="14">
        <f t="shared" ref="J9:K9" si="2">0.05%+I9</f>
        <v>0.24270000000000003</v>
      </c>
      <c r="K9" s="14">
        <f t="shared" si="2"/>
        <v>0.24320000000000003</v>
      </c>
    </row>
    <row r="10" spans="2:11" x14ac:dyDescent="0.3">
      <c r="B10" s="13" t="s">
        <v>41</v>
      </c>
    </row>
    <row r="12" spans="2:11" x14ac:dyDescent="0.3">
      <c r="D12" s="14">
        <f>D3+D6+D9</f>
        <v>1</v>
      </c>
      <c r="E12" s="14">
        <f t="shared" ref="E12:K12" si="3">E3+E6+E9</f>
        <v>1</v>
      </c>
      <c r="F12" s="14">
        <f t="shared" si="3"/>
        <v>1.006</v>
      </c>
      <c r="G12" s="14">
        <f t="shared" si="3"/>
        <v>1.022</v>
      </c>
      <c r="H12" s="14">
        <f t="shared" si="3"/>
        <v>1.038</v>
      </c>
      <c r="I12" s="14">
        <f t="shared" si="3"/>
        <v>1.0410000000000001</v>
      </c>
      <c r="J12" s="14">
        <f t="shared" si="3"/>
        <v>1.0430000000000001</v>
      </c>
      <c r="K12" s="14">
        <f t="shared" si="3"/>
        <v>1.0450000000000002</v>
      </c>
    </row>
    <row r="14" spans="2:11" x14ac:dyDescent="0.3">
      <c r="B14" s="22" t="s">
        <v>54</v>
      </c>
    </row>
    <row r="15" spans="2:11" s="29" customFormat="1" x14ac:dyDescent="0.3">
      <c r="B15" s="29" t="s">
        <v>49</v>
      </c>
      <c r="D15" s="30">
        <v>45896.93</v>
      </c>
      <c r="E15" s="30">
        <v>54368.45</v>
      </c>
      <c r="F15" s="30">
        <f>F20-F18-F17+F16+F19</f>
        <v>62303.302639090478</v>
      </c>
      <c r="G15" s="30">
        <f t="shared" ref="G15:K15" si="4">G20-G18-G17+G16+G19</f>
        <v>71631.51589205215</v>
      </c>
      <c r="H15" s="30">
        <f t="shared" si="4"/>
        <v>82367.880833818592</v>
      </c>
      <c r="I15" s="30">
        <f t="shared" si="4"/>
        <v>94708.04943664337</v>
      </c>
      <c r="J15" s="30">
        <f t="shared" si="4"/>
        <v>108901.41784079443</v>
      </c>
      <c r="K15" s="30">
        <f t="shared" si="4"/>
        <v>125220.75290215538</v>
      </c>
    </row>
    <row r="16" spans="2:11" x14ac:dyDescent="0.3">
      <c r="B16" s="15" t="s">
        <v>50</v>
      </c>
      <c r="D16" s="13">
        <v>35.380000000000003</v>
      </c>
      <c r="E16" s="13">
        <v>37.79</v>
      </c>
      <c r="F16" s="13">
        <f>E16+0.08*E16</f>
        <v>40.813200000000002</v>
      </c>
      <c r="G16" s="13">
        <f t="shared" ref="G16:K16" si="5">F16+0.08*F16</f>
        <v>44.078256000000003</v>
      </c>
      <c r="H16" s="13">
        <f t="shared" si="5"/>
        <v>47.604516480000001</v>
      </c>
      <c r="I16" s="13">
        <f t="shared" si="5"/>
        <v>51.412877798400004</v>
      </c>
      <c r="J16" s="13">
        <f t="shared" si="5"/>
        <v>55.525908022272006</v>
      </c>
      <c r="K16" s="13">
        <f t="shared" si="5"/>
        <v>59.967980664053769</v>
      </c>
    </row>
    <row r="17" spans="2:24" x14ac:dyDescent="0.3">
      <c r="B17" s="13" t="s">
        <v>51</v>
      </c>
      <c r="D17" s="13">
        <v>-29.96</v>
      </c>
      <c r="E17" s="13">
        <v>-31.63</v>
      </c>
      <c r="F17" s="13">
        <f>E17+0.1*E17</f>
        <v>-34.792999999999999</v>
      </c>
      <c r="G17" s="13">
        <f t="shared" ref="G17:K17" si="6">F17+0.1*F17</f>
        <v>-38.272300000000001</v>
      </c>
      <c r="H17" s="13">
        <f t="shared" si="6"/>
        <v>-42.099530000000001</v>
      </c>
      <c r="I17" s="13">
        <f t="shared" si="6"/>
        <v>-46.309483</v>
      </c>
      <c r="J17" s="13">
        <f t="shared" si="6"/>
        <v>-50.9404313</v>
      </c>
      <c r="K17" s="13">
        <f t="shared" si="6"/>
        <v>-56.034474430000003</v>
      </c>
    </row>
    <row r="18" spans="2:24" x14ac:dyDescent="0.3">
      <c r="B18" s="13" t="s">
        <v>52</v>
      </c>
      <c r="D18" s="13">
        <v>-4176.66</v>
      </c>
      <c r="E18" s="13">
        <v>-4926.84</v>
      </c>
      <c r="F18" s="13">
        <f>F20*F21</f>
        <v>-5172.8095390904818</v>
      </c>
      <c r="G18" s="13">
        <f t="shared" ref="G18:K18" si="7">G20*G21</f>
        <v>-5942.4850090521577</v>
      </c>
      <c r="H18" s="13">
        <f t="shared" si="7"/>
        <v>-6837.4491879285724</v>
      </c>
      <c r="I18" s="13">
        <f t="shared" si="7"/>
        <v>-7861.0014952946676</v>
      </c>
      <c r="J18" s="13">
        <f t="shared" si="7"/>
        <v>-9041.3391353122024</v>
      </c>
      <c r="K18" s="13">
        <f t="shared" si="7"/>
        <v>-10396.857241568116</v>
      </c>
    </row>
    <row r="19" spans="2:24" x14ac:dyDescent="0.3">
      <c r="B19" s="13" t="s">
        <v>13</v>
      </c>
      <c r="D19" s="13">
        <v>107.06</v>
      </c>
      <c r="E19" s="13">
        <v>85.18</v>
      </c>
      <c r="F19" s="13">
        <f>0.08*E19+E19</f>
        <v>91.994400000000013</v>
      </c>
      <c r="G19" s="13">
        <f t="shared" ref="G19:K19" si="8">0.08*F19+F19</f>
        <v>99.353952000000021</v>
      </c>
      <c r="H19" s="13">
        <f t="shared" si="8"/>
        <v>107.30226816000003</v>
      </c>
      <c r="I19" s="13">
        <f t="shared" si="8"/>
        <v>115.88644961280002</v>
      </c>
      <c r="J19" s="13">
        <f t="shared" si="8"/>
        <v>125.15736558182402</v>
      </c>
      <c r="K19" s="13">
        <f t="shared" si="8"/>
        <v>135.16995482836995</v>
      </c>
    </row>
    <row r="20" spans="2:24" s="29" customFormat="1" x14ac:dyDescent="0.3">
      <c r="B20" s="29" t="s">
        <v>53</v>
      </c>
      <c r="D20" s="31">
        <f>SUM(D15:D19)</f>
        <v>41832.75</v>
      </c>
      <c r="E20" s="31">
        <f>SUM(E15:E19)</f>
        <v>49532.950000000004</v>
      </c>
      <c r="F20" s="31">
        <f>E20*0.15+E20</f>
        <v>56962.892500000002</v>
      </c>
      <c r="G20" s="31">
        <f t="shared" ref="G20:K20" si="9">F20*0.15+F20</f>
        <v>65507.326375000004</v>
      </c>
      <c r="H20" s="31">
        <f t="shared" si="9"/>
        <v>75333.425331250008</v>
      </c>
      <c r="I20" s="31">
        <f t="shared" si="9"/>
        <v>86633.439130937506</v>
      </c>
      <c r="J20" s="31">
        <f t="shared" si="9"/>
        <v>99628.455000578135</v>
      </c>
      <c r="K20" s="31">
        <f t="shared" si="9"/>
        <v>114572.72325066486</v>
      </c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2:24" x14ac:dyDescent="0.3">
      <c r="B21" s="13" t="s">
        <v>67</v>
      </c>
      <c r="D21" s="14">
        <f>D18/D15</f>
        <v>-9.100085779157778E-2</v>
      </c>
      <c r="E21" s="14">
        <f>E18/E15</f>
        <v>-9.0619467724387961E-2</v>
      </c>
      <c r="F21" s="14">
        <f>AVERAGE(D21,E21)</f>
        <v>-9.0810162757982871E-2</v>
      </c>
      <c r="G21" s="14">
        <f t="shared" ref="G21:K21" si="10">AVERAGE(E21,F21)</f>
        <v>-9.0714815241185409E-2</v>
      </c>
      <c r="H21" s="14">
        <f t="shared" si="10"/>
        <v>-9.076248899958414E-2</v>
      </c>
      <c r="I21" s="14">
        <f t="shared" si="10"/>
        <v>-9.0738652120384775E-2</v>
      </c>
      <c r="J21" s="14">
        <f t="shared" si="10"/>
        <v>-9.075057055998445E-2</v>
      </c>
      <c r="K21" s="14">
        <f t="shared" si="10"/>
        <v>-9.0744611340184606E-2</v>
      </c>
    </row>
    <row r="22" spans="2:24" x14ac:dyDescent="0.3">
      <c r="B22" s="13" t="s">
        <v>68</v>
      </c>
      <c r="D22" s="14">
        <f>D20/D15</f>
        <v>0.91144985078522678</v>
      </c>
      <c r="E22" s="14">
        <f t="shared" ref="E22:K22" si="11">E20/E15</f>
        <v>0.91106055074220449</v>
      </c>
      <c r="F22" s="14">
        <f t="shared" si="11"/>
        <v>0.91428367497584651</v>
      </c>
      <c r="G22" s="14">
        <f t="shared" si="11"/>
        <v>0.91450425918277056</v>
      </c>
      <c r="H22" s="14">
        <f t="shared" si="11"/>
        <v>0.91459710470443012</v>
      </c>
      <c r="I22" s="14">
        <f t="shared" si="11"/>
        <v>0.91474209052201505</v>
      </c>
      <c r="J22" s="14">
        <f t="shared" si="11"/>
        <v>0.91484993470174414</v>
      </c>
      <c r="K22" s="14">
        <f t="shared" si="11"/>
        <v>0.91496593492126144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Revenue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2025-03-25T15:54:28Z</dcterms:created>
  <dcterms:modified xsi:type="dcterms:W3CDTF">2025-04-10T07:56:40Z</dcterms:modified>
</cp:coreProperties>
</file>