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7036B8B-E626-4C7C-B373-A8EAF44261AA}" xr6:coauthVersionLast="47" xr6:coauthVersionMax="47" xr10:uidLastSave="{00000000-0000-0000-0000-000000000000}"/>
  <bookViews>
    <workbookView xWindow="-27015" yWindow="750" windowWidth="26490" windowHeight="19650" xr2:uid="{50B2AA5C-A5FB-486F-967D-0A2DB26A44B5}"/>
  </bookViews>
  <sheets>
    <sheet name="Main" sheetId="1" r:id="rId1"/>
    <sheet name="Model" sheetId="2" r:id="rId2"/>
    <sheet name="Comirna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5" i="1"/>
  <c r="AD5" i="2"/>
  <c r="AE5" i="2" s="1"/>
  <c r="AF5" i="2" s="1"/>
  <c r="AG5" i="2" s="1"/>
  <c r="AH5" i="2" s="1"/>
  <c r="AI5" i="2" s="1"/>
  <c r="AJ5" i="2" s="1"/>
  <c r="AK5" i="2" s="1"/>
  <c r="AL5" i="2" s="1"/>
  <c r="AC5" i="2"/>
  <c r="AB5" i="2"/>
  <c r="AA5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L24" i="2"/>
  <c r="K24" i="2"/>
  <c r="J24" i="2"/>
  <c r="I24" i="2"/>
  <c r="H24" i="2"/>
  <c r="G24" i="2"/>
  <c r="F24" i="2"/>
  <c r="M24" i="2"/>
  <c r="Y5" i="2"/>
  <c r="N6" i="2"/>
  <c r="N5" i="2"/>
  <c r="Z5" i="2" s="1"/>
  <c r="M23" i="2"/>
  <c r="L23" i="2"/>
  <c r="K23" i="2"/>
  <c r="J23" i="2"/>
  <c r="I23" i="2"/>
  <c r="H23" i="2"/>
  <c r="G23" i="2"/>
  <c r="F23" i="2"/>
  <c r="E3" i="2"/>
  <c r="AA7" i="2" l="1"/>
  <c r="AA9" i="2" s="1"/>
  <c r="AA14" i="2" s="1"/>
  <c r="AA16" i="2" s="1"/>
  <c r="N7" i="2"/>
  <c r="AA17" i="2" l="1"/>
  <c r="AA18" i="2"/>
  <c r="AB7" i="2"/>
  <c r="AB9" i="2" s="1"/>
  <c r="AB14" i="2" s="1"/>
  <c r="AB16" i="2" s="1"/>
  <c r="AB17" i="2" l="1"/>
  <c r="AB18" i="2" s="1"/>
  <c r="AC7" i="2"/>
  <c r="AC9" i="2" s="1"/>
  <c r="AC14" i="2" s="1"/>
  <c r="AC16" i="2" s="1"/>
  <c r="AC17" i="2" l="1"/>
  <c r="AC18" i="2" s="1"/>
  <c r="AD7" i="2"/>
  <c r="AD9" i="2" s="1"/>
  <c r="AD14" i="2" s="1"/>
  <c r="AD16" i="2" s="1"/>
  <c r="AD17" i="2" l="1"/>
  <c r="AD18" i="2" s="1"/>
  <c r="AE7" i="2"/>
  <c r="AE9" i="2" s="1"/>
  <c r="AE14" i="2" s="1"/>
  <c r="AE16" i="2" s="1"/>
  <c r="AE17" i="2" l="1"/>
  <c r="AE18" i="2" s="1"/>
  <c r="AF7" i="2"/>
  <c r="AF9" i="2" s="1"/>
  <c r="AF14" i="2" s="1"/>
  <c r="AF16" i="2" s="1"/>
  <c r="AF17" i="2" l="1"/>
  <c r="AF18" i="2" s="1"/>
  <c r="AG7" i="2"/>
  <c r="AG9" i="2" s="1"/>
  <c r="AG14" i="2" s="1"/>
  <c r="AG16" i="2" s="1"/>
  <c r="AG17" i="2" l="1"/>
  <c r="AG18" i="2" s="1"/>
  <c r="AH7" i="2"/>
  <c r="AH9" i="2" s="1"/>
  <c r="AH14" i="2" s="1"/>
  <c r="AH16" i="2" s="1"/>
  <c r="AH17" i="2" l="1"/>
  <c r="AH18" i="2"/>
  <c r="AI7" i="2"/>
  <c r="AI9" i="2" s="1"/>
  <c r="AI14" i="2" s="1"/>
  <c r="AI16" i="2" s="1"/>
  <c r="AI17" i="2" l="1"/>
  <c r="AI18" i="2" s="1"/>
  <c r="AJ7" i="2"/>
  <c r="AJ9" i="2" s="1"/>
  <c r="AJ14" i="2" s="1"/>
  <c r="AJ16" i="2" s="1"/>
  <c r="AJ17" i="2" l="1"/>
  <c r="AJ18" i="2" s="1"/>
  <c r="AL7" i="2"/>
  <c r="AL9" i="2" s="1"/>
  <c r="AL14" i="2" s="1"/>
  <c r="AL16" i="2" s="1"/>
  <c r="AK7" i="2"/>
  <c r="AK9" i="2" s="1"/>
  <c r="AK14" i="2" s="1"/>
  <c r="AK16" i="2" s="1"/>
  <c r="AK17" i="2" l="1"/>
  <c r="AK18" i="2" s="1"/>
  <c r="AL17" i="2"/>
  <c r="AL18" i="2" s="1"/>
  <c r="AN22" i="2" s="1"/>
  <c r="AN23" i="2" s="1"/>
  <c r="F15" i="2" l="1"/>
  <c r="F13" i="2"/>
  <c r="F7" i="2"/>
  <c r="F9" i="2" s="1"/>
  <c r="F14" i="2" s="1"/>
  <c r="F16" i="2" s="1"/>
  <c r="F25" i="2" s="1"/>
  <c r="J15" i="2"/>
  <c r="J13" i="2"/>
  <c r="J7" i="2"/>
  <c r="J22" i="2" s="1"/>
  <c r="G15" i="2"/>
  <c r="G13" i="2"/>
  <c r="K15" i="2"/>
  <c r="K13" i="2"/>
  <c r="G7" i="2"/>
  <c r="G9" i="2" s="1"/>
  <c r="K7" i="2"/>
  <c r="K9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J9" i="2" l="1"/>
  <c r="J14" i="2" s="1"/>
  <c r="K22" i="2"/>
  <c r="F18" i="2"/>
  <c r="J16" i="2"/>
  <c r="G14" i="2"/>
  <c r="G16" i="2" s="1"/>
  <c r="K14" i="2"/>
  <c r="K16" i="2" s="1"/>
  <c r="M39" i="2"/>
  <c r="M36" i="2"/>
  <c r="M37" i="2"/>
  <c r="M38" i="2"/>
  <c r="M35" i="2"/>
  <c r="M30" i="2"/>
  <c r="M27" i="2"/>
  <c r="I15" i="2"/>
  <c r="I13" i="2"/>
  <c r="I7" i="2"/>
  <c r="I9" i="2" s="1"/>
  <c r="M15" i="2"/>
  <c r="M13" i="2"/>
  <c r="M7" i="2"/>
  <c r="H15" i="2"/>
  <c r="H13" i="2"/>
  <c r="L15" i="2"/>
  <c r="L13" i="2"/>
  <c r="L7" i="2"/>
  <c r="H7" i="2"/>
  <c r="H9" i="2" s="1"/>
  <c r="K4" i="1"/>
  <c r="I14" i="2" l="1"/>
  <c r="I16" i="2" s="1"/>
  <c r="K18" i="2"/>
  <c r="K25" i="2"/>
  <c r="M9" i="2"/>
  <c r="M22" i="2"/>
  <c r="G18" i="2"/>
  <c r="G25" i="2"/>
  <c r="I18" i="2"/>
  <c r="I25" i="2"/>
  <c r="J18" i="2"/>
  <c r="J25" i="2"/>
  <c r="L9" i="2"/>
  <c r="L14" i="2" s="1"/>
  <c r="L16" i="2" s="1"/>
  <c r="L22" i="2"/>
  <c r="M14" i="2"/>
  <c r="M16" i="2" s="1"/>
  <c r="M42" i="2"/>
  <c r="H14" i="2"/>
  <c r="H16" i="2" s="1"/>
  <c r="K7" i="1"/>
  <c r="H18" i="2" l="1"/>
  <c r="H25" i="2"/>
  <c r="L18" i="2"/>
  <c r="L19" i="2" s="1"/>
  <c r="L25" i="2"/>
  <c r="M18" i="2"/>
  <c r="M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tc={7C2EFE98-7AF8-46BF-A2A8-7B6418971757}</author>
  </authors>
  <commentList>
    <comment ref="Z5" authorId="0" shapeId="0" xr:uid="{7C2EFE98-7AF8-46BF-A2A8-7B6418971757}">
      <text>
        <t>[Threaded comment]
Your version of Excel allows you to read this threaded comment; however, any edits to it will get removed if the file is opened in a newer version of Excel. Learn more: https://go.microsoft.com/fwlink/?linkid=870924
Comment:
    16-17B EUR Q322 guidance</t>
      </text>
    </comment>
  </commentList>
</comments>
</file>

<file path=xl/sharedStrings.xml><?xml version="1.0" encoding="utf-8"?>
<sst xmlns="http://schemas.openxmlformats.org/spreadsheetml/2006/main" count="93" uniqueCount="84">
  <si>
    <t>Price</t>
  </si>
  <si>
    <t>Shares</t>
  </si>
  <si>
    <t>MC</t>
  </si>
  <si>
    <t>EV</t>
  </si>
  <si>
    <t>Q222</t>
  </si>
  <si>
    <t>Cash EUR</t>
  </si>
  <si>
    <t>Debt EUR</t>
  </si>
  <si>
    <t>Brand</t>
  </si>
  <si>
    <t>Comirnaty</t>
  </si>
  <si>
    <t>Generic</t>
  </si>
  <si>
    <t>Indication</t>
  </si>
  <si>
    <t>COVID-19</t>
  </si>
  <si>
    <t>MOA</t>
  </si>
  <si>
    <t>mRNA vaccine</t>
  </si>
  <si>
    <t>Economics</t>
  </si>
  <si>
    <t>PFE</t>
  </si>
  <si>
    <t>IP</t>
  </si>
  <si>
    <t>Approved</t>
  </si>
  <si>
    <t>MRNA IP challenge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</si>
  <si>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</si>
  <si>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</si>
  <si>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</si>
  <si>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</si>
  <si>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</si>
  <si>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</si>
  <si>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</si>
  <si>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</si>
  <si>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</si>
  <si>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</si>
  <si>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</si>
  <si>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</si>
  <si>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</si>
  <si>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8/8/22: Q222 results. Reiterates 13B-17B EUR COVID-19 revenue.</t>
  </si>
  <si>
    <t>Omicron BA.1 bivalent</t>
  </si>
  <si>
    <t>BA.4/5</t>
  </si>
  <si>
    <t>BNT116</t>
  </si>
  <si>
    <t>BNT142</t>
  </si>
  <si>
    <t>BNT211</t>
  </si>
  <si>
    <t>CLDN6 CART</t>
  </si>
  <si>
    <t>Commercial</t>
  </si>
  <si>
    <t>R&amp;D</t>
  </si>
  <si>
    <t>EUR (m)</t>
  </si>
  <si>
    <t>COGS</t>
  </si>
  <si>
    <t>Gross Profit</t>
  </si>
  <si>
    <t>OpInc</t>
  </si>
  <si>
    <t>OpEx</t>
  </si>
  <si>
    <t>S&amp;M</t>
  </si>
  <si>
    <t>G&amp;A</t>
  </si>
  <si>
    <t>Interest</t>
  </si>
  <si>
    <t>Pretax</t>
  </si>
  <si>
    <t>Taxes</t>
  </si>
  <si>
    <t>Net Income</t>
  </si>
  <si>
    <t>EPS</t>
  </si>
  <si>
    <t>S/O</t>
  </si>
  <si>
    <t>Revenue y/y</t>
  </si>
  <si>
    <t>BNT163</t>
  </si>
  <si>
    <t>HSV-2 vaccine</t>
  </si>
  <si>
    <t>Vaccine</t>
  </si>
  <si>
    <t>Cash</t>
  </si>
  <si>
    <t>AR</t>
  </si>
  <si>
    <t>Inventory</t>
  </si>
  <si>
    <t>Other</t>
  </si>
  <si>
    <t>Goodwill</t>
  </si>
  <si>
    <t>PP&amp;E</t>
  </si>
  <si>
    <t>Debt</t>
  </si>
  <si>
    <t>DR</t>
  </si>
  <si>
    <t>Provisions</t>
  </si>
  <si>
    <t>AP</t>
  </si>
  <si>
    <t>L+SE</t>
  </si>
  <si>
    <t>SE</t>
  </si>
  <si>
    <t>Prof. Ugur Sahin</t>
  </si>
  <si>
    <t>2008: Founded</t>
  </si>
  <si>
    <t>Q123</t>
  </si>
  <si>
    <t>Q223</t>
  </si>
  <si>
    <t>Q323</t>
  </si>
  <si>
    <t>Q423</t>
  </si>
  <si>
    <t>Tax Rate</t>
  </si>
  <si>
    <t>Comirnaty (PFE)</t>
  </si>
  <si>
    <t>% of Comirnaty</t>
  </si>
  <si>
    <t>Gross Margin</t>
  </si>
  <si>
    <t>Discount</t>
  </si>
  <si>
    <t>NPV</t>
  </si>
  <si>
    <t>Stock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</si>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</sst>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0" xfId="1"/>
    <xf numFmtId="0" fontId="2" fillId="0" borderId="0" xfId="0" applyFo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" fontId="0" fillId="0" borderId="0" xfId="0" applyNumberFormat="1"/>
    <xf numFmtId="3" fontId="4" fillId="0" borderId="0" xfId="0" applyNumberFormat="1" applyFont="1" applyAlignment="1">
      <alignment horizontal="right"/>
    </xf>
    <xf numFmtId="3" fontId="0" fillId="2" borderId="0" xfId="0" applyNumberFormat="1" applyFill="1" applyAlignment="1">
      <alignment horizontal="right"/>
    </xf>
    <xf numFmtId="9" fontId="0" fillId="0" borderId="0" xfId="0" applyNumberFormat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4268218-4F6B-434A-94C3-20533F4DB2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20053</xdr:colOff>
      <xdr:row>0</xdr:row>
      <xdr:rowOff>80211</xdr:rowOff>
    </xdr:from>
    <xdr:to>
      <xdr:col>13</xdr:col>
      <xdr:colOff>20053</xdr:colOff>
      <xdr:row>54</xdr:row>
      <xdr:rowOff>125016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664B60-7FDF-26F1-DBEE-2F6C00960BA6}"/>
            </a:ext>
          </a:extLst>
        </xdr:cNvPr>
        <xdr:cNvCxnSpPr/>
      </xdr:nvCxnSpPr>
      <xdr:spPr>
        <a:xfrm>
          <a:off x="5050444" y="80211"/>
          <a:ext cx="0" cy="79207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408AB7C-D285-4FFF-92FF-1A67FC74C4B1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5" dT="2023-02-27T19:38:57.48" personId="{5408AB7C-D285-4FFF-92FF-1A67FC74C4B1}" id="{7C2EFE98-7AF8-46BF-A2A8-7B6418971757}">
    <text>16-17B EUR Q322 guidance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D0BB-EC2F-4419-B5B8-5A9E61402036}">
  <dimension ref="B2:L13"/>
  <sheetViews>
    <sheetView tabSelected="1" zoomScale="160" zoomScaleNormal="160" workbookViewId="0">
      <selection activeCell="K6" sqref="K6"/>
    </sheetView>
  </sheetViews>
  <sheetFormatPr defaultRowHeight="12.75" x14ac:dyDescent="0.2"/>
  <cols>
    <col min="1" max="1" width="3" customWidth="1"/>
    <col min="2" max="2" width="9.7109375" customWidth="1"/>
    <col min="4" max="4" width="13.85546875" customWidth="1"/>
    <col min="5" max="5" width="21.7109375" customWidth="1"/>
    <col min="6" max="6" width="13.42578125" customWidth="1"/>
    <col min="8" max="8" width="18.28515625" customWidth="1"/>
    <col min="9" max="9" width="2.28515625" customWidth="1"/>
    <col min="10" max="10" width="9.85546875" customWidth="1"/>
  </cols>
  <sheetData>
    <row r="2" spans="2:12" x14ac:dyDescent="0.2">
      <c r="B2" s="6" t="s">
        <v>7</v>
      </c>
      <c r="C2" s="7" t="s">
        <v>9</v>
      </c>
      <c r="D2" s="7" t="s">
        <v>10</v>
      </c>
      <c r="E2" s="7" t="s">
        <v>12</v>
      </c>
      <c r="F2" s="7" t="s">
        <v>14</v>
      </c>
      <c r="G2" s="7" t="s">
        <v>17</v>
      </c>
      <c r="H2" s="20" t="s">
        <v>16</v>
      </c>
      <c r="J2" t="s">
        <v>0</v>
      </c>
      <c r="K2" s="16">
        <v>87.2</v>
      </c>
    </row>
    <row r="3" spans="2:12" x14ac:dyDescent="0.2">
      <c r="B3" s="3" t="s">
        <v>8</v>
      </c>
      <c r="D3" t="s">
        <v>11</v>
      </c>
      <c r="E3" t="s">
        <v>13</v>
      </c>
      <c r="F3" t="s">
        <v>15</v>
      </c>
      <c r="H3" s="21" t="s">
        <v>18</v>
      </c>
      <c r="J3" t="s">
        <v>1</v>
      </c>
      <c r="K3" s="2">
        <v>242.68540100000001</v>
      </c>
      <c r="L3" s="1" t="s">
        <v>83</v>
      </c>
    </row>
    <row r="4" spans="2:12" x14ac:dyDescent="0.2">
      <c r="B4" s="6"/>
      <c r="C4" s="7"/>
      <c r="D4" s="7"/>
      <c r="E4" s="7"/>
      <c r="F4" s="7"/>
      <c r="G4" s="7"/>
      <c r="H4" s="20"/>
      <c r="J4" t="s">
        <v>2</v>
      </c>
      <c r="K4" s="2">
        <f>+K2*K3</f>
        <v>21162.166967200003</v>
      </c>
    </row>
    <row r="5" spans="2:12" x14ac:dyDescent="0.2">
      <c r="B5" s="3"/>
      <c r="E5" t="s">
        <v>33</v>
      </c>
      <c r="H5" s="21"/>
      <c r="J5" t="s">
        <v>5</v>
      </c>
      <c r="K5" s="2">
        <f>10376.7+6919+1386.1</f>
        <v>18681.8</v>
      </c>
      <c r="L5" s="1" t="s">
        <v>83</v>
      </c>
    </row>
    <row r="6" spans="2:12" x14ac:dyDescent="0.2">
      <c r="B6" s="3"/>
      <c r="E6" t="s">
        <v>34</v>
      </c>
      <c r="H6" s="21"/>
      <c r="J6" t="s">
        <v>6</v>
      </c>
      <c r="K6" s="2">
        <f>42.1+146+35.3</f>
        <v>223.39999999999998</v>
      </c>
      <c r="L6" s="1" t="s">
        <v>83</v>
      </c>
    </row>
    <row r="7" spans="2:12" x14ac:dyDescent="0.2">
      <c r="B7" s="3" t="s">
        <v>35</v>
      </c>
      <c r="H7" s="21"/>
      <c r="J7" t="s">
        <v>3</v>
      </c>
      <c r="K7" s="2">
        <f>+K4-K5+K6</f>
        <v>2703.7669672000034</v>
      </c>
    </row>
    <row r="8" spans="2:12" x14ac:dyDescent="0.2">
      <c r="B8" s="3" t="s">
        <v>37</v>
      </c>
      <c r="E8" t="s">
        <v>38</v>
      </c>
      <c r="H8" s="21"/>
      <c r="K8" s="2"/>
    </row>
    <row r="9" spans="2:12" x14ac:dyDescent="0.2">
      <c r="B9" s="3" t="s">
        <v>55</v>
      </c>
      <c r="D9" t="s">
        <v>56</v>
      </c>
      <c r="E9" t="s">
        <v>57</v>
      </c>
      <c r="H9" s="21"/>
      <c r="J9" t="s">
        <v>70</v>
      </c>
      <c r="K9" s="2"/>
    </row>
    <row r="10" spans="2:12" x14ac:dyDescent="0.2">
      <c r="B10" s="4" t="s">
        <v>36</v>
      </c>
      <c r="C10" s="5"/>
      <c r="D10" s="5"/>
      <c r="E10" s="5"/>
      <c r="F10" s="5"/>
      <c r="G10" s="5"/>
      <c r="H10" s="22"/>
    </row>
    <row r="12" spans="2:12" x14ac:dyDescent="0.2">
      <c r="G12" s="9" t="s">
        <v>32</v>
      </c>
    </row>
    <row r="13" spans="2:12" x14ac:dyDescent="0.2">
      <c r="G13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E281-DBD7-43C4-AF39-0BDD7430D7F5}">
  <dimension ref="A1:AN42"/>
  <sheetViews>
    <sheetView zoomScale="190" zoomScaleNormal="190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K5" sqref="AK5"/>
    </sheetView>
  </sheetViews>
  <sheetFormatPr defaultRowHeight="12.75" x14ac:dyDescent="0.2"/>
  <cols>
    <col min="1" max="1" width="5" bestFit="1" customWidth="1"/>
    <col min="2" max="2" width="14.28515625" customWidth="1"/>
    <col min="3" max="6" width="8.7109375" style="1" customWidth="1"/>
    <col min="7" max="18" width="8.42578125" style="1" customWidth="1"/>
    <col min="27" max="38" width="6.7109375" customWidth="1"/>
    <col min="40" max="40" width="11" bestFit="1" customWidth="1"/>
  </cols>
  <sheetData>
    <row r="1" spans="1:39" x14ac:dyDescent="0.2">
      <c r="A1" s="8" t="s">
        <v>19</v>
      </c>
    </row>
    <row r="2" spans="1:39" x14ac:dyDescent="0.2">
      <c r="B2" t="s">
        <v>41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4</v>
      </c>
      <c r="M2" s="1" t="s">
        <v>30</v>
      </c>
      <c r="N2" s="1" t="s">
        <v>31</v>
      </c>
      <c r="O2" s="1" t="s">
        <v>72</v>
      </c>
      <c r="P2" s="1" t="s">
        <v>73</v>
      </c>
      <c r="Q2" s="1" t="s">
        <v>74</v>
      </c>
      <c r="R2" s="1" t="s">
        <v>75</v>
      </c>
      <c r="V2">
        <v>2018</v>
      </c>
      <c r="W2">
        <f>+V2+1</f>
        <v>2019</v>
      </c>
      <c r="X2">
        <f t="shared" ref="X2:AM2" si="0">+W2+1</f>
        <v>2020</v>
      </c>
      <c r="Y2">
        <f t="shared" si="0"/>
        <v>2021</v>
      </c>
      <c r="Z2">
        <f t="shared" si="0"/>
        <v>2022</v>
      </c>
      <c r="AA2">
        <f t="shared" si="0"/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 t="shared" si="0"/>
        <v>2027</v>
      </c>
      <c r="AF2">
        <f t="shared" si="0"/>
        <v>2028</v>
      </c>
      <c r="AG2">
        <f t="shared" si="0"/>
        <v>2029</v>
      </c>
      <c r="AH2">
        <f t="shared" si="0"/>
        <v>2030</v>
      </c>
      <c r="AI2">
        <f t="shared" si="0"/>
        <v>2031</v>
      </c>
      <c r="AJ2">
        <f t="shared" si="0"/>
        <v>2032</v>
      </c>
      <c r="AK2">
        <f t="shared" si="0"/>
        <v>2033</v>
      </c>
      <c r="AL2">
        <f t="shared" si="0"/>
        <v>2034</v>
      </c>
      <c r="AM2">
        <f t="shared" si="0"/>
        <v>2035</v>
      </c>
    </row>
    <row r="3" spans="1:39" x14ac:dyDescent="0.2">
      <c r="E3" s="1">
        <f>CORREL(F4:M4,F5:M5)</f>
        <v>0.93033547439346964</v>
      </c>
    </row>
    <row r="4" spans="1:39" x14ac:dyDescent="0.2">
      <c r="B4" t="s">
        <v>77</v>
      </c>
      <c r="F4" s="17">
        <v>154</v>
      </c>
      <c r="G4" s="17">
        <v>3462</v>
      </c>
      <c r="H4" s="17">
        <v>7838</v>
      </c>
      <c r="I4" s="17">
        <v>12977</v>
      </c>
      <c r="J4" s="17">
        <v>12504</v>
      </c>
      <c r="K4" s="17">
        <v>13227</v>
      </c>
      <c r="L4" s="17">
        <v>8848</v>
      </c>
      <c r="M4" s="17">
        <v>4402</v>
      </c>
      <c r="N4" s="17">
        <v>11329</v>
      </c>
    </row>
    <row r="5" spans="1:39" s="2" customFormat="1" x14ac:dyDescent="0.2">
      <c r="B5" s="2" t="s">
        <v>39</v>
      </c>
      <c r="C5" s="10"/>
      <c r="D5" s="10"/>
      <c r="E5" s="10"/>
      <c r="F5" s="10">
        <v>280</v>
      </c>
      <c r="G5" s="10">
        <v>2027.5</v>
      </c>
      <c r="H5" s="10">
        <v>5280.5</v>
      </c>
      <c r="I5" s="10">
        <v>6040.1</v>
      </c>
      <c r="J5" s="10">
        <v>5525.9</v>
      </c>
      <c r="K5" s="10">
        <v>6362.2</v>
      </c>
      <c r="L5" s="10">
        <v>3166.3</v>
      </c>
      <c r="M5" s="10">
        <v>3394.8</v>
      </c>
      <c r="N5" s="10">
        <f>+N4*0.5</f>
        <v>5664.5</v>
      </c>
      <c r="O5" s="10"/>
      <c r="P5" s="10"/>
      <c r="Q5" s="10"/>
      <c r="R5" s="10"/>
      <c r="Y5" s="2">
        <f>SUM(G5:J5)</f>
        <v>18874</v>
      </c>
      <c r="Z5" s="2">
        <f>SUM(K5:N5)</f>
        <v>18587.8</v>
      </c>
      <c r="AA5" s="18">
        <f>+Z5*0.5</f>
        <v>9293.9</v>
      </c>
      <c r="AB5" s="18">
        <f>+AA5*0.9</f>
        <v>8364.51</v>
      </c>
      <c r="AC5" s="18">
        <f>+AB5*0.5</f>
        <v>4182.2550000000001</v>
      </c>
      <c r="AD5" s="18">
        <f t="shared" ref="AD5:AL5" si="1">+AC5*0.5</f>
        <v>2091.1275000000001</v>
      </c>
      <c r="AE5" s="18">
        <f t="shared" si="1"/>
        <v>1045.56375</v>
      </c>
      <c r="AF5" s="18">
        <f t="shared" si="1"/>
        <v>522.78187500000001</v>
      </c>
      <c r="AG5" s="18">
        <f t="shared" si="1"/>
        <v>261.39093750000001</v>
      </c>
      <c r="AH5" s="18">
        <f t="shared" si="1"/>
        <v>130.69546875</v>
      </c>
      <c r="AI5" s="18">
        <f t="shared" si="1"/>
        <v>65.347734375000002</v>
      </c>
      <c r="AJ5" s="18">
        <f t="shared" si="1"/>
        <v>32.673867187500001</v>
      </c>
      <c r="AK5" s="18">
        <f t="shared" si="1"/>
        <v>16.33693359375</v>
      </c>
      <c r="AL5" s="18">
        <f t="shared" si="1"/>
        <v>8.1684667968750002</v>
      </c>
    </row>
    <row r="6" spans="1:39" s="2" customFormat="1" x14ac:dyDescent="0.2">
      <c r="B6" s="2" t="s">
        <v>40</v>
      </c>
      <c r="C6" s="10"/>
      <c r="D6" s="10"/>
      <c r="E6" s="10"/>
      <c r="F6" s="10">
        <v>65.400000000000006</v>
      </c>
      <c r="G6" s="10">
        <v>20.9</v>
      </c>
      <c r="H6" s="10">
        <v>28</v>
      </c>
      <c r="I6" s="10">
        <v>47.2</v>
      </c>
      <c r="J6" s="10">
        <v>6.6</v>
      </c>
      <c r="K6" s="10">
        <v>12.4</v>
      </c>
      <c r="L6" s="10">
        <v>30.2</v>
      </c>
      <c r="M6" s="10">
        <v>66.400000000000006</v>
      </c>
      <c r="N6" s="10">
        <f>AVERAGE(J6:M6)</f>
        <v>28.900000000000002</v>
      </c>
      <c r="O6" s="10"/>
      <c r="P6" s="10"/>
      <c r="Q6" s="10"/>
      <c r="R6" s="10"/>
    </row>
    <row r="7" spans="1:39" s="12" customFormat="1" x14ac:dyDescent="0.2">
      <c r="B7" s="12" t="s">
        <v>20</v>
      </c>
      <c r="C7" s="13"/>
      <c r="D7" s="13"/>
      <c r="E7" s="13"/>
      <c r="F7" s="13">
        <f t="shared" ref="F7:N7" si="2">+F5+F6</f>
        <v>345.4</v>
      </c>
      <c r="G7" s="13">
        <f t="shared" si="2"/>
        <v>2048.4</v>
      </c>
      <c r="H7" s="13">
        <f t="shared" si="2"/>
        <v>5308.5</v>
      </c>
      <c r="I7" s="13">
        <f t="shared" si="2"/>
        <v>6087.3</v>
      </c>
      <c r="J7" s="13">
        <f t="shared" si="2"/>
        <v>5532.5</v>
      </c>
      <c r="K7" s="13">
        <f t="shared" si="2"/>
        <v>6374.5999999999995</v>
      </c>
      <c r="L7" s="13">
        <f t="shared" si="2"/>
        <v>3196.5</v>
      </c>
      <c r="M7" s="13">
        <f t="shared" si="2"/>
        <v>3461.2000000000003</v>
      </c>
      <c r="N7" s="13">
        <f t="shared" si="2"/>
        <v>5693.4</v>
      </c>
      <c r="O7" s="13"/>
      <c r="P7" s="13"/>
      <c r="Q7" s="13"/>
      <c r="R7" s="13"/>
      <c r="AA7" s="12">
        <f>+AA5+AA6</f>
        <v>9293.9</v>
      </c>
      <c r="AB7" s="12">
        <f t="shared" ref="AB7:AL7" si="3">+AB5+AB6</f>
        <v>8364.51</v>
      </c>
      <c r="AC7" s="12">
        <f t="shared" si="3"/>
        <v>4182.2550000000001</v>
      </c>
      <c r="AD7" s="12">
        <f t="shared" si="3"/>
        <v>2091.1275000000001</v>
      </c>
      <c r="AE7" s="12">
        <f t="shared" si="3"/>
        <v>1045.56375</v>
      </c>
      <c r="AF7" s="12">
        <f t="shared" si="3"/>
        <v>522.78187500000001</v>
      </c>
      <c r="AG7" s="12">
        <f t="shared" si="3"/>
        <v>261.39093750000001</v>
      </c>
      <c r="AH7" s="12">
        <f t="shared" si="3"/>
        <v>130.69546875</v>
      </c>
      <c r="AI7" s="12">
        <f t="shared" si="3"/>
        <v>65.347734375000002</v>
      </c>
      <c r="AJ7" s="12">
        <f t="shared" si="3"/>
        <v>32.673867187500001</v>
      </c>
      <c r="AK7" s="12">
        <f t="shared" si="3"/>
        <v>16.33693359375</v>
      </c>
      <c r="AL7" s="12">
        <f t="shared" si="3"/>
        <v>8.1684667968750002</v>
      </c>
    </row>
    <row r="8" spans="1:39" s="2" customFormat="1" x14ac:dyDescent="0.2">
      <c r="B8" s="2" t="s">
        <v>42</v>
      </c>
      <c r="C8" s="10"/>
      <c r="D8" s="10"/>
      <c r="E8" s="10"/>
      <c r="F8" s="10">
        <v>41</v>
      </c>
      <c r="G8" s="10">
        <v>233.1</v>
      </c>
      <c r="H8" s="10">
        <v>883.8</v>
      </c>
      <c r="I8" s="10">
        <v>1211.4000000000001</v>
      </c>
      <c r="J8" s="10">
        <v>583.20000000000005</v>
      </c>
      <c r="K8" s="10">
        <v>1294.0999999999999</v>
      </c>
      <c r="L8" s="10">
        <v>764.6</v>
      </c>
      <c r="M8" s="10">
        <v>752.8</v>
      </c>
      <c r="N8" s="10"/>
      <c r="O8" s="10"/>
      <c r="P8" s="10"/>
      <c r="Q8" s="10"/>
      <c r="R8" s="10"/>
    </row>
    <row r="9" spans="1:39" s="2" customFormat="1" x14ac:dyDescent="0.2">
      <c r="B9" s="2" t="s">
        <v>43</v>
      </c>
      <c r="C9" s="10"/>
      <c r="D9" s="10"/>
      <c r="E9" s="10"/>
      <c r="F9" s="10">
        <f t="shared" ref="F9:M9" si="4">+F7-F8</f>
        <v>304.39999999999998</v>
      </c>
      <c r="G9" s="10">
        <f t="shared" si="4"/>
        <v>1815.3000000000002</v>
      </c>
      <c r="H9" s="10">
        <f t="shared" si="4"/>
        <v>4424.7</v>
      </c>
      <c r="I9" s="10">
        <f t="shared" si="4"/>
        <v>4875.8999999999996</v>
      </c>
      <c r="J9" s="10">
        <f t="shared" si="4"/>
        <v>4949.3</v>
      </c>
      <c r="K9" s="10">
        <f t="shared" si="4"/>
        <v>5080.5</v>
      </c>
      <c r="L9" s="10">
        <f t="shared" si="4"/>
        <v>2431.9</v>
      </c>
      <c r="M9" s="10">
        <f t="shared" si="4"/>
        <v>2708.4000000000005</v>
      </c>
      <c r="N9" s="10"/>
      <c r="O9" s="10"/>
      <c r="P9" s="10"/>
      <c r="Q9" s="10"/>
      <c r="R9" s="10"/>
      <c r="AA9" s="2">
        <f>+AA7*0.8</f>
        <v>7435.12</v>
      </c>
      <c r="AB9" s="2">
        <f t="shared" ref="AB9:AL9" si="5">+AB7*0.8</f>
        <v>6691.6080000000002</v>
      </c>
      <c r="AC9" s="2">
        <f t="shared" si="5"/>
        <v>3345.8040000000001</v>
      </c>
      <c r="AD9" s="2">
        <f t="shared" si="5"/>
        <v>1672.902</v>
      </c>
      <c r="AE9" s="2">
        <f t="shared" si="5"/>
        <v>836.45100000000002</v>
      </c>
      <c r="AF9" s="2">
        <f t="shared" si="5"/>
        <v>418.22550000000001</v>
      </c>
      <c r="AG9" s="2">
        <f t="shared" si="5"/>
        <v>209.11275000000001</v>
      </c>
      <c r="AH9" s="2">
        <f t="shared" si="5"/>
        <v>104.556375</v>
      </c>
      <c r="AI9" s="2">
        <f t="shared" si="5"/>
        <v>52.278187500000001</v>
      </c>
      <c r="AJ9" s="2">
        <f t="shared" si="5"/>
        <v>26.139093750000001</v>
      </c>
      <c r="AK9" s="2">
        <f t="shared" si="5"/>
        <v>13.069546875</v>
      </c>
      <c r="AL9" s="2">
        <f t="shared" si="5"/>
        <v>6.5347734375000002</v>
      </c>
    </row>
    <row r="10" spans="1:39" s="2" customFormat="1" x14ac:dyDescent="0.2">
      <c r="B10" s="2" t="s">
        <v>40</v>
      </c>
      <c r="C10" s="10"/>
      <c r="D10" s="10"/>
      <c r="E10" s="10"/>
      <c r="F10" s="10">
        <v>257</v>
      </c>
      <c r="G10" s="10">
        <v>216.2</v>
      </c>
      <c r="H10" s="10">
        <v>201.1</v>
      </c>
      <c r="I10" s="10">
        <v>260.39999999999998</v>
      </c>
      <c r="J10" s="10">
        <v>271.5</v>
      </c>
      <c r="K10" s="10">
        <v>285.8</v>
      </c>
      <c r="L10" s="10">
        <v>399.6</v>
      </c>
      <c r="M10" s="10">
        <v>341.8</v>
      </c>
      <c r="N10" s="10"/>
      <c r="O10" s="10"/>
      <c r="P10" s="10"/>
      <c r="Q10" s="10"/>
      <c r="R10" s="10"/>
    </row>
    <row r="11" spans="1:39" s="2" customFormat="1" x14ac:dyDescent="0.2">
      <c r="B11" s="2" t="s">
        <v>46</v>
      </c>
      <c r="C11" s="10"/>
      <c r="D11" s="10"/>
      <c r="E11" s="10"/>
      <c r="F11" s="10">
        <v>6.7</v>
      </c>
      <c r="G11" s="10">
        <v>8.6999999999999993</v>
      </c>
      <c r="H11" s="10">
        <v>13.3</v>
      </c>
      <c r="I11" s="10">
        <v>10.5</v>
      </c>
      <c r="J11" s="10">
        <v>17.899999999999999</v>
      </c>
      <c r="K11" s="10">
        <v>14.3</v>
      </c>
      <c r="L11" s="10">
        <v>17.8</v>
      </c>
      <c r="M11" s="10">
        <v>12.8</v>
      </c>
      <c r="N11" s="10"/>
      <c r="O11" s="10"/>
      <c r="P11" s="10"/>
      <c r="Q11" s="10"/>
      <c r="R11" s="10"/>
    </row>
    <row r="12" spans="1:39" s="2" customFormat="1" x14ac:dyDescent="0.2">
      <c r="B12" s="2" t="s">
        <v>47</v>
      </c>
      <c r="C12" s="10"/>
      <c r="D12" s="10"/>
      <c r="E12" s="10"/>
      <c r="F12" s="10">
        <v>35.9</v>
      </c>
      <c r="G12" s="10">
        <v>38.9</v>
      </c>
      <c r="H12" s="10">
        <v>47.8</v>
      </c>
      <c r="I12" s="10">
        <v>68.2</v>
      </c>
      <c r="J12" s="10">
        <v>130.9</v>
      </c>
      <c r="K12" s="10">
        <v>90.8</v>
      </c>
      <c r="L12" s="10">
        <v>130</v>
      </c>
      <c r="M12" s="10">
        <v>141</v>
      </c>
      <c r="N12" s="10"/>
      <c r="O12" s="10"/>
      <c r="P12" s="10"/>
      <c r="Q12" s="10"/>
      <c r="R12" s="10"/>
      <c r="AA12" s="2">
        <v>300</v>
      </c>
      <c r="AB12" s="2">
        <v>300</v>
      </c>
      <c r="AC12" s="2">
        <v>300</v>
      </c>
      <c r="AD12" s="2">
        <v>300</v>
      </c>
      <c r="AE12" s="2">
        <v>200</v>
      </c>
      <c r="AF12" s="2">
        <v>200</v>
      </c>
      <c r="AG12" s="2">
        <v>100</v>
      </c>
    </row>
    <row r="13" spans="1:39" s="2" customFormat="1" x14ac:dyDescent="0.2">
      <c r="B13" s="2" t="s">
        <v>45</v>
      </c>
      <c r="C13" s="10"/>
      <c r="D13" s="10"/>
      <c r="E13" s="10"/>
      <c r="F13" s="10">
        <f t="shared" ref="F13:M13" si="6">+F10+F11+F12</f>
        <v>299.59999999999997</v>
      </c>
      <c r="G13" s="10">
        <f t="shared" si="6"/>
        <v>263.79999999999995</v>
      </c>
      <c r="H13" s="10">
        <f t="shared" si="6"/>
        <v>262.2</v>
      </c>
      <c r="I13" s="10">
        <f t="shared" si="6"/>
        <v>339.09999999999997</v>
      </c>
      <c r="J13" s="10">
        <f t="shared" si="6"/>
        <v>420.29999999999995</v>
      </c>
      <c r="K13" s="10">
        <f t="shared" si="6"/>
        <v>390.90000000000003</v>
      </c>
      <c r="L13" s="10">
        <f t="shared" si="6"/>
        <v>547.40000000000009</v>
      </c>
      <c r="M13" s="10">
        <f t="shared" si="6"/>
        <v>495.6</v>
      </c>
      <c r="N13" s="10"/>
      <c r="O13" s="10"/>
      <c r="P13" s="10"/>
      <c r="Q13" s="10"/>
      <c r="R13" s="10"/>
      <c r="AA13" s="2">
        <f>+AA12+AA11+AA10</f>
        <v>300</v>
      </c>
      <c r="AB13" s="2">
        <f t="shared" ref="AB13:AL13" si="7">+AB12+AB11+AB10</f>
        <v>300</v>
      </c>
      <c r="AC13" s="2">
        <f t="shared" si="7"/>
        <v>300</v>
      </c>
      <c r="AD13" s="2">
        <f t="shared" si="7"/>
        <v>300</v>
      </c>
      <c r="AE13" s="2">
        <f t="shared" si="7"/>
        <v>200</v>
      </c>
      <c r="AF13" s="2">
        <f t="shared" si="7"/>
        <v>200</v>
      </c>
      <c r="AG13" s="2">
        <f t="shared" si="7"/>
        <v>100</v>
      </c>
      <c r="AH13" s="2">
        <f t="shared" si="7"/>
        <v>0</v>
      </c>
      <c r="AI13" s="2">
        <f t="shared" si="7"/>
        <v>0</v>
      </c>
      <c r="AJ13" s="2">
        <f t="shared" si="7"/>
        <v>0</v>
      </c>
      <c r="AK13" s="2">
        <f t="shared" si="7"/>
        <v>0</v>
      </c>
      <c r="AL13" s="2">
        <f t="shared" si="7"/>
        <v>0</v>
      </c>
    </row>
    <row r="14" spans="1:39" s="2" customFormat="1" x14ac:dyDescent="0.2">
      <c r="B14" s="2" t="s">
        <v>44</v>
      </c>
      <c r="C14" s="10"/>
      <c r="D14" s="10"/>
      <c r="E14" s="10"/>
      <c r="F14" s="10">
        <f t="shared" ref="F14:M14" si="8">+F9-F13</f>
        <v>4.8000000000000114</v>
      </c>
      <c r="G14" s="10">
        <f t="shared" si="8"/>
        <v>1551.5000000000002</v>
      </c>
      <c r="H14" s="10">
        <f t="shared" si="8"/>
        <v>4162.5</v>
      </c>
      <c r="I14" s="10">
        <f t="shared" si="8"/>
        <v>4536.7999999999993</v>
      </c>
      <c r="J14" s="10">
        <f t="shared" si="8"/>
        <v>4529</v>
      </c>
      <c r="K14" s="10">
        <f t="shared" si="8"/>
        <v>4689.6000000000004</v>
      </c>
      <c r="L14" s="10">
        <f t="shared" si="8"/>
        <v>1884.5</v>
      </c>
      <c r="M14" s="10">
        <f t="shared" si="8"/>
        <v>2212.8000000000006</v>
      </c>
      <c r="N14" s="10"/>
      <c r="O14" s="10"/>
      <c r="P14" s="10"/>
      <c r="Q14" s="10"/>
      <c r="R14" s="10"/>
      <c r="AA14" s="2">
        <f>+AA9-AA13</f>
        <v>7135.12</v>
      </c>
      <c r="AB14" s="2">
        <f t="shared" ref="AB14:AL14" si="9">+AB9-AB13</f>
        <v>6391.6080000000002</v>
      </c>
      <c r="AC14" s="2">
        <f t="shared" si="9"/>
        <v>3045.8040000000001</v>
      </c>
      <c r="AD14" s="2">
        <f t="shared" si="9"/>
        <v>1372.902</v>
      </c>
      <c r="AE14" s="2">
        <f t="shared" si="9"/>
        <v>636.45100000000002</v>
      </c>
      <c r="AF14" s="2">
        <f t="shared" si="9"/>
        <v>218.22550000000001</v>
      </c>
      <c r="AG14" s="2">
        <f t="shared" si="9"/>
        <v>109.11275000000001</v>
      </c>
      <c r="AH14" s="2">
        <f t="shared" si="9"/>
        <v>104.556375</v>
      </c>
      <c r="AI14" s="2">
        <f t="shared" si="9"/>
        <v>52.278187500000001</v>
      </c>
      <c r="AJ14" s="2">
        <f t="shared" si="9"/>
        <v>26.139093750000001</v>
      </c>
      <c r="AK14" s="2">
        <f t="shared" si="9"/>
        <v>13.069546875</v>
      </c>
      <c r="AL14" s="2">
        <f t="shared" si="9"/>
        <v>6.5347734375000002</v>
      </c>
    </row>
    <row r="15" spans="1:39" s="2" customFormat="1" x14ac:dyDescent="0.2">
      <c r="B15" s="2" t="s">
        <v>48</v>
      </c>
      <c r="C15" s="10"/>
      <c r="D15" s="10"/>
      <c r="E15" s="10"/>
      <c r="F15" s="10">
        <f>-1.1+240.5+0.5-39.1</f>
        <v>200.8</v>
      </c>
      <c r="G15" s="10">
        <f>111.3-0.6+24.8-44.7</f>
        <v>90.8</v>
      </c>
      <c r="H15" s="10">
        <f>-0.3+36.2+0.3-175.9</f>
        <v>-139.69999999999999</v>
      </c>
      <c r="I15" s="10">
        <f>-26.4+213.1+26.6-82.7</f>
        <v>130.59999999999997</v>
      </c>
      <c r="J15" s="10">
        <f>-67.1+237.8+31.9-17.7</f>
        <v>184.90000000000003</v>
      </c>
      <c r="K15" s="10">
        <f>272.1-6.7+134.7-71.6</f>
        <v>328.5</v>
      </c>
      <c r="L15" s="10">
        <f>-240.7+565.8+115.5-5.8</f>
        <v>434.79999999999995</v>
      </c>
      <c r="M15" s="10">
        <f>60.9-4.3-285.1+459.8</f>
        <v>231.29999999999998</v>
      </c>
      <c r="N15" s="10"/>
      <c r="O15" s="10"/>
      <c r="P15" s="10"/>
      <c r="Q15" s="10"/>
      <c r="R15" s="10"/>
    </row>
    <row r="16" spans="1:39" s="2" customFormat="1" x14ac:dyDescent="0.2">
      <c r="B16" s="2" t="s">
        <v>49</v>
      </c>
      <c r="C16" s="10"/>
      <c r="D16" s="10"/>
      <c r="E16" s="10"/>
      <c r="F16" s="10">
        <f t="shared" ref="F16:M16" si="10">+F14+F15</f>
        <v>205.60000000000002</v>
      </c>
      <c r="G16" s="10">
        <f t="shared" si="10"/>
        <v>1642.3000000000002</v>
      </c>
      <c r="H16" s="10">
        <f t="shared" si="10"/>
        <v>4022.8</v>
      </c>
      <c r="I16" s="10">
        <f t="shared" si="10"/>
        <v>4667.3999999999996</v>
      </c>
      <c r="J16" s="10">
        <f t="shared" si="10"/>
        <v>4713.8999999999996</v>
      </c>
      <c r="K16" s="10">
        <f t="shared" si="10"/>
        <v>5018.1000000000004</v>
      </c>
      <c r="L16" s="10">
        <f t="shared" si="10"/>
        <v>2319.3000000000002</v>
      </c>
      <c r="M16" s="10">
        <f t="shared" si="10"/>
        <v>2444.1000000000008</v>
      </c>
      <c r="N16" s="10"/>
      <c r="O16" s="10"/>
      <c r="P16" s="10"/>
      <c r="Q16" s="10"/>
      <c r="R16" s="10"/>
      <c r="AA16" s="2">
        <f>+AA14+AA15</f>
        <v>7135.12</v>
      </c>
      <c r="AB16" s="2">
        <f t="shared" ref="AB16:AL16" si="11">+AB14+AB15</f>
        <v>6391.6080000000002</v>
      </c>
      <c r="AC16" s="2">
        <f t="shared" si="11"/>
        <v>3045.8040000000001</v>
      </c>
      <c r="AD16" s="2">
        <f t="shared" si="11"/>
        <v>1372.902</v>
      </c>
      <c r="AE16" s="2">
        <f t="shared" si="11"/>
        <v>636.45100000000002</v>
      </c>
      <c r="AF16" s="2">
        <f t="shared" si="11"/>
        <v>218.22550000000001</v>
      </c>
      <c r="AG16" s="2">
        <f t="shared" si="11"/>
        <v>109.11275000000001</v>
      </c>
      <c r="AH16" s="2">
        <f t="shared" si="11"/>
        <v>104.556375</v>
      </c>
      <c r="AI16" s="2">
        <f t="shared" si="11"/>
        <v>52.278187500000001</v>
      </c>
      <c r="AJ16" s="2">
        <f t="shared" si="11"/>
        <v>26.139093750000001</v>
      </c>
      <c r="AK16" s="2">
        <f t="shared" si="11"/>
        <v>13.069546875</v>
      </c>
      <c r="AL16" s="2">
        <f t="shared" si="11"/>
        <v>6.5347734375000002</v>
      </c>
    </row>
    <row r="17" spans="2:40" s="2" customFormat="1" x14ac:dyDescent="0.2">
      <c r="B17" s="2" t="s">
        <v>50</v>
      </c>
      <c r="C17" s="10"/>
      <c r="D17" s="10"/>
      <c r="E17" s="10"/>
      <c r="F17" s="10">
        <v>-161.30000000000001</v>
      </c>
      <c r="G17" s="10">
        <v>514.20000000000005</v>
      </c>
      <c r="H17" s="10">
        <v>1235.5999999999999</v>
      </c>
      <c r="I17" s="10">
        <v>1456.4</v>
      </c>
      <c r="J17" s="10">
        <v>1547.7</v>
      </c>
      <c r="K17" s="10">
        <v>1319.3</v>
      </c>
      <c r="L17" s="10">
        <v>647.29999999999995</v>
      </c>
      <c r="M17" s="10">
        <v>659.2</v>
      </c>
      <c r="N17" s="10"/>
      <c r="O17" s="10"/>
      <c r="P17" s="10"/>
      <c r="Q17" s="10"/>
      <c r="R17" s="10"/>
      <c r="AA17" s="2">
        <f>+AA16*0.25</f>
        <v>1783.78</v>
      </c>
      <c r="AB17" s="2">
        <f t="shared" ref="AB17:AL17" si="12">+AB16*0.25</f>
        <v>1597.902</v>
      </c>
      <c r="AC17" s="2">
        <f t="shared" si="12"/>
        <v>761.45100000000002</v>
      </c>
      <c r="AD17" s="2">
        <f t="shared" si="12"/>
        <v>343.22550000000001</v>
      </c>
      <c r="AE17" s="2">
        <f t="shared" si="12"/>
        <v>159.11275000000001</v>
      </c>
      <c r="AF17" s="2">
        <f t="shared" si="12"/>
        <v>54.556375000000003</v>
      </c>
      <c r="AG17" s="2">
        <f t="shared" si="12"/>
        <v>27.278187500000001</v>
      </c>
      <c r="AH17" s="2">
        <f t="shared" si="12"/>
        <v>26.139093750000001</v>
      </c>
      <c r="AI17" s="2">
        <f t="shared" si="12"/>
        <v>13.069546875</v>
      </c>
      <c r="AJ17" s="2">
        <f t="shared" si="12"/>
        <v>6.5347734375000002</v>
      </c>
      <c r="AK17" s="2">
        <f t="shared" si="12"/>
        <v>3.2673867187500001</v>
      </c>
      <c r="AL17" s="2">
        <f t="shared" si="12"/>
        <v>1.633693359375</v>
      </c>
    </row>
    <row r="18" spans="2:40" s="2" customFormat="1" x14ac:dyDescent="0.2">
      <c r="B18" s="2" t="s">
        <v>51</v>
      </c>
      <c r="C18" s="10"/>
      <c r="D18" s="10"/>
      <c r="E18" s="10"/>
      <c r="F18" s="10">
        <f t="shared" ref="F18:M18" si="13">+F16-F17</f>
        <v>366.90000000000003</v>
      </c>
      <c r="G18" s="10">
        <f t="shared" si="13"/>
        <v>1128.1000000000001</v>
      </c>
      <c r="H18" s="10">
        <f t="shared" si="13"/>
        <v>2787.2000000000003</v>
      </c>
      <c r="I18" s="10">
        <f t="shared" si="13"/>
        <v>3210.9999999999995</v>
      </c>
      <c r="J18" s="10">
        <f t="shared" si="13"/>
        <v>3166.2</v>
      </c>
      <c r="K18" s="10">
        <f t="shared" si="13"/>
        <v>3698.8</v>
      </c>
      <c r="L18" s="10">
        <f t="shared" si="13"/>
        <v>1672.0000000000002</v>
      </c>
      <c r="M18" s="10">
        <f t="shared" si="13"/>
        <v>1784.9000000000008</v>
      </c>
      <c r="N18" s="10"/>
      <c r="O18" s="10"/>
      <c r="P18" s="10"/>
      <c r="Q18" s="10"/>
      <c r="R18" s="10"/>
      <c r="AA18" s="2">
        <f>+AA16-AA17</f>
        <v>5351.34</v>
      </c>
      <c r="AB18" s="2">
        <f t="shared" ref="AB18:AL18" si="14">+AB16-AB17</f>
        <v>4793.7060000000001</v>
      </c>
      <c r="AC18" s="2">
        <f t="shared" si="14"/>
        <v>2284.3530000000001</v>
      </c>
      <c r="AD18" s="2">
        <f t="shared" si="14"/>
        <v>1029.6765</v>
      </c>
      <c r="AE18" s="2">
        <f t="shared" si="14"/>
        <v>477.33825000000002</v>
      </c>
      <c r="AF18" s="2">
        <f t="shared" si="14"/>
        <v>163.66912500000001</v>
      </c>
      <c r="AG18" s="2">
        <f t="shared" si="14"/>
        <v>81.834562500000004</v>
      </c>
      <c r="AH18" s="2">
        <f t="shared" si="14"/>
        <v>78.417281250000002</v>
      </c>
      <c r="AI18" s="2">
        <f t="shared" si="14"/>
        <v>39.208640625000001</v>
      </c>
      <c r="AJ18" s="2">
        <f t="shared" si="14"/>
        <v>19.604320312500001</v>
      </c>
      <c r="AK18" s="2">
        <f t="shared" si="14"/>
        <v>9.8021601562500003</v>
      </c>
      <c r="AL18" s="2">
        <f t="shared" si="14"/>
        <v>4.9010800781250001</v>
      </c>
    </row>
    <row r="19" spans="2:40" x14ac:dyDescent="0.2">
      <c r="B19" s="2" t="s">
        <v>52</v>
      </c>
      <c r="C19" s="10"/>
      <c r="D19" s="10"/>
      <c r="E19" s="10"/>
      <c r="F19" s="10"/>
      <c r="H19" s="11"/>
      <c r="K19" s="11"/>
      <c r="L19" s="11">
        <f>+L18/L20</f>
        <v>6.8895893854173114</v>
      </c>
    </row>
    <row r="20" spans="2:40" s="2" customFormat="1" x14ac:dyDescent="0.2">
      <c r="B20" s="2" t="s">
        <v>53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242.685</v>
      </c>
      <c r="M20" s="10"/>
      <c r="N20" s="10"/>
      <c r="O20" s="10"/>
      <c r="P20" s="10"/>
      <c r="Q20" s="10"/>
      <c r="R20" s="10"/>
    </row>
    <row r="21" spans="2:40" x14ac:dyDescent="0.2">
      <c r="AM21" t="s">
        <v>80</v>
      </c>
      <c r="AN21" s="19">
        <v>0.08</v>
      </c>
    </row>
    <row r="22" spans="2:40" x14ac:dyDescent="0.2">
      <c r="B22" s="2" t="s">
        <v>54</v>
      </c>
      <c r="C22" s="10"/>
      <c r="D22" s="10"/>
      <c r="E22" s="10"/>
      <c r="F22" s="10"/>
      <c r="J22" s="14">
        <f>+J7/F7-1</f>
        <v>15.017660683265781</v>
      </c>
      <c r="K22" s="14">
        <f>+K7/G7-1</f>
        <v>2.1119898457332549</v>
      </c>
      <c r="L22" s="14">
        <f>+L7/H7-1</f>
        <v>-0.3978525007064142</v>
      </c>
      <c r="M22" s="14">
        <f>+M7/I7-1</f>
        <v>-0.43140637064051379</v>
      </c>
      <c r="AM22" t="s">
        <v>81</v>
      </c>
      <c r="AN22" s="2">
        <f>NPV(AN21,AA18:AL18)+Main!K5-Main!K6</f>
        <v>30646.379461112119</v>
      </c>
    </row>
    <row r="23" spans="2:40" x14ac:dyDescent="0.2">
      <c r="B23" s="2" t="s">
        <v>78</v>
      </c>
      <c r="C23" s="10"/>
      <c r="D23" s="10"/>
      <c r="E23" s="10"/>
      <c r="F23" s="14">
        <f>+F5/F4</f>
        <v>1.8181818181818181</v>
      </c>
      <c r="G23" s="14">
        <f t="shared" ref="G23:M23" si="15">+G5/G4</f>
        <v>0.58564413633737722</v>
      </c>
      <c r="H23" s="14">
        <f t="shared" si="15"/>
        <v>0.67370502679254907</v>
      </c>
      <c r="I23" s="14">
        <f t="shared" si="15"/>
        <v>0.46544655929721818</v>
      </c>
      <c r="J23" s="14">
        <f t="shared" si="15"/>
        <v>0.44193058221369158</v>
      </c>
      <c r="K23" s="14">
        <f t="shared" si="15"/>
        <v>0.48100098283813408</v>
      </c>
      <c r="L23" s="14">
        <f t="shared" si="15"/>
        <v>0.35785488245931285</v>
      </c>
      <c r="M23" s="14">
        <f t="shared" si="15"/>
        <v>0.77119491140390739</v>
      </c>
      <c r="AM23" t="s">
        <v>82</v>
      </c>
      <c r="AN23" s="16">
        <f>AN22/Main!K3</f>
        <v>126.28027617166852</v>
      </c>
    </row>
    <row r="24" spans="2:40" x14ac:dyDescent="0.2">
      <c r="B24" s="2" t="s">
        <v>79</v>
      </c>
      <c r="C24" s="10"/>
      <c r="D24" s="10"/>
      <c r="E24" s="10"/>
      <c r="F24" s="14">
        <f t="shared" ref="F24:L24" si="16">+F9/F7</f>
        <v>0.88129704690214239</v>
      </c>
      <c r="G24" s="14">
        <f t="shared" si="16"/>
        <v>0.88620386643233751</v>
      </c>
      <c r="H24" s="14">
        <f t="shared" si="16"/>
        <v>0.83351229160779883</v>
      </c>
      <c r="I24" s="14">
        <f t="shared" si="16"/>
        <v>0.80099551525306778</v>
      </c>
      <c r="J24" s="14">
        <f t="shared" si="16"/>
        <v>0.89458653411658384</v>
      </c>
      <c r="K24" s="14">
        <f t="shared" si="16"/>
        <v>0.79699118376054978</v>
      </c>
      <c r="L24" s="14">
        <f t="shared" si="16"/>
        <v>0.76080087595807921</v>
      </c>
      <c r="M24" s="14">
        <f>+M9/M7</f>
        <v>0.78250317808852432</v>
      </c>
    </row>
    <row r="25" spans="2:40" x14ac:dyDescent="0.2">
      <c r="B25" s="2" t="s">
        <v>76</v>
      </c>
      <c r="C25" s="10"/>
      <c r="D25" s="10"/>
      <c r="E25" s="10"/>
      <c r="F25" s="14">
        <f t="shared" ref="F25:K25" si="17">+F17/F16</f>
        <v>-0.78453307392996108</v>
      </c>
      <c r="G25" s="14">
        <f t="shared" si="17"/>
        <v>0.3130974852341229</v>
      </c>
      <c r="H25" s="14">
        <f t="shared" si="17"/>
        <v>0.30714924927910903</v>
      </c>
      <c r="I25" s="14">
        <f t="shared" si="17"/>
        <v>0.31203667995029355</v>
      </c>
      <c r="J25" s="14">
        <f t="shared" si="17"/>
        <v>0.3283268631069815</v>
      </c>
      <c r="K25" s="14">
        <f t="shared" si="17"/>
        <v>0.26290827205516032</v>
      </c>
      <c r="L25" s="14">
        <f t="shared" ref="L25:M25" si="18">+L17/L16</f>
        <v>0.27909282973310906</v>
      </c>
      <c r="M25" s="14">
        <f t="shared" si="18"/>
        <v>0.26971073196677708</v>
      </c>
    </row>
    <row r="27" spans="2:40" x14ac:dyDescent="0.2">
      <c r="B27" s="2" t="s">
        <v>58</v>
      </c>
      <c r="C27" s="10"/>
      <c r="D27" s="10"/>
      <c r="E27" s="10"/>
      <c r="F27" s="10"/>
      <c r="M27" s="15">
        <f>13423.7+4.8+52.8</f>
        <v>13481.3</v>
      </c>
    </row>
    <row r="28" spans="2:40" x14ac:dyDescent="0.2">
      <c r="B28" t="s">
        <v>59</v>
      </c>
      <c r="M28" s="15">
        <v>7309.4</v>
      </c>
    </row>
    <row r="29" spans="2:40" x14ac:dyDescent="0.2">
      <c r="B29" s="2" t="s">
        <v>60</v>
      </c>
      <c r="C29" s="10"/>
      <c r="D29" s="10"/>
      <c r="E29" s="10"/>
      <c r="F29" s="10"/>
      <c r="M29" s="15">
        <v>294.8</v>
      </c>
    </row>
    <row r="30" spans="2:40" x14ac:dyDescent="0.2">
      <c r="B30" t="s">
        <v>61</v>
      </c>
      <c r="M30" s="15">
        <f>73+0.4+162.7+280.6</f>
        <v>516.70000000000005</v>
      </c>
    </row>
    <row r="31" spans="2:40" x14ac:dyDescent="0.2">
      <c r="B31" s="2" t="s">
        <v>50</v>
      </c>
      <c r="C31" s="10"/>
      <c r="D31" s="10"/>
      <c r="E31" s="10"/>
      <c r="F31" s="10"/>
      <c r="M31" s="15">
        <v>343.7</v>
      </c>
    </row>
    <row r="32" spans="2:40" x14ac:dyDescent="0.2">
      <c r="B32" s="2" t="s">
        <v>63</v>
      </c>
      <c r="C32" s="10"/>
      <c r="D32" s="10"/>
      <c r="E32" s="10"/>
      <c r="F32" s="10"/>
      <c r="M32" s="15">
        <v>488.5</v>
      </c>
    </row>
    <row r="33" spans="2:13" x14ac:dyDescent="0.2">
      <c r="B33" t="s">
        <v>62</v>
      </c>
      <c r="M33" s="15">
        <v>226.2</v>
      </c>
    </row>
    <row r="35" spans="2:13" x14ac:dyDescent="0.2">
      <c r="B35" t="s">
        <v>64</v>
      </c>
      <c r="M35" s="10">
        <f>37+237+686.9+6.1</f>
        <v>967</v>
      </c>
    </row>
    <row r="36" spans="2:13" x14ac:dyDescent="0.2">
      <c r="B36" t="s">
        <v>61</v>
      </c>
      <c r="M36" s="10">
        <f>104.8+3+17.4</f>
        <v>125.19999999999999</v>
      </c>
    </row>
    <row r="37" spans="2:13" x14ac:dyDescent="0.2">
      <c r="B37" t="s">
        <v>65</v>
      </c>
      <c r="M37" s="10">
        <f>673.9+53.8</f>
        <v>727.69999999999993</v>
      </c>
    </row>
    <row r="38" spans="2:13" x14ac:dyDescent="0.2">
      <c r="B38" t="s">
        <v>66</v>
      </c>
      <c r="M38" s="10">
        <f>768.1+7.3</f>
        <v>775.4</v>
      </c>
    </row>
    <row r="39" spans="2:13" x14ac:dyDescent="0.2">
      <c r="B39" t="s">
        <v>50</v>
      </c>
      <c r="M39" s="10">
        <f>1387.5+8+7</f>
        <v>1402.5</v>
      </c>
    </row>
    <row r="40" spans="2:13" x14ac:dyDescent="0.2">
      <c r="B40" t="s">
        <v>67</v>
      </c>
      <c r="M40" s="10">
        <v>296.5</v>
      </c>
    </row>
    <row r="41" spans="2:13" x14ac:dyDescent="0.2">
      <c r="B41" t="s">
        <v>69</v>
      </c>
      <c r="M41" s="10">
        <v>18366.3</v>
      </c>
    </row>
    <row r="42" spans="2:13" x14ac:dyDescent="0.2">
      <c r="B42" t="s">
        <v>68</v>
      </c>
      <c r="M42" s="10">
        <f>SUM(M35:M41)</f>
        <v>22660.6</v>
      </c>
    </row>
  </sheetData>
  <hyperlinks>
    <hyperlink ref="A1" location="Main!A1" display="Main" xr:uid="{DA7D47B3-51F1-4F9B-A6EB-C1FE772D2E7F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F1BF-0504-4D1B-870C-542F3C881152}">
  <dimension ref="A1:C2"/>
  <sheetViews>
    <sheetView workbookViewId="0">
      <selection activeCell="A3" sqref="A3"/>
    </sheetView>
  </sheetViews>
  <sheetFormatPr defaultRowHeight="12.75" x14ac:dyDescent="0.2"/>
  <sheetData>
    <row r="1" spans="1:3" x14ac:dyDescent="0.2">
      <c r="A1" t="s">
        <v>19</v>
      </c>
    </row>
    <row r="2" spans="1:3" x14ac:dyDescent="0.2">
      <c r="B2" t="s">
        <v>7</v>
      </c>
      <c r="C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Comirnaty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2022-09-11T20:55:09Z</dcterms:created>
  <dcterms:modified xsi:type="dcterms:W3CDTF">2024-09-02T19:52:36Z</dcterms:modified>
</cp:coreProperties>
</file>