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Mani Srikar\Downloads\"/>
    </mc:Choice>
  </mc:AlternateContent>
  <xr:revisionPtr revIDLastSave="0" documentId="8_{2187517E-757C-409B-8D0B-687D41905FED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INCOME STATEMENTS" sheetId="2" r:id="rId1"/>
    <sheet name="BALANCE SHEETS" sheetId="4" r:id="rId2"/>
    <sheet name="CASH FLOWS STATEMENTS" sheetId="6" r:id="rId3"/>
    <sheet name="STOCKHOLDERS' EQUITY STATEMENTS" sheetId="7" r:id="rId4"/>
    <sheet name="Free Cash Flows" sheetId="88" r:id="rId5"/>
    <sheet name="Net working Capital" sheetId="89" r:id="rId6"/>
    <sheet name="Wacc" sheetId="91" r:id="rId7"/>
    <sheet name="DCF" sheetId="92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92" l="1"/>
  <c r="E16" i="92"/>
  <c r="E20" i="92"/>
  <c r="E19" i="92"/>
  <c r="E13" i="92"/>
  <c r="I9" i="92"/>
  <c r="J9" i="92"/>
  <c r="K9" i="92"/>
  <c r="L9" i="92"/>
  <c r="H9" i="92"/>
  <c r="E15" i="92"/>
  <c r="G7" i="92"/>
  <c r="H7" i="92"/>
  <c r="I7" i="92"/>
  <c r="J7" i="92"/>
  <c r="K7" i="92"/>
  <c r="L7" i="92"/>
  <c r="F7" i="92"/>
  <c r="G6" i="92"/>
  <c r="H6" i="92"/>
  <c r="I6" i="92"/>
  <c r="J6" i="92"/>
  <c r="K6" i="92"/>
  <c r="L6" i="92"/>
  <c r="F6" i="92"/>
  <c r="E21" i="92"/>
  <c r="C9" i="91"/>
  <c r="C7" i="91"/>
  <c r="C11" i="91" s="1"/>
  <c r="C16" i="91"/>
  <c r="C19" i="91" s="1"/>
  <c r="E22" i="88"/>
  <c r="F22" i="88"/>
  <c r="G22" i="88"/>
  <c r="H22" i="88"/>
  <c r="I22" i="88"/>
  <c r="J22" i="88"/>
  <c r="D22" i="88"/>
  <c r="E18" i="88"/>
  <c r="F18" i="88"/>
  <c r="G18" i="88"/>
  <c r="H18" i="88"/>
  <c r="I18" i="88"/>
  <c r="J18" i="88"/>
  <c r="E19" i="88"/>
  <c r="F19" i="88"/>
  <c r="G19" i="88"/>
  <c r="H19" i="88"/>
  <c r="I19" i="88"/>
  <c r="J19" i="88"/>
  <c r="D19" i="88"/>
  <c r="D18" i="88" s="1"/>
  <c r="E25" i="88"/>
  <c r="F25" i="88"/>
  <c r="G25" i="88"/>
  <c r="H25" i="88"/>
  <c r="I25" i="88"/>
  <c r="J25" i="88"/>
  <c r="K25" i="88"/>
  <c r="D25" i="88"/>
  <c r="E21" i="88"/>
  <c r="F21" i="88"/>
  <c r="G21" i="88"/>
  <c r="H21" i="88"/>
  <c r="I21" i="88"/>
  <c r="J21" i="88"/>
  <c r="D21" i="88"/>
  <c r="E20" i="88"/>
  <c r="F20" i="88"/>
  <c r="G20" i="88"/>
  <c r="H20" i="88"/>
  <c r="I20" i="88"/>
  <c r="J20" i="88"/>
  <c r="D20" i="88"/>
  <c r="C25" i="89"/>
  <c r="D6" i="89"/>
  <c r="D24" i="89" s="1"/>
  <c r="C6" i="89"/>
  <c r="C24" i="89" s="1"/>
  <c r="E24" i="89" s="1"/>
  <c r="F24" i="89" s="1"/>
  <c r="D5" i="89"/>
  <c r="D22" i="89" s="1"/>
  <c r="C5" i="89"/>
  <c r="D11" i="89"/>
  <c r="C11" i="89"/>
  <c r="C26" i="89" s="1"/>
  <c r="C3" i="89"/>
  <c r="D10" i="89"/>
  <c r="D25" i="89" s="1"/>
  <c r="C10" i="89"/>
  <c r="D9" i="89"/>
  <c r="D12" i="89" s="1"/>
  <c r="C9" i="89"/>
  <c r="D4" i="89"/>
  <c r="C4" i="89"/>
  <c r="C21" i="89" s="1"/>
  <c r="D19" i="89"/>
  <c r="D23" i="89" s="1"/>
  <c r="E19" i="89"/>
  <c r="F19" i="89"/>
  <c r="G19" i="89"/>
  <c r="H19" i="89"/>
  <c r="I19" i="89"/>
  <c r="C19" i="89"/>
  <c r="D17" i="89"/>
  <c r="D3" i="89" s="1"/>
  <c r="E17" i="89"/>
  <c r="E3" i="89" s="1"/>
  <c r="F17" i="89"/>
  <c r="F3" i="89" s="1"/>
  <c r="G17" i="89"/>
  <c r="G3" i="89" s="1"/>
  <c r="H17" i="89"/>
  <c r="H3" i="89" s="1"/>
  <c r="I17" i="89"/>
  <c r="I3" i="89" s="1"/>
  <c r="C17" i="89"/>
  <c r="D18" i="89"/>
  <c r="E18" i="89"/>
  <c r="F18" i="89"/>
  <c r="G18" i="89"/>
  <c r="H18" i="89"/>
  <c r="I18" i="89"/>
  <c r="C18" i="89"/>
  <c r="G17" i="88"/>
  <c r="H17" i="88"/>
  <c r="I17" i="88"/>
  <c r="J17" i="88"/>
  <c r="F17" i="88"/>
  <c r="E35" i="88"/>
  <c r="D35" i="88"/>
  <c r="E16" i="88"/>
  <c r="F16" i="88"/>
  <c r="G16" i="88"/>
  <c r="H16" i="88"/>
  <c r="I16" i="88"/>
  <c r="J16" i="88"/>
  <c r="D16" i="88"/>
  <c r="E15" i="88"/>
  <c r="F15" i="88"/>
  <c r="G15" i="88"/>
  <c r="H15" i="88"/>
  <c r="I15" i="88"/>
  <c r="J15" i="88"/>
  <c r="D15" i="88"/>
  <c r="G14" i="88"/>
  <c r="H14" i="88"/>
  <c r="I14" i="88"/>
  <c r="J14" i="88"/>
  <c r="F14" i="88"/>
  <c r="G13" i="88"/>
  <c r="H13" i="88"/>
  <c r="I13" i="88"/>
  <c r="J13" i="88"/>
  <c r="F13" i="88"/>
  <c r="E14" i="88"/>
  <c r="D14" i="88"/>
  <c r="E12" i="88"/>
  <c r="D12" i="88"/>
  <c r="F11" i="88"/>
  <c r="E9" i="88"/>
  <c r="F9" i="88" s="1"/>
  <c r="G9" i="88" s="1"/>
  <c r="H9" i="88" s="1"/>
  <c r="I9" i="88" s="1"/>
  <c r="J9" i="88" s="1"/>
  <c r="D9" i="88"/>
  <c r="F7" i="88"/>
  <c r="E6" i="88"/>
  <c r="F6" i="88" s="1"/>
  <c r="G6" i="88" s="1"/>
  <c r="H6" i="88" s="1"/>
  <c r="I6" i="88" s="1"/>
  <c r="J6" i="88" s="1"/>
  <c r="D6" i="88"/>
  <c r="H5" i="88"/>
  <c r="H11" i="88" s="1"/>
  <c r="I5" i="88"/>
  <c r="J5" i="88" s="1"/>
  <c r="G5" i="88"/>
  <c r="G11" i="88" s="1"/>
  <c r="F26" i="88"/>
  <c r="E5" i="88"/>
  <c r="E11" i="88" s="1"/>
  <c r="E13" i="88" s="1"/>
  <c r="E31" i="88" s="1"/>
  <c r="D5" i="88"/>
  <c r="D7" i="88" s="1"/>
  <c r="B25" i="88"/>
  <c r="E18" i="92" l="1"/>
  <c r="E22" i="92" s="1"/>
  <c r="E24" i="92" s="1"/>
  <c r="C12" i="91"/>
  <c r="C21" i="91" s="1"/>
  <c r="D7" i="89"/>
  <c r="D26" i="89"/>
  <c r="E26" i="89"/>
  <c r="F26" i="89" s="1"/>
  <c r="F11" i="89" s="1"/>
  <c r="D21" i="89"/>
  <c r="E21" i="89" s="1"/>
  <c r="E4" i="89" s="1"/>
  <c r="C23" i="89"/>
  <c r="E23" i="89" s="1"/>
  <c r="E9" i="89" s="1"/>
  <c r="C22" i="89"/>
  <c r="E22" i="89" s="1"/>
  <c r="F22" i="89" s="1"/>
  <c r="E25" i="89"/>
  <c r="E10" i="89" s="1"/>
  <c r="C12" i="89"/>
  <c r="C7" i="89"/>
  <c r="G24" i="89"/>
  <c r="G6" i="89" s="1"/>
  <c r="F6" i="89"/>
  <c r="E6" i="89"/>
  <c r="E11" i="89"/>
  <c r="J7" i="88"/>
  <c r="J11" i="88"/>
  <c r="H7" i="88"/>
  <c r="D11" i="88"/>
  <c r="D13" i="88" s="1"/>
  <c r="D31" i="88" s="1"/>
  <c r="F31" i="88" s="1"/>
  <c r="G7" i="88"/>
  <c r="I11" i="88"/>
  <c r="E26" i="88"/>
  <c r="E7" i="88"/>
  <c r="I7" i="88"/>
  <c r="F21" i="89" l="1"/>
  <c r="G26" i="89"/>
  <c r="F23" i="89"/>
  <c r="H24" i="89"/>
  <c r="H6" i="89" s="1"/>
  <c r="G21" i="89"/>
  <c r="F4" i="89"/>
  <c r="F7" i="89" s="1"/>
  <c r="E12" i="89"/>
  <c r="G22" i="89"/>
  <c r="E5" i="89"/>
  <c r="E7" i="89" s="1"/>
  <c r="F25" i="89"/>
  <c r="F5" i="89"/>
  <c r="G23" i="89"/>
  <c r="F9" i="89"/>
  <c r="F10" i="89"/>
  <c r="F12" i="89" s="1"/>
  <c r="G25" i="89"/>
  <c r="I24" i="89"/>
  <c r="I6" i="89" s="1"/>
  <c r="G11" i="89"/>
  <c r="H26" i="89"/>
  <c r="F12" i="88"/>
  <c r="G31" i="88"/>
  <c r="G4" i="89" l="1"/>
  <c r="H21" i="89"/>
  <c r="G5" i="89"/>
  <c r="H22" i="89"/>
  <c r="H5" i="89" s="1"/>
  <c r="G9" i="89"/>
  <c r="H23" i="89"/>
  <c r="H25" i="89"/>
  <c r="G10" i="89"/>
  <c r="H11" i="89"/>
  <c r="I26" i="89"/>
  <c r="I11" i="89" s="1"/>
  <c r="H31" i="88"/>
  <c r="I31" i="88" s="1"/>
  <c r="J31" i="88" s="1"/>
  <c r="K31" i="88" s="1"/>
  <c r="G12" i="88"/>
  <c r="H12" i="88" s="1"/>
  <c r="I23" i="89" l="1"/>
  <c r="I9" i="89" s="1"/>
  <c r="H9" i="89"/>
  <c r="I22" i="89"/>
  <c r="I5" i="89" s="1"/>
  <c r="I21" i="89"/>
  <c r="I4" i="89" s="1"/>
  <c r="H4" i="89"/>
  <c r="H7" i="89" s="1"/>
  <c r="G12" i="89"/>
  <c r="G7" i="89"/>
  <c r="I25" i="89"/>
  <c r="I10" i="89" s="1"/>
  <c r="I12" i="89" s="1"/>
  <c r="H10" i="89"/>
  <c r="I12" i="88"/>
  <c r="H12" i="89" l="1"/>
  <c r="I7" i="89"/>
  <c r="J12" i="8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C7D85CEB-60D5-458B-B994-80C3FA1BB8D8}">
      <text>
        <r>
          <rPr>
            <sz val="11"/>
            <color theme="1"/>
            <rFont val="Calibri"/>
            <family val="2"/>
            <scheme val="minor"/>
          </rPr>
          <t>======
ID#AAAAccCPVgU
kenji    (2022-07-02 07:51:37)
Source: Bloomberg</t>
        </r>
      </text>
    </comment>
    <comment ref="C10" authorId="0" shapeId="0" xr:uid="{24916C34-F7FB-46EB-9634-C4169F570C7A}">
      <text>
        <r>
          <rPr>
            <sz val="11"/>
            <color theme="1"/>
            <rFont val="Calibri"/>
            <family val="2"/>
            <scheme val="minor"/>
          </rPr>
          <t>======
ID#AAAAccCPVgk
kenji    (2022-07-02 07:51:37)
US Corporate Tax Rate</t>
        </r>
      </text>
    </comment>
    <comment ref="C14" authorId="0" shapeId="0" xr:uid="{683656B6-7183-4F00-BFCC-F3DD217DDAB2}">
      <text>
        <r>
          <rPr>
            <sz val="11"/>
            <color theme="1"/>
            <rFont val="Calibri"/>
            <family val="2"/>
            <scheme val="minor"/>
          </rPr>
          <t>======
ID#AAAAccCPVgs
kenji    (2022-07-02 07:51:37)
Source: Bloomberg</t>
        </r>
      </text>
    </comment>
    <comment ref="C15" authorId="0" shapeId="0" xr:uid="{C13992D9-F939-4D6F-B57A-3DEB04A1D161}">
      <text>
        <r>
          <rPr>
            <sz val="11"/>
            <color theme="1"/>
            <rFont val="Calibri"/>
            <family val="2"/>
            <scheme val="minor"/>
          </rPr>
          <t>======
ID#AAAAccCPVgo
kenji    (2022-07-02 07:51:37)
Source: Bloomberg</t>
        </r>
      </text>
    </comment>
    <comment ref="C17" authorId="0" shapeId="0" xr:uid="{FC18255A-7C4D-4F0B-9470-602B43A5FA16}">
      <text>
        <r>
          <rPr>
            <sz val="11"/>
            <color theme="1"/>
            <rFont val="Calibri"/>
            <family val="2"/>
            <scheme val="minor"/>
          </rPr>
          <t>======
ID#AAAAccCPVgY
kenji    (2022-07-02 07:51:37)
Source: Bloomberg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4" authorId="0" shapeId="0" xr:uid="{BE667B90-E044-4480-8496-E43EBEABA925}">
      <text>
        <r>
          <rPr>
            <sz val="11"/>
            <color theme="1"/>
            <rFont val="Calibri"/>
            <family val="2"/>
            <scheme val="minor"/>
          </rPr>
          <t>======
ID#AAAAccCPVgc
kenji    (2022-07-02 07:51:37)
Industry Growth Rate</t>
        </r>
      </text>
    </comment>
    <comment ref="E23" authorId="0" shapeId="0" xr:uid="{F5DBED60-25B5-4989-B738-4E82B9CEC6F4}">
      <text>
        <r>
          <rPr>
            <sz val="11"/>
            <color theme="1"/>
            <rFont val="Calibri"/>
            <family val="2"/>
            <scheme val="minor"/>
          </rPr>
          <t>======
ID#AAAAccCPVgg
kenji    (2022-07-02 07:51:37)
Source: Company 10k filing</t>
        </r>
      </text>
    </comment>
  </commentList>
</comments>
</file>

<file path=xl/sharedStrings.xml><?xml version="1.0" encoding="utf-8"?>
<sst xmlns="http://schemas.openxmlformats.org/spreadsheetml/2006/main" count="285" uniqueCount="174">
  <si>
    <t>3 Months Ended</t>
  </si>
  <si>
    <t>Sep. 30, 2023</t>
  </si>
  <si>
    <t> </t>
  </si>
  <si>
    <t>INCOME STATEMENTS - USD ($) shares in Millions, $ in Millions</t>
  </si>
  <si>
    <t>Sep. 30, 2022</t>
  </si>
  <si>
    <t>Revenue</t>
  </si>
  <si>
    <t>Cost of revenue</t>
  </si>
  <si>
    <t>Gross margin</t>
  </si>
  <si>
    <t>Research and development</t>
  </si>
  <si>
    <t>Sales and marketing</t>
  </si>
  <si>
    <t>General and administrative</t>
  </si>
  <si>
    <t>Operating income</t>
  </si>
  <si>
    <t>Other income, net</t>
  </si>
  <si>
    <t>Income before income taxes</t>
  </si>
  <si>
    <t>Provision for income taxes</t>
  </si>
  <si>
    <t>Net income</t>
  </si>
  <si>
    <t>Earnings per share:</t>
  </si>
  <si>
    <t>Basic</t>
  </si>
  <si>
    <t>Diluted</t>
  </si>
  <si>
    <t>Weighted average shares outstanding:</t>
  </si>
  <si>
    <t>Product</t>
  </si>
  <si>
    <t>Service and Other</t>
  </si>
  <si>
    <t>Other comprehensive loss</t>
  </si>
  <si>
    <t>BALANCE SHEETS - USD ($) $ in Millions</t>
  </si>
  <si>
    <t>Jun. 30, 2023</t>
  </si>
  <si>
    <t>Current assets:</t>
  </si>
  <si>
    <t>Cash and cash equivalents</t>
  </si>
  <si>
    <t>Short-term investments</t>
  </si>
  <si>
    <t>Total cash, cash equivalents, and short-term investments</t>
  </si>
  <si>
    <t>Accounts receivable, net of allowance for doubtful accounts of $512 and $650</t>
  </si>
  <si>
    <t>Inventories</t>
  </si>
  <si>
    <t>Other current assets</t>
  </si>
  <si>
    <t>Total current assets</t>
  </si>
  <si>
    <t>Property and equipment, net of accumulated depreciation of $69,486 and $68,251</t>
  </si>
  <si>
    <t>Operating lease right-of-use assets</t>
  </si>
  <si>
    <t>Equity investments</t>
  </si>
  <si>
    <t>Goodwill</t>
  </si>
  <si>
    <t>Intangible assets, net</t>
  </si>
  <si>
    <t>Other long-term assets</t>
  </si>
  <si>
    <t>Total assets</t>
  </si>
  <si>
    <t>Current liabilities:</t>
  </si>
  <si>
    <t>Accounts payable</t>
  </si>
  <si>
    <t>Short-term debt</t>
  </si>
  <si>
    <t>Current portion of long-term debt</t>
  </si>
  <si>
    <t>Accrued compensation</t>
  </si>
  <si>
    <t>Short-term income taxes</t>
  </si>
  <si>
    <t>Short-term unearned revenue</t>
  </si>
  <si>
    <t>Other current liabilities</t>
  </si>
  <si>
    <t>Total current liabilities</t>
  </si>
  <si>
    <t>Long-term debt</t>
  </si>
  <si>
    <t>Long-term income taxes</t>
  </si>
  <si>
    <t>Long-term unearned revenue</t>
  </si>
  <si>
    <t>Deferred income taxes</t>
  </si>
  <si>
    <t>Operating lease liabilities</t>
  </si>
  <si>
    <t>Other long-term liabilities</t>
  </si>
  <si>
    <t>Total liabilities</t>
  </si>
  <si>
    <t>Commitments and contingencies</t>
  </si>
  <si>
    <t xml:space="preserve"> </t>
  </si>
  <si>
    <t>Stockholders’ equity:</t>
  </si>
  <si>
    <t>Common stock and paid-in capital - shares authorized 24,000; outstanding 7,431 and 7,432</t>
  </si>
  <si>
    <t>Retained earnings</t>
  </si>
  <si>
    <t>Accumulated other comprehensive loss</t>
  </si>
  <si>
    <t>Total stockholders’ equity</t>
  </si>
  <si>
    <t>Total liabilities and stockholders’ equity</t>
  </si>
  <si>
    <t>CASH FLOWS STATEMENTS - USD ($) $ in Millions</t>
  </si>
  <si>
    <t>Operations</t>
  </si>
  <si>
    <t>Adjustments to reconcile net income to net cash from operations:</t>
  </si>
  <si>
    <t>Depreciation, amortization, and other</t>
  </si>
  <si>
    <t>Stock-based compensation expense</t>
  </si>
  <si>
    <t>Net recognized losses (gains) on investments and derivatives</t>
  </si>
  <si>
    <t>Changes in operating assets and liabilities:</t>
  </si>
  <si>
    <t>Accounts receivable</t>
  </si>
  <si>
    <t>Unearned revenue</t>
  </si>
  <si>
    <t>Income taxes</t>
  </si>
  <si>
    <t>Net cash from operations</t>
  </si>
  <si>
    <t>Financing</t>
  </si>
  <si>
    <t>Proceeds from issuance of debt, maturities of 90 days or less, net</t>
  </si>
  <si>
    <t>Proceeds from issuance of debt</t>
  </si>
  <si>
    <t>Repayments of debt</t>
  </si>
  <si>
    <t>Common stock issued</t>
  </si>
  <si>
    <t>Common stock repurchased</t>
  </si>
  <si>
    <t>Common stock cash dividends paid</t>
  </si>
  <si>
    <t>Other, net</t>
  </si>
  <si>
    <t>Net cash from (used in) financing</t>
  </si>
  <si>
    <t>Investing</t>
  </si>
  <si>
    <t>Additions to property and equipment</t>
  </si>
  <si>
    <t>Acquisition of companies, net of cash acquired, and purchases of intangible and other assets</t>
  </si>
  <si>
    <t>Purchases of investments</t>
  </si>
  <si>
    <t>Maturities of investments</t>
  </si>
  <si>
    <t>Sales of investments</t>
  </si>
  <si>
    <t>Net cash from (used in) investing</t>
  </si>
  <si>
    <t>Effect of foreign exchange rates on cash and cash equivalents</t>
  </si>
  <si>
    <t>Net change in cash and cash equivalents</t>
  </si>
  <si>
    <t>Cash and cash equivalents, beginning of period</t>
  </si>
  <si>
    <t>Cash and cash equivalents, end of period</t>
  </si>
  <si>
    <t>STOCKHOLDERS' EQUITY STATEMENTS - USD ($) $ in Millions</t>
  </si>
  <si>
    <t>Total</t>
  </si>
  <si>
    <t>Common stock and paid-in capital</t>
  </si>
  <si>
    <t>Balance, beginning of period at Jun. 30, 2022</t>
  </si>
  <si>
    <t>Common stock cash dividends</t>
  </si>
  <si>
    <t>Balance, end of period at Sep. 30, 2022</t>
  </si>
  <si>
    <t>Cash dividends declared per common share</t>
  </si>
  <si>
    <t>Balance, beginning of period at Jun. 30, 2023</t>
  </si>
  <si>
    <t>Balance, end of period at Sep. 30, 2023</t>
  </si>
  <si>
    <t>Other Current Assets</t>
  </si>
  <si>
    <t>Other Current Liabilities</t>
  </si>
  <si>
    <t>Free Cash Flows</t>
  </si>
  <si>
    <t>COGS</t>
  </si>
  <si>
    <t>Fiscal Year</t>
  </si>
  <si>
    <t>Gross Profit</t>
  </si>
  <si>
    <t>Operating Expenses</t>
  </si>
  <si>
    <t>Selling, General, Administrative</t>
  </si>
  <si>
    <t>Total Operating Expenses</t>
  </si>
  <si>
    <t>EBITDA</t>
  </si>
  <si>
    <t>Depreciation &amp; Amortization</t>
  </si>
  <si>
    <t>Operating Profit (EBIT)</t>
  </si>
  <si>
    <t>Operating Taxes</t>
  </si>
  <si>
    <t>NOPAT (Net Operating Profit After Taxes)</t>
  </si>
  <si>
    <t>(+) Depreciation &amp; Amortization</t>
  </si>
  <si>
    <t>(-) Capital Expenditures</t>
  </si>
  <si>
    <t>(-) Change in NWC</t>
  </si>
  <si>
    <t>NWC</t>
  </si>
  <si>
    <t>Current Assets</t>
  </si>
  <si>
    <t>Current Liabilitites</t>
  </si>
  <si>
    <t>Unlevered Free Cash Flow</t>
  </si>
  <si>
    <t>Assumptions</t>
  </si>
  <si>
    <t>Revenue Growth</t>
  </si>
  <si>
    <t>COGS % of Revenue</t>
  </si>
  <si>
    <t>SG&amp;A % of Revenue</t>
  </si>
  <si>
    <t>Tax % of EBIT</t>
  </si>
  <si>
    <t>D&amp;A as a % of Beginning PP&amp;E</t>
  </si>
  <si>
    <t>CapEx as a % of Beginning PP&amp;E</t>
  </si>
  <si>
    <t>PPPEX</t>
  </si>
  <si>
    <t>Accounts Receivables</t>
  </si>
  <si>
    <t>Merchandise Inventory</t>
  </si>
  <si>
    <t>Accounts Payable</t>
  </si>
  <si>
    <t>Accrued Member Rewards</t>
  </si>
  <si>
    <t>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</si>
  <si>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</si>
  <si>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</si>
  <si>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</si>
  <si>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</si>
  <si>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Accrued Member Rewards as a % of Revenue</t>
  </si>
  <si>
    <t>Other Current Liabilities as a % of Revenue</t>
  </si>
  <si>
    <t>Weighted Average Cost of Capital (WACC)</t>
  </si>
  <si>
    <t>Equity (mm)</t>
  </si>
  <si>
    <t>Debt (mm)</t>
  </si>
  <si>
    <t>Cost of Debt</t>
  </si>
  <si>
    <t>Tax Rate</t>
  </si>
  <si>
    <t>D/(D+E)</t>
  </si>
  <si>
    <t>After Tax Cost of Debt</t>
  </si>
  <si>
    <t>Risk Free Rate (10-Yr Treasury Yield)</t>
  </si>
  <si>
    <t>Expected Market Return</t>
  </si>
  <si>
    <t>Market Risk Premium</t>
  </si>
  <si>
    <t>Levered Beta</t>
  </si>
  <si>
    <t>E/(D+E)</t>
  </si>
  <si>
    <t>Cost of Equity</t>
  </si>
  <si>
    <t>WACC</t>
  </si>
  <si>
    <t>Implied Share Price Calculation</t>
  </si>
  <si>
    <t>Sum of PV of FCF</t>
  </si>
  <si>
    <t>Growth Rate</t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</si>
  <si>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</si>
  <si>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</si>
  <si>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</si>
  <si>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</si>
  <si>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</si>
  <si>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</si>
  <si>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</si>
  <si>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t>Diluted Shares Outstanding (mm)</t>
  </si>
  <si>
    <t>Implied Share Price</t>
  </si>
  <si>
    <t>Unlevered Free Cash Flow (mm)</t>
  </si>
  <si>
    <t>Projection Year</t>
  </si>
  <si>
    <t>Present Value of Free Cash Flow</t>
  </si>
  <si>
    <t>fiscal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</si>
</sst>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(&quot;$ &quot;#,##0_);_(&quot;$ &quot;\(#,##0\)"/>
    <numFmt numFmtId="166" formatCode="_(&quot;$ &quot;#,##0.00_);_(&quot;$ &quot;\(#,##0.00\)"/>
    <numFmt numFmtId="174" formatCode="0.0%"/>
    <numFmt numFmtId="177" formatCode="yyyy\A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3"/>
      <name val="Calibri"/>
      <family val="2"/>
      <scheme val="minor"/>
    </font>
    <font>
      <sz val="11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2A3E68"/>
        <bgColor rgb="FF2A3E68"/>
      </patternFill>
    </fill>
    <fill>
      <patternFill patternType="solid">
        <fgColor rgb="FFE7E6E6"/>
        <bgColor rgb="FFE7E6E6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37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0" fontId="4" fillId="0" borderId="0" xfId="0" applyFont="1" applyAlignment="1">
      <alignment horizontal="left"/>
    </xf>
    <xf numFmtId="0" fontId="5" fillId="3" borderId="2" xfId="0" applyFont="1" applyFill="1" applyBorder="1"/>
    <xf numFmtId="0" fontId="6" fillId="4" borderId="0" xfId="0" applyFont="1" applyFill="1"/>
    <xf numFmtId="0" fontId="4" fillId="5" borderId="0" xfId="0" applyFont="1" applyFill="1"/>
    <xf numFmtId="16" fontId="0" fillId="0" borderId="0" xfId="0" applyNumberFormat="1"/>
    <xf numFmtId="10" fontId="0" fillId="0" borderId="0" xfId="0" applyNumberFormat="1"/>
    <xf numFmtId="174" fontId="4" fillId="5" borderId="0" xfId="0" applyNumberFormat="1" applyFont="1" applyFill="1"/>
    <xf numFmtId="37" fontId="0" fillId="0" borderId="0" xfId="0" applyNumberFormat="1"/>
    <xf numFmtId="1" fontId="0" fillId="0" borderId="0" xfId="0" applyNumberFormat="1"/>
    <xf numFmtId="37" fontId="0" fillId="0" borderId="3" xfId="0" applyNumberFormat="1" applyBorder="1"/>
    <xf numFmtId="1" fontId="0" fillId="0" borderId="3" xfId="0" applyNumberFormat="1" applyBorder="1"/>
    <xf numFmtId="16" fontId="0" fillId="0" borderId="3" xfId="0" applyNumberFormat="1" applyBorder="1"/>
    <xf numFmtId="0" fontId="0" fillId="0" borderId="3" xfId="0" applyBorder="1"/>
    <xf numFmtId="177" fontId="4" fillId="2" borderId="1" xfId="0" applyNumberFormat="1" applyFont="1" applyFill="1" applyBorder="1"/>
    <xf numFmtId="174" fontId="0" fillId="0" borderId="0" xfId="0" applyNumberFormat="1"/>
    <xf numFmtId="0" fontId="5" fillId="0" borderId="2" xfId="0" applyFont="1" applyBorder="1"/>
    <xf numFmtId="9" fontId="0" fillId="0" borderId="0" xfId="0" applyNumberFormat="1"/>
    <xf numFmtId="37" fontId="0" fillId="0" borderId="4" xfId="0" applyNumberFormat="1" applyBorder="1"/>
    <xf numFmtId="16" fontId="0" fillId="0" borderId="4" xfId="0" applyNumberFormat="1" applyBorder="1"/>
    <xf numFmtId="0" fontId="7" fillId="6" borderId="0" xfId="0" applyFont="1" applyFill="1"/>
    <xf numFmtId="1" fontId="0" fillId="0" borderId="4" xfId="0" applyNumberFormat="1" applyBorder="1"/>
    <xf numFmtId="0" fontId="6" fillId="4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3" fontId="8" fillId="0" borderId="0" xfId="0" applyNumberFormat="1" applyFont="1"/>
    <xf numFmtId="3" fontId="4" fillId="0" borderId="0" xfId="0" applyNumberFormat="1" applyFont="1"/>
    <xf numFmtId="174" fontId="4" fillId="0" borderId="0" xfId="0" applyNumberFormat="1" applyFont="1"/>
    <xf numFmtId="174" fontId="8" fillId="0" borderId="0" xfId="0" applyNumberFormat="1" applyFont="1"/>
    <xf numFmtId="174" fontId="5" fillId="0" borderId="2" xfId="0" applyNumberFormat="1" applyFont="1" applyBorder="1"/>
    <xf numFmtId="174" fontId="5" fillId="0" borderId="0" xfId="0" applyNumberFormat="1" applyFont="1"/>
    <xf numFmtId="0" fontId="8" fillId="0" borderId="0" xfId="0" applyFont="1"/>
    <xf numFmtId="174" fontId="5" fillId="3" borderId="2" xfId="0" applyNumberFormat="1" applyFont="1" applyFill="1" applyBorder="1"/>
    <xf numFmtId="9" fontId="8" fillId="0" borderId="0" xfId="0" applyNumberFormat="1" applyFont="1"/>
    <xf numFmtId="0" fontId="4" fillId="0" borderId="2" xfId="0" applyFont="1" applyBorder="1"/>
    <xf numFmtId="3" fontId="4" fillId="0" borderId="2" xfId="0" applyNumberFormat="1" applyFont="1" applyBorder="1"/>
    <xf numFmtId="2" fontId="8" fillId="0" borderId="0" xfId="0" applyNumberFormat="1" applyFont="1"/>
    <xf numFmtId="4" fontId="5" fillId="3" borderId="2" xfId="0" applyNumberFormat="1" applyFont="1" applyFill="1" applyBorder="1"/>
    <xf numFmtId="3" fontId="5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i%20Srikar\Downloads\DCF-Start.xlsx" TargetMode="External"/><Relationship Id="rId1" Type="http://schemas.openxmlformats.org/officeDocument/2006/relationships/externalLinkPath" Target="DCF-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Free Cash Flow"/>
      <sheetName val="Fixed Assets"/>
      <sheetName val="Net Working Capital"/>
      <sheetName val="DCF"/>
      <sheetName val="WACC"/>
      <sheetName val="Data Source --&gt;"/>
      <sheetName val="Income Statement"/>
      <sheetName val="Balance Sheet"/>
      <sheetName val="Cash Flow Stat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E16">
            <v>1601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F19" sqref="F19"/>
    </sheetView>
  </sheetViews>
  <sheetFormatPr defaultRowHeight="14.4" x14ac:dyDescent="0.3"/>
  <cols>
    <col min="1" max="1" width="62" customWidth="1"/>
    <col min="2" max="2" width="15" customWidth="1"/>
    <col min="3" max="3" width="14" customWidth="1"/>
  </cols>
  <sheetData>
    <row r="1" spans="1:3" x14ac:dyDescent="0.3">
      <c r="A1" s="8" t="s">
        <v>3</v>
      </c>
      <c r="B1" s="10" t="s">
        <v>0</v>
      </c>
      <c r="C1" s="9"/>
    </row>
    <row r="2" spans="1:3" x14ac:dyDescent="0.3">
      <c r="A2" s="9"/>
      <c r="B2" s="2" t="s">
        <v>1</v>
      </c>
      <c r="C2" s="2" t="s">
        <v>4</v>
      </c>
    </row>
    <row r="3" spans="1:3" x14ac:dyDescent="0.3">
      <c r="A3" s="4" t="s">
        <v>5</v>
      </c>
      <c r="B3" s="6">
        <v>56517</v>
      </c>
      <c r="C3" s="6">
        <v>59122</v>
      </c>
    </row>
    <row r="4" spans="1:3" x14ac:dyDescent="0.3">
      <c r="A4" s="4" t="s">
        <v>6</v>
      </c>
      <c r="B4" s="5">
        <v>16302</v>
      </c>
      <c r="C4" s="5">
        <v>15452</v>
      </c>
    </row>
    <row r="5" spans="1:3" x14ac:dyDescent="0.3">
      <c r="A5" s="4" t="s">
        <v>7</v>
      </c>
      <c r="B5" s="5">
        <v>40215</v>
      </c>
      <c r="C5" s="5">
        <v>34670</v>
      </c>
    </row>
    <row r="6" spans="1:3" x14ac:dyDescent="0.3">
      <c r="A6" s="4" t="s">
        <v>8</v>
      </c>
      <c r="B6" s="5">
        <v>6659</v>
      </c>
      <c r="C6" s="5">
        <v>6628</v>
      </c>
    </row>
    <row r="7" spans="1:3" x14ac:dyDescent="0.3">
      <c r="A7" s="4" t="s">
        <v>9</v>
      </c>
      <c r="B7" s="5">
        <v>5187</v>
      </c>
      <c r="C7" s="5">
        <v>5126</v>
      </c>
    </row>
    <row r="8" spans="1:3" x14ac:dyDescent="0.3">
      <c r="A8" s="4" t="s">
        <v>10</v>
      </c>
      <c r="B8" s="5">
        <v>1474</v>
      </c>
      <c r="C8" s="5">
        <v>1398</v>
      </c>
    </row>
    <row r="9" spans="1:3" x14ac:dyDescent="0.3">
      <c r="A9" s="4" t="s">
        <v>11</v>
      </c>
      <c r="B9" s="5">
        <v>26895</v>
      </c>
      <c r="C9" s="5">
        <v>21518</v>
      </c>
    </row>
    <row r="10" spans="1:3" x14ac:dyDescent="0.3">
      <c r="A10" s="4" t="s">
        <v>12</v>
      </c>
      <c r="B10" s="5">
        <v>389</v>
      </c>
      <c r="C10" s="5">
        <v>54</v>
      </c>
    </row>
    <row r="11" spans="1:3" x14ac:dyDescent="0.3">
      <c r="A11" s="4" t="s">
        <v>13</v>
      </c>
      <c r="B11" s="5">
        <v>27284</v>
      </c>
      <c r="C11" s="5">
        <v>21572</v>
      </c>
    </row>
    <row r="12" spans="1:3" x14ac:dyDescent="0.3">
      <c r="A12" s="4" t="s">
        <v>14</v>
      </c>
      <c r="B12" s="5">
        <v>4993</v>
      </c>
      <c r="C12" s="5">
        <v>4016</v>
      </c>
    </row>
    <row r="13" spans="1:3" x14ac:dyDescent="0.3">
      <c r="A13" s="4" t="s">
        <v>15</v>
      </c>
      <c r="B13" s="6">
        <v>22291</v>
      </c>
      <c r="C13" s="6">
        <v>17556</v>
      </c>
    </row>
    <row r="14" spans="1:3" x14ac:dyDescent="0.3">
      <c r="A14" s="3" t="s">
        <v>16</v>
      </c>
      <c r="B14" s="4" t="s">
        <v>2</v>
      </c>
      <c r="C14" s="4" t="s">
        <v>2</v>
      </c>
    </row>
    <row r="15" spans="1:3" x14ac:dyDescent="0.3">
      <c r="A15" s="4" t="s">
        <v>17</v>
      </c>
      <c r="B15" s="6">
        <v>3</v>
      </c>
      <c r="C15" s="7">
        <v>2.35</v>
      </c>
    </row>
    <row r="16" spans="1:3" x14ac:dyDescent="0.3">
      <c r="A16" s="4" t="s">
        <v>18</v>
      </c>
      <c r="B16" s="7">
        <v>2.99</v>
      </c>
      <c r="C16" s="7">
        <v>2.35</v>
      </c>
    </row>
    <row r="17" spans="1:3" x14ac:dyDescent="0.3">
      <c r="A17" s="3" t="s">
        <v>19</v>
      </c>
      <c r="B17" s="4" t="s">
        <v>2</v>
      </c>
      <c r="C17" s="4" t="s">
        <v>2</v>
      </c>
    </row>
    <row r="18" spans="1:3" x14ac:dyDescent="0.3">
      <c r="A18" s="4" t="s">
        <v>17</v>
      </c>
      <c r="B18" s="5">
        <v>7429</v>
      </c>
      <c r="C18" s="5">
        <v>7457</v>
      </c>
    </row>
    <row r="19" spans="1:3" x14ac:dyDescent="0.3">
      <c r="A19" s="4" t="s">
        <v>18</v>
      </c>
      <c r="B19" s="5">
        <v>7462</v>
      </c>
      <c r="C19" s="5">
        <v>7485</v>
      </c>
    </row>
    <row r="20" spans="1:3" x14ac:dyDescent="0.3">
      <c r="A20" s="4" t="s">
        <v>20</v>
      </c>
      <c r="B20" s="4" t="s">
        <v>2</v>
      </c>
      <c r="C20" s="4" t="s">
        <v>2</v>
      </c>
    </row>
    <row r="21" spans="1:3" x14ac:dyDescent="0.3">
      <c r="A21" s="4" t="s">
        <v>5</v>
      </c>
      <c r="B21" s="6">
        <v>15535</v>
      </c>
      <c r="C21" s="6">
        <v>15741</v>
      </c>
    </row>
    <row r="22" spans="1:3" x14ac:dyDescent="0.3">
      <c r="A22" s="4" t="s">
        <v>6</v>
      </c>
      <c r="B22" s="5">
        <v>3531</v>
      </c>
      <c r="C22" s="5">
        <v>4302</v>
      </c>
    </row>
    <row r="23" spans="1:3" x14ac:dyDescent="0.3">
      <c r="A23" s="4" t="s">
        <v>21</v>
      </c>
      <c r="B23" s="4" t="s">
        <v>2</v>
      </c>
      <c r="C23" s="4" t="s">
        <v>2</v>
      </c>
    </row>
    <row r="24" spans="1:3" x14ac:dyDescent="0.3">
      <c r="A24" s="4" t="s">
        <v>5</v>
      </c>
      <c r="B24" s="5">
        <v>40982</v>
      </c>
      <c r="C24" s="5">
        <v>34381</v>
      </c>
    </row>
    <row r="25" spans="1:3" x14ac:dyDescent="0.3">
      <c r="A25" s="4" t="s">
        <v>6</v>
      </c>
      <c r="B25" s="6">
        <v>12771</v>
      </c>
      <c r="C25" s="6">
        <v>11150</v>
      </c>
    </row>
  </sheetData>
  <mergeCells count="2">
    <mergeCell ref="A1:A2"/>
    <mergeCell ref="B1:C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activeCell="B8" sqref="B8"/>
    </sheetView>
  </sheetViews>
  <sheetFormatPr defaultRowHeight="14.4" x14ac:dyDescent="0.3"/>
  <cols>
    <col min="1" max="1" width="80" customWidth="1"/>
    <col min="2" max="3" width="14" customWidth="1"/>
  </cols>
  <sheetData>
    <row r="1" spans="1:3" x14ac:dyDescent="0.3">
      <c r="A1" s="1" t="s">
        <v>23</v>
      </c>
      <c r="B1" s="2" t="s">
        <v>1</v>
      </c>
      <c r="C1" s="2" t="s">
        <v>24</v>
      </c>
    </row>
    <row r="2" spans="1:3" x14ac:dyDescent="0.3">
      <c r="A2" s="3" t="s">
        <v>25</v>
      </c>
      <c r="B2" s="4" t="s">
        <v>2</v>
      </c>
      <c r="C2" s="4" t="s">
        <v>2</v>
      </c>
    </row>
    <row r="3" spans="1:3" x14ac:dyDescent="0.3">
      <c r="A3" s="4" t="s">
        <v>26</v>
      </c>
      <c r="B3" s="6">
        <v>80452</v>
      </c>
      <c r="C3" s="6">
        <v>34704</v>
      </c>
    </row>
    <row r="4" spans="1:3" x14ac:dyDescent="0.3">
      <c r="A4" s="4" t="s">
        <v>27</v>
      </c>
      <c r="B4" s="5">
        <v>63499</v>
      </c>
      <c r="C4" s="5">
        <v>76558</v>
      </c>
    </row>
    <row r="5" spans="1:3" x14ac:dyDescent="0.3">
      <c r="A5" s="4" t="s">
        <v>28</v>
      </c>
      <c r="B5" s="5">
        <v>143951</v>
      </c>
      <c r="C5" s="5">
        <v>111262</v>
      </c>
    </row>
    <row r="6" spans="1:3" x14ac:dyDescent="0.3">
      <c r="A6" s="4" t="s">
        <v>29</v>
      </c>
      <c r="B6" s="5">
        <v>36953</v>
      </c>
      <c r="C6" s="5">
        <v>48688</v>
      </c>
    </row>
    <row r="7" spans="1:3" x14ac:dyDescent="0.3">
      <c r="A7" s="4" t="s">
        <v>30</v>
      </c>
      <c r="B7" s="5">
        <v>3000</v>
      </c>
      <c r="C7" s="5">
        <v>2500</v>
      </c>
    </row>
    <row r="8" spans="1:3" x14ac:dyDescent="0.3">
      <c r="A8" s="4" t="s">
        <v>31</v>
      </c>
      <c r="B8" s="5">
        <v>23682</v>
      </c>
      <c r="C8" s="5">
        <v>21807</v>
      </c>
    </row>
    <row r="9" spans="1:3" x14ac:dyDescent="0.3">
      <c r="A9" s="4" t="s">
        <v>32</v>
      </c>
      <c r="B9" s="5">
        <v>207586</v>
      </c>
      <c r="C9" s="5">
        <v>184257</v>
      </c>
    </row>
    <row r="10" spans="1:3" x14ac:dyDescent="0.3">
      <c r="A10" s="4" t="s">
        <v>33</v>
      </c>
      <c r="B10" s="5">
        <v>102502</v>
      </c>
      <c r="C10" s="5">
        <v>95641</v>
      </c>
    </row>
    <row r="11" spans="1:3" x14ac:dyDescent="0.3">
      <c r="A11" s="4" t="s">
        <v>34</v>
      </c>
      <c r="B11" s="5">
        <v>15435</v>
      </c>
      <c r="C11" s="5">
        <v>14346</v>
      </c>
    </row>
    <row r="12" spans="1:3" x14ac:dyDescent="0.3">
      <c r="A12" s="4" t="s">
        <v>35</v>
      </c>
      <c r="B12" s="5">
        <v>11423</v>
      </c>
      <c r="C12" s="5">
        <v>9879</v>
      </c>
    </row>
    <row r="13" spans="1:3" x14ac:dyDescent="0.3">
      <c r="A13" s="4" t="s">
        <v>36</v>
      </c>
      <c r="B13" s="5">
        <v>67790</v>
      </c>
      <c r="C13" s="5">
        <v>67886</v>
      </c>
    </row>
    <row r="14" spans="1:3" x14ac:dyDescent="0.3">
      <c r="A14" s="4" t="s">
        <v>37</v>
      </c>
      <c r="B14" s="5">
        <v>8895</v>
      </c>
      <c r="C14" s="5">
        <v>9366</v>
      </c>
    </row>
    <row r="15" spans="1:3" x14ac:dyDescent="0.3">
      <c r="A15" s="4" t="s">
        <v>38</v>
      </c>
      <c r="B15" s="5">
        <v>32154</v>
      </c>
      <c r="C15" s="5">
        <v>30601</v>
      </c>
    </row>
    <row r="16" spans="1:3" x14ac:dyDescent="0.3">
      <c r="A16" s="4" t="s">
        <v>39</v>
      </c>
      <c r="B16" s="5">
        <v>445785</v>
      </c>
      <c r="C16" s="5">
        <v>411976</v>
      </c>
    </row>
    <row r="17" spans="1:3" x14ac:dyDescent="0.3">
      <c r="A17" s="3" t="s">
        <v>40</v>
      </c>
      <c r="B17" s="4" t="s">
        <v>2</v>
      </c>
      <c r="C17" s="4" t="s">
        <v>2</v>
      </c>
    </row>
    <row r="18" spans="1:3" x14ac:dyDescent="0.3">
      <c r="A18" s="4" t="s">
        <v>41</v>
      </c>
      <c r="B18" s="5">
        <v>19307</v>
      </c>
      <c r="C18" s="5">
        <v>18095</v>
      </c>
    </row>
    <row r="19" spans="1:3" x14ac:dyDescent="0.3">
      <c r="A19" s="4" t="s">
        <v>42</v>
      </c>
      <c r="B19" s="5">
        <v>25808</v>
      </c>
      <c r="C19" s="5">
        <v>0</v>
      </c>
    </row>
    <row r="20" spans="1:3" x14ac:dyDescent="0.3">
      <c r="A20" s="4" t="s">
        <v>43</v>
      </c>
      <c r="B20" s="5">
        <v>3748</v>
      </c>
      <c r="C20" s="5">
        <v>5247</v>
      </c>
    </row>
    <row r="21" spans="1:3" x14ac:dyDescent="0.3">
      <c r="A21" s="4" t="s">
        <v>44</v>
      </c>
      <c r="B21" s="5">
        <v>6990</v>
      </c>
      <c r="C21" s="5">
        <v>11009</v>
      </c>
    </row>
    <row r="22" spans="1:3" x14ac:dyDescent="0.3">
      <c r="A22" s="4" t="s">
        <v>45</v>
      </c>
      <c r="B22" s="5">
        <v>8035</v>
      </c>
      <c r="C22" s="5">
        <v>4152</v>
      </c>
    </row>
    <row r="23" spans="1:3" x14ac:dyDescent="0.3">
      <c r="A23" s="4" t="s">
        <v>46</v>
      </c>
      <c r="B23" s="5">
        <v>46429</v>
      </c>
      <c r="C23" s="5">
        <v>50901</v>
      </c>
    </row>
    <row r="24" spans="1:3" x14ac:dyDescent="0.3">
      <c r="A24" s="4" t="s">
        <v>47</v>
      </c>
      <c r="B24" s="5">
        <v>14475</v>
      </c>
      <c r="C24" s="5">
        <v>14745</v>
      </c>
    </row>
    <row r="25" spans="1:3" x14ac:dyDescent="0.3">
      <c r="A25" s="4" t="s">
        <v>48</v>
      </c>
      <c r="B25" s="5">
        <v>124792</v>
      </c>
      <c r="C25" s="5">
        <v>104149</v>
      </c>
    </row>
    <row r="26" spans="1:3" x14ac:dyDescent="0.3">
      <c r="A26" s="4" t="s">
        <v>49</v>
      </c>
      <c r="B26" s="5">
        <v>41946</v>
      </c>
      <c r="C26" s="5">
        <v>41990</v>
      </c>
    </row>
    <row r="27" spans="1:3" x14ac:dyDescent="0.3">
      <c r="A27" s="4" t="s">
        <v>50</v>
      </c>
      <c r="B27" s="5">
        <v>22983</v>
      </c>
      <c r="C27" s="5">
        <v>25560</v>
      </c>
    </row>
    <row r="28" spans="1:3" x14ac:dyDescent="0.3">
      <c r="A28" s="4" t="s">
        <v>51</v>
      </c>
      <c r="B28" s="5">
        <v>2759</v>
      </c>
      <c r="C28" s="5">
        <v>2912</v>
      </c>
    </row>
    <row r="29" spans="1:3" x14ac:dyDescent="0.3">
      <c r="A29" s="4" t="s">
        <v>52</v>
      </c>
      <c r="B29" s="5">
        <v>470</v>
      </c>
      <c r="C29" s="5">
        <v>433</v>
      </c>
    </row>
    <row r="30" spans="1:3" x14ac:dyDescent="0.3">
      <c r="A30" s="4" t="s">
        <v>53</v>
      </c>
      <c r="B30" s="5">
        <v>13487</v>
      </c>
      <c r="C30" s="5">
        <v>12728</v>
      </c>
    </row>
    <row r="31" spans="1:3" x14ac:dyDescent="0.3">
      <c r="A31" s="4" t="s">
        <v>54</v>
      </c>
      <c r="B31" s="5">
        <v>18634</v>
      </c>
      <c r="C31" s="5">
        <v>17981</v>
      </c>
    </row>
    <row r="32" spans="1:3" x14ac:dyDescent="0.3">
      <c r="A32" s="4" t="s">
        <v>55</v>
      </c>
      <c r="B32" s="5">
        <v>225071</v>
      </c>
      <c r="C32" s="5">
        <v>205753</v>
      </c>
    </row>
    <row r="33" spans="1:3" x14ac:dyDescent="0.3">
      <c r="A33" s="4" t="s">
        <v>56</v>
      </c>
      <c r="B33" s="4" t="s">
        <v>57</v>
      </c>
      <c r="C33" s="4" t="s">
        <v>57</v>
      </c>
    </row>
    <row r="34" spans="1:3" x14ac:dyDescent="0.3">
      <c r="A34" s="3" t="s">
        <v>58</v>
      </c>
      <c r="B34" s="4" t="s">
        <v>2</v>
      </c>
      <c r="C34" s="4" t="s">
        <v>2</v>
      </c>
    </row>
    <row r="35" spans="1:3" x14ac:dyDescent="0.3">
      <c r="A35" s="4" t="s">
        <v>59</v>
      </c>
      <c r="B35" s="5">
        <v>95508</v>
      </c>
      <c r="C35" s="5">
        <v>93718</v>
      </c>
    </row>
    <row r="36" spans="1:3" x14ac:dyDescent="0.3">
      <c r="A36" s="4" t="s">
        <v>60</v>
      </c>
      <c r="B36" s="5">
        <v>132143</v>
      </c>
      <c r="C36" s="5">
        <v>118848</v>
      </c>
    </row>
    <row r="37" spans="1:3" x14ac:dyDescent="0.3">
      <c r="A37" s="4" t="s">
        <v>61</v>
      </c>
      <c r="B37" s="5">
        <v>-6937</v>
      </c>
      <c r="C37" s="5">
        <v>-6343</v>
      </c>
    </row>
    <row r="38" spans="1:3" x14ac:dyDescent="0.3">
      <c r="A38" s="4" t="s">
        <v>62</v>
      </c>
      <c r="B38" s="5">
        <v>220714</v>
      </c>
      <c r="C38" s="5">
        <v>206223</v>
      </c>
    </row>
    <row r="39" spans="1:3" x14ac:dyDescent="0.3">
      <c r="A39" s="4" t="s">
        <v>63</v>
      </c>
      <c r="B39" s="6">
        <v>445785</v>
      </c>
      <c r="C39" s="6">
        <v>411976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1"/>
  <sheetViews>
    <sheetView workbookViewId="0">
      <selection activeCell="B11" sqref="B11"/>
    </sheetView>
  </sheetViews>
  <sheetFormatPr defaultRowHeight="14.4" x14ac:dyDescent="0.3"/>
  <cols>
    <col min="1" max="1" width="80" customWidth="1"/>
    <col min="2" max="2" width="15" customWidth="1"/>
    <col min="3" max="3" width="14" customWidth="1"/>
  </cols>
  <sheetData>
    <row r="1" spans="1:3" x14ac:dyDescent="0.3">
      <c r="A1" s="8" t="s">
        <v>64</v>
      </c>
      <c r="B1" s="10" t="s">
        <v>0</v>
      </c>
      <c r="C1" s="9"/>
    </row>
    <row r="2" spans="1:3" x14ac:dyDescent="0.3">
      <c r="A2" s="9"/>
      <c r="B2" s="2" t="s">
        <v>1</v>
      </c>
      <c r="C2" s="2" t="s">
        <v>4</v>
      </c>
    </row>
    <row r="3" spans="1:3" x14ac:dyDescent="0.3">
      <c r="A3" s="3" t="s">
        <v>65</v>
      </c>
      <c r="B3" s="4" t="s">
        <v>2</v>
      </c>
      <c r="C3" s="4" t="s">
        <v>2</v>
      </c>
    </row>
    <row r="4" spans="1:3" x14ac:dyDescent="0.3">
      <c r="A4" s="4" t="s">
        <v>15</v>
      </c>
      <c r="B4" s="6">
        <v>22291</v>
      </c>
      <c r="C4" s="6">
        <v>17556</v>
      </c>
    </row>
    <row r="5" spans="1:3" x14ac:dyDescent="0.3">
      <c r="A5" s="3" t="s">
        <v>66</v>
      </c>
      <c r="B5" s="4" t="s">
        <v>2</v>
      </c>
      <c r="C5" s="4" t="s">
        <v>2</v>
      </c>
    </row>
    <row r="6" spans="1:3" x14ac:dyDescent="0.3">
      <c r="A6" s="4" t="s">
        <v>67</v>
      </c>
      <c r="B6" s="5">
        <v>3921</v>
      </c>
      <c r="C6" s="5">
        <v>2790</v>
      </c>
    </row>
    <row r="7" spans="1:3" x14ac:dyDescent="0.3">
      <c r="A7" s="4" t="s">
        <v>68</v>
      </c>
      <c r="B7" s="5">
        <v>2507</v>
      </c>
      <c r="C7" s="5">
        <v>2192</v>
      </c>
    </row>
    <row r="8" spans="1:3" x14ac:dyDescent="0.3">
      <c r="A8" s="4" t="s">
        <v>69</v>
      </c>
      <c r="B8" s="5">
        <v>14</v>
      </c>
      <c r="C8" s="5">
        <v>-22</v>
      </c>
    </row>
    <row r="9" spans="1:3" x14ac:dyDescent="0.3">
      <c r="A9" s="4" t="s">
        <v>52</v>
      </c>
      <c r="B9" s="5">
        <v>-568</v>
      </c>
      <c r="C9" s="5">
        <v>-1191</v>
      </c>
    </row>
    <row r="10" spans="1:3" x14ac:dyDescent="0.3">
      <c r="A10" s="3" t="s">
        <v>70</v>
      </c>
      <c r="B10" s="4" t="s">
        <v>2</v>
      </c>
      <c r="C10" s="4" t="s">
        <v>2</v>
      </c>
    </row>
    <row r="11" spans="1:3" x14ac:dyDescent="0.3">
      <c r="A11" s="4" t="s">
        <v>71</v>
      </c>
      <c r="B11" s="5">
        <v>11034</v>
      </c>
      <c r="C11" s="5">
        <v>11729</v>
      </c>
    </row>
    <row r="12" spans="1:3" x14ac:dyDescent="0.3">
      <c r="A12" s="4" t="s">
        <v>30</v>
      </c>
      <c r="B12" s="5">
        <v>-505</v>
      </c>
      <c r="C12" s="5">
        <v>-543</v>
      </c>
    </row>
    <row r="13" spans="1:3" x14ac:dyDescent="0.3">
      <c r="A13" s="4" t="s">
        <v>31</v>
      </c>
      <c r="B13" s="5">
        <v>-796</v>
      </c>
      <c r="C13" s="5">
        <v>-332</v>
      </c>
    </row>
    <row r="14" spans="1:3" x14ac:dyDescent="0.3">
      <c r="A14" s="4" t="s">
        <v>38</v>
      </c>
      <c r="B14" s="5">
        <v>-2013</v>
      </c>
      <c r="C14" s="5">
        <v>-666</v>
      </c>
    </row>
    <row r="15" spans="1:3" x14ac:dyDescent="0.3">
      <c r="A15" s="4" t="s">
        <v>41</v>
      </c>
      <c r="B15" s="5">
        <v>1214</v>
      </c>
      <c r="C15" s="5">
        <v>-1567</v>
      </c>
    </row>
    <row r="16" spans="1:3" x14ac:dyDescent="0.3">
      <c r="A16" s="4" t="s">
        <v>72</v>
      </c>
      <c r="B16" s="5">
        <v>-4126</v>
      </c>
      <c r="C16" s="5">
        <v>-3322</v>
      </c>
    </row>
    <row r="17" spans="1:3" x14ac:dyDescent="0.3">
      <c r="A17" s="4" t="s">
        <v>73</v>
      </c>
      <c r="B17" s="5">
        <v>1425</v>
      </c>
      <c r="C17" s="5">
        <v>410</v>
      </c>
    </row>
    <row r="18" spans="1:3" x14ac:dyDescent="0.3">
      <c r="A18" s="4" t="s">
        <v>47</v>
      </c>
      <c r="B18" s="5">
        <v>-4106</v>
      </c>
      <c r="C18" s="5">
        <v>-4024</v>
      </c>
    </row>
    <row r="19" spans="1:3" x14ac:dyDescent="0.3">
      <c r="A19" s="4" t="s">
        <v>54</v>
      </c>
      <c r="B19" s="5">
        <v>291</v>
      </c>
      <c r="C19" s="5">
        <v>188</v>
      </c>
    </row>
    <row r="20" spans="1:3" x14ac:dyDescent="0.3">
      <c r="A20" s="4" t="s">
        <v>74</v>
      </c>
      <c r="B20" s="5">
        <v>30583</v>
      </c>
      <c r="C20" s="5">
        <v>23198</v>
      </c>
    </row>
    <row r="21" spans="1:3" x14ac:dyDescent="0.3">
      <c r="A21" s="3" t="s">
        <v>75</v>
      </c>
      <c r="B21" s="4" t="s">
        <v>2</v>
      </c>
      <c r="C21" s="4" t="s">
        <v>2</v>
      </c>
    </row>
    <row r="22" spans="1:3" x14ac:dyDescent="0.3">
      <c r="A22" s="4" t="s">
        <v>76</v>
      </c>
      <c r="B22" s="5">
        <v>18692</v>
      </c>
      <c r="C22" s="5">
        <v>0</v>
      </c>
    </row>
    <row r="23" spans="1:3" x14ac:dyDescent="0.3">
      <c r="A23" s="4" t="s">
        <v>77</v>
      </c>
      <c r="B23" s="5">
        <v>7073</v>
      </c>
      <c r="C23" s="5">
        <v>0</v>
      </c>
    </row>
    <row r="24" spans="1:3" x14ac:dyDescent="0.3">
      <c r="A24" s="4" t="s">
        <v>78</v>
      </c>
      <c r="B24" s="5">
        <v>-1500</v>
      </c>
      <c r="C24" s="5">
        <v>-1000</v>
      </c>
    </row>
    <row r="25" spans="1:3" x14ac:dyDescent="0.3">
      <c r="A25" s="4" t="s">
        <v>79</v>
      </c>
      <c r="B25" s="5">
        <v>685</v>
      </c>
      <c r="C25" s="5">
        <v>575</v>
      </c>
    </row>
    <row r="26" spans="1:3" x14ac:dyDescent="0.3">
      <c r="A26" s="4" t="s">
        <v>80</v>
      </c>
      <c r="B26" s="5">
        <v>-4831</v>
      </c>
      <c r="C26" s="5">
        <v>-5573</v>
      </c>
    </row>
    <row r="27" spans="1:3" x14ac:dyDescent="0.3">
      <c r="A27" s="4" t="s">
        <v>81</v>
      </c>
      <c r="B27" s="5">
        <v>-5051</v>
      </c>
      <c r="C27" s="5">
        <v>-4621</v>
      </c>
    </row>
    <row r="28" spans="1:3" x14ac:dyDescent="0.3">
      <c r="A28" s="4" t="s">
        <v>82</v>
      </c>
      <c r="B28" s="5">
        <v>-307</v>
      </c>
      <c r="C28" s="5">
        <v>-264</v>
      </c>
    </row>
    <row r="29" spans="1:3" x14ac:dyDescent="0.3">
      <c r="A29" s="4" t="s">
        <v>83</v>
      </c>
      <c r="B29" s="5">
        <v>14761</v>
      </c>
      <c r="C29" s="5">
        <v>-10883</v>
      </c>
    </row>
    <row r="30" spans="1:3" x14ac:dyDescent="0.3">
      <c r="A30" s="3" t="s">
        <v>84</v>
      </c>
      <c r="B30" s="4" t="s">
        <v>2</v>
      </c>
      <c r="C30" s="4" t="s">
        <v>2</v>
      </c>
    </row>
    <row r="31" spans="1:3" x14ac:dyDescent="0.3">
      <c r="A31" s="4" t="s">
        <v>85</v>
      </c>
      <c r="B31" s="5">
        <v>-9917</v>
      </c>
      <c r="C31" s="5">
        <v>-6283</v>
      </c>
    </row>
    <row r="32" spans="1:3" x14ac:dyDescent="0.3">
      <c r="A32" s="4" t="s">
        <v>86</v>
      </c>
      <c r="B32" s="5">
        <v>-1186</v>
      </c>
      <c r="C32" s="5">
        <v>-349</v>
      </c>
    </row>
    <row r="33" spans="1:3" x14ac:dyDescent="0.3">
      <c r="A33" s="4" t="s">
        <v>87</v>
      </c>
      <c r="B33" s="5">
        <v>-8460</v>
      </c>
      <c r="C33" s="5">
        <v>-5013</v>
      </c>
    </row>
    <row r="34" spans="1:3" x14ac:dyDescent="0.3">
      <c r="A34" s="4" t="s">
        <v>88</v>
      </c>
      <c r="B34" s="5">
        <v>15718</v>
      </c>
      <c r="C34" s="5">
        <v>6662</v>
      </c>
    </row>
    <row r="35" spans="1:3" x14ac:dyDescent="0.3">
      <c r="A35" s="4" t="s">
        <v>89</v>
      </c>
      <c r="B35" s="5">
        <v>5330</v>
      </c>
      <c r="C35" s="5">
        <v>2711</v>
      </c>
    </row>
    <row r="36" spans="1:3" x14ac:dyDescent="0.3">
      <c r="A36" s="4" t="s">
        <v>82</v>
      </c>
      <c r="B36" s="5">
        <v>-982</v>
      </c>
      <c r="C36" s="5">
        <v>-860</v>
      </c>
    </row>
    <row r="37" spans="1:3" x14ac:dyDescent="0.3">
      <c r="A37" s="4" t="s">
        <v>90</v>
      </c>
      <c r="B37" s="5">
        <v>503</v>
      </c>
      <c r="C37" s="5">
        <v>-3132</v>
      </c>
    </row>
    <row r="38" spans="1:3" x14ac:dyDescent="0.3">
      <c r="A38" s="4" t="s">
        <v>91</v>
      </c>
      <c r="B38" s="5">
        <v>-99</v>
      </c>
      <c r="C38" s="5">
        <v>-230</v>
      </c>
    </row>
    <row r="39" spans="1:3" x14ac:dyDescent="0.3">
      <c r="A39" s="4" t="s">
        <v>92</v>
      </c>
      <c r="B39" s="5">
        <v>45748</v>
      </c>
      <c r="C39" s="5">
        <v>8953</v>
      </c>
    </row>
    <row r="40" spans="1:3" x14ac:dyDescent="0.3">
      <c r="A40" s="4" t="s">
        <v>93</v>
      </c>
      <c r="B40" s="5">
        <v>34704</v>
      </c>
      <c r="C40" s="5">
        <v>13931</v>
      </c>
    </row>
    <row r="41" spans="1:3" x14ac:dyDescent="0.3">
      <c r="A41" s="4" t="s">
        <v>94</v>
      </c>
      <c r="B41" s="6">
        <v>80452</v>
      </c>
      <c r="C41" s="6">
        <v>22884</v>
      </c>
    </row>
  </sheetData>
  <mergeCells count="2">
    <mergeCell ref="A1:A2"/>
    <mergeCell ref="B1:C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>
      <selection sqref="A1:A2"/>
    </sheetView>
  </sheetViews>
  <sheetFormatPr defaultRowHeight="14.4" x14ac:dyDescent="0.3"/>
  <cols>
    <col min="1" max="1" width="56" customWidth="1"/>
    <col min="2" max="2" width="13" customWidth="1"/>
    <col min="3" max="3" width="33" customWidth="1"/>
    <col min="4" max="4" width="18" customWidth="1"/>
    <col min="5" max="5" width="37" customWidth="1"/>
  </cols>
  <sheetData>
    <row r="1" spans="1:5" x14ac:dyDescent="0.3">
      <c r="A1" s="1" t="s">
        <v>95</v>
      </c>
      <c r="B1" s="2" t="s">
        <v>96</v>
      </c>
      <c r="C1" s="2" t="s">
        <v>97</v>
      </c>
      <c r="D1" s="2" t="s">
        <v>60</v>
      </c>
      <c r="E1" s="2" t="s">
        <v>61</v>
      </c>
    </row>
    <row r="2" spans="1:5" x14ac:dyDescent="0.3">
      <c r="A2" s="4" t="s">
        <v>98</v>
      </c>
      <c r="B2" s="4" t="s">
        <v>2</v>
      </c>
      <c r="C2" s="6">
        <v>86939</v>
      </c>
      <c r="D2" s="6">
        <v>84281</v>
      </c>
      <c r="E2" s="6">
        <v>-4678</v>
      </c>
    </row>
    <row r="3" spans="1:5" x14ac:dyDescent="0.3">
      <c r="A3" s="4" t="s">
        <v>79</v>
      </c>
      <c r="B3" s="4" t="s">
        <v>2</v>
      </c>
      <c r="C3" s="5">
        <v>575</v>
      </c>
      <c r="D3" s="4" t="s">
        <v>2</v>
      </c>
      <c r="E3" s="4" t="s">
        <v>2</v>
      </c>
    </row>
    <row r="4" spans="1:5" x14ac:dyDescent="0.3">
      <c r="A4" s="4" t="s">
        <v>15</v>
      </c>
      <c r="B4" s="6">
        <v>17556</v>
      </c>
      <c r="C4" s="4" t="s">
        <v>2</v>
      </c>
      <c r="D4" s="5">
        <v>17556</v>
      </c>
      <c r="E4" s="4" t="s">
        <v>2</v>
      </c>
    </row>
    <row r="5" spans="1:5" x14ac:dyDescent="0.3">
      <c r="A5" s="4" t="s">
        <v>22</v>
      </c>
      <c r="B5" s="5">
        <v>-2665</v>
      </c>
      <c r="C5" s="4" t="s">
        <v>2</v>
      </c>
      <c r="D5" s="4" t="s">
        <v>2</v>
      </c>
      <c r="E5" s="5">
        <v>-2665</v>
      </c>
    </row>
    <row r="6" spans="1:5" x14ac:dyDescent="0.3">
      <c r="A6" s="4" t="s">
        <v>99</v>
      </c>
      <c r="B6" s="5">
        <v>-5066</v>
      </c>
      <c r="C6" s="4" t="s">
        <v>2</v>
      </c>
      <c r="D6" s="5">
        <v>-5064</v>
      </c>
      <c r="E6" s="4" t="s">
        <v>2</v>
      </c>
    </row>
    <row r="7" spans="1:5" x14ac:dyDescent="0.3">
      <c r="A7" s="4" t="s">
        <v>80</v>
      </c>
      <c r="B7" s="4" t="s">
        <v>2</v>
      </c>
      <c r="C7" s="5">
        <v>-1171</v>
      </c>
      <c r="D7" s="5">
        <v>-4399</v>
      </c>
      <c r="E7" s="4" t="s">
        <v>2</v>
      </c>
    </row>
    <row r="8" spans="1:5" x14ac:dyDescent="0.3">
      <c r="A8" s="4" t="s">
        <v>68</v>
      </c>
      <c r="B8" s="4" t="s">
        <v>2</v>
      </c>
      <c r="C8" s="5">
        <v>2192</v>
      </c>
      <c r="D8" s="4" t="s">
        <v>2</v>
      </c>
      <c r="E8" s="4" t="s">
        <v>2</v>
      </c>
    </row>
    <row r="9" spans="1:5" x14ac:dyDescent="0.3">
      <c r="A9" s="4" t="s">
        <v>82</v>
      </c>
      <c r="B9" s="4" t="s">
        <v>2</v>
      </c>
      <c r="C9" s="5">
        <v>0</v>
      </c>
      <c r="D9" s="4" t="s">
        <v>2</v>
      </c>
      <c r="E9" s="4" t="s">
        <v>2</v>
      </c>
    </row>
    <row r="10" spans="1:5" x14ac:dyDescent="0.3">
      <c r="A10" s="4" t="s">
        <v>100</v>
      </c>
      <c r="B10" s="6">
        <v>173566</v>
      </c>
      <c r="C10" s="5">
        <v>88535</v>
      </c>
      <c r="D10" s="5">
        <v>92374</v>
      </c>
      <c r="E10" s="5">
        <v>-7343</v>
      </c>
    </row>
    <row r="11" spans="1:5" x14ac:dyDescent="0.3">
      <c r="A11" s="4" t="s">
        <v>101</v>
      </c>
      <c r="B11" s="7">
        <v>0.68</v>
      </c>
      <c r="C11" s="4" t="s">
        <v>2</v>
      </c>
      <c r="D11" s="4" t="s">
        <v>2</v>
      </c>
      <c r="E11" s="4" t="s">
        <v>2</v>
      </c>
    </row>
    <row r="12" spans="1:5" x14ac:dyDescent="0.3">
      <c r="A12" s="4" t="s">
        <v>102</v>
      </c>
      <c r="B12" s="6">
        <v>206223</v>
      </c>
      <c r="C12" s="5">
        <v>93718</v>
      </c>
      <c r="D12" s="5">
        <v>118848</v>
      </c>
      <c r="E12" s="5">
        <v>-6343</v>
      </c>
    </row>
    <row r="13" spans="1:5" x14ac:dyDescent="0.3">
      <c r="A13" s="4" t="s">
        <v>79</v>
      </c>
      <c r="B13" s="4" t="s">
        <v>2</v>
      </c>
      <c r="C13" s="5">
        <v>685</v>
      </c>
      <c r="D13" s="4" t="s">
        <v>2</v>
      </c>
      <c r="E13" s="4" t="s">
        <v>2</v>
      </c>
    </row>
    <row r="14" spans="1:5" x14ac:dyDescent="0.3">
      <c r="A14" s="4" t="s">
        <v>15</v>
      </c>
      <c r="B14" s="5">
        <v>22291</v>
      </c>
      <c r="C14" s="4" t="s">
        <v>2</v>
      </c>
      <c r="D14" s="5">
        <v>22291</v>
      </c>
      <c r="E14" s="4" t="s">
        <v>2</v>
      </c>
    </row>
    <row r="15" spans="1:5" x14ac:dyDescent="0.3">
      <c r="A15" s="4" t="s">
        <v>22</v>
      </c>
      <c r="B15" s="5">
        <v>-594</v>
      </c>
      <c r="C15" s="4" t="s">
        <v>2</v>
      </c>
      <c r="D15" s="4" t="s">
        <v>2</v>
      </c>
      <c r="E15" s="5">
        <v>-594</v>
      </c>
    </row>
    <row r="16" spans="1:5" x14ac:dyDescent="0.3">
      <c r="A16" s="4" t="s">
        <v>99</v>
      </c>
      <c r="B16" s="5">
        <v>-5573</v>
      </c>
      <c r="C16" s="4" t="s">
        <v>2</v>
      </c>
      <c r="D16" s="5">
        <v>-5571</v>
      </c>
      <c r="E16" s="4" t="s">
        <v>2</v>
      </c>
    </row>
    <row r="17" spans="1:5" x14ac:dyDescent="0.3">
      <c r="A17" s="4" t="s">
        <v>80</v>
      </c>
      <c r="B17" s="4" t="s">
        <v>2</v>
      </c>
      <c r="C17" s="5">
        <v>-1401</v>
      </c>
      <c r="D17" s="5">
        <v>-3425</v>
      </c>
      <c r="E17" s="4" t="s">
        <v>2</v>
      </c>
    </row>
    <row r="18" spans="1:5" x14ac:dyDescent="0.3">
      <c r="A18" s="4" t="s">
        <v>68</v>
      </c>
      <c r="B18" s="4" t="s">
        <v>2</v>
      </c>
      <c r="C18" s="5">
        <v>2507</v>
      </c>
      <c r="D18" s="4" t="s">
        <v>2</v>
      </c>
      <c r="E18" s="4" t="s">
        <v>2</v>
      </c>
    </row>
    <row r="19" spans="1:5" x14ac:dyDescent="0.3">
      <c r="A19" s="4" t="s">
        <v>82</v>
      </c>
      <c r="B19" s="4" t="s">
        <v>2</v>
      </c>
      <c r="C19" s="5">
        <v>-1</v>
      </c>
      <c r="D19" s="4" t="s">
        <v>2</v>
      </c>
      <c r="E19" s="4" t="s">
        <v>2</v>
      </c>
    </row>
    <row r="20" spans="1:5" x14ac:dyDescent="0.3">
      <c r="A20" s="4" t="s">
        <v>103</v>
      </c>
      <c r="B20" s="6">
        <v>220714</v>
      </c>
      <c r="C20" s="6">
        <v>95508</v>
      </c>
      <c r="D20" s="6">
        <v>132143</v>
      </c>
      <c r="E20" s="6">
        <v>-6937</v>
      </c>
    </row>
    <row r="21" spans="1:5" x14ac:dyDescent="0.3">
      <c r="A21" s="4" t="s">
        <v>101</v>
      </c>
      <c r="B21" s="7">
        <v>0.75</v>
      </c>
      <c r="C21" s="4" t="s">
        <v>2</v>
      </c>
      <c r="D21" s="4" t="s">
        <v>2</v>
      </c>
      <c r="E21" s="4" t="s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C80B-D199-473B-928E-D293FA2BDDCE}">
  <dimension ref="B2:K35"/>
  <sheetViews>
    <sheetView workbookViewId="0">
      <selection activeCell="F5" sqref="F5"/>
    </sheetView>
  </sheetViews>
  <sheetFormatPr defaultRowHeight="14.4" x14ac:dyDescent="0.3"/>
  <cols>
    <col min="2" max="2" width="44" customWidth="1"/>
    <col min="4" max="4" width="15.44140625" customWidth="1"/>
    <col min="5" max="5" width="10.77734375" customWidth="1"/>
    <col min="6" max="6" width="12.109375" customWidth="1"/>
  </cols>
  <sheetData>
    <row r="2" spans="2:11" x14ac:dyDescent="0.3">
      <c r="B2" t="s">
        <v>106</v>
      </c>
    </row>
    <row r="4" spans="2:11" x14ac:dyDescent="0.3">
      <c r="B4" s="11" t="s">
        <v>108</v>
      </c>
      <c r="D4" s="26">
        <v>45100</v>
      </c>
      <c r="E4" s="26">
        <v>45192</v>
      </c>
      <c r="F4" s="26">
        <v>45283</v>
      </c>
      <c r="G4" s="26">
        <v>45375</v>
      </c>
      <c r="H4" s="26">
        <v>45467</v>
      </c>
      <c r="I4" s="26">
        <v>45559</v>
      </c>
      <c r="J4" s="26">
        <v>45650</v>
      </c>
    </row>
    <row r="5" spans="2:11" x14ac:dyDescent="0.3">
      <c r="B5" s="12" t="s">
        <v>5</v>
      </c>
      <c r="D5">
        <f>'INCOME STATEMENTS'!B3</f>
        <v>56517</v>
      </c>
      <c r="E5">
        <f>'INCOME STATEMENTS'!C3</f>
        <v>59122</v>
      </c>
      <c r="F5">
        <v>65332</v>
      </c>
      <c r="G5">
        <f>F5*(1+G26)</f>
        <v>71865.200000000012</v>
      </c>
      <c r="H5">
        <f t="shared" ref="H5:J5" si="0">G5*(1+H26)</f>
        <v>79051.720000000016</v>
      </c>
      <c r="I5">
        <f t="shared" si="0"/>
        <v>86166.37480000002</v>
      </c>
      <c r="J5">
        <f t="shared" si="0"/>
        <v>92198.02103600002</v>
      </c>
    </row>
    <row r="6" spans="2:11" x14ac:dyDescent="0.3">
      <c r="B6" s="13" t="s">
        <v>107</v>
      </c>
      <c r="D6" s="24">
        <f>'INCOME STATEMENTS'!B4</f>
        <v>16302</v>
      </c>
      <c r="E6" s="24">
        <f>'INCOME STATEMENTS'!C4</f>
        <v>15452</v>
      </c>
      <c r="F6" s="25">
        <f>E6*(1+F28)</f>
        <v>28913.045419514212</v>
      </c>
      <c r="G6" s="25">
        <f t="shared" ref="G6:J6" si="1">F6*(1+G28)</f>
        <v>54072.402473241425</v>
      </c>
      <c r="H6" s="25">
        <f t="shared" si="1"/>
        <v>101124.75758969464</v>
      </c>
      <c r="I6" s="25">
        <f t="shared" si="1"/>
        <v>189120.81079872686</v>
      </c>
      <c r="J6" s="25">
        <f t="shared" si="1"/>
        <v>353688.67060515686</v>
      </c>
    </row>
    <row r="7" spans="2:11" x14ac:dyDescent="0.3">
      <c r="B7" s="14" t="s">
        <v>109</v>
      </c>
      <c r="D7">
        <f>D5-D8</f>
        <v>56517</v>
      </c>
      <c r="E7">
        <f t="shared" ref="E7:J7" si="2">E5-E8</f>
        <v>59122</v>
      </c>
      <c r="F7" s="23">
        <f t="shared" si="2"/>
        <v>65332</v>
      </c>
      <c r="G7" s="23">
        <f t="shared" si="2"/>
        <v>71865.200000000012</v>
      </c>
      <c r="H7" s="23">
        <f t="shared" si="2"/>
        <v>79051.720000000016</v>
      </c>
      <c r="I7" s="23">
        <f t="shared" si="2"/>
        <v>86166.37480000002</v>
      </c>
      <c r="J7" s="23">
        <f t="shared" si="2"/>
        <v>92198.02103600002</v>
      </c>
    </row>
    <row r="8" spans="2:11" x14ac:dyDescent="0.3">
      <c r="B8" s="12" t="s">
        <v>110</v>
      </c>
    </row>
    <row r="9" spans="2:11" x14ac:dyDescent="0.3">
      <c r="B9" s="12" t="s">
        <v>111</v>
      </c>
      <c r="D9" s="22">
        <f>SUM('INCOME STATEMENTS'!B7:B8)</f>
        <v>6661</v>
      </c>
      <c r="E9" s="22">
        <f>SUM('INCOME STATEMENTS'!C7:C8)</f>
        <v>6524</v>
      </c>
      <c r="F9" s="22">
        <f>E9*(1+F29)</f>
        <v>7081.9375385981648</v>
      </c>
      <c r="G9" s="22">
        <f t="shared" ref="G9:J9" si="3">F9*(1+G29)</f>
        <v>7702.5653289221</v>
      </c>
      <c r="H9" s="22">
        <f t="shared" si="3"/>
        <v>8377.5820279342388</v>
      </c>
      <c r="I9" s="22">
        <f t="shared" si="3"/>
        <v>9111.7540244982647</v>
      </c>
      <c r="J9" s="22">
        <f t="shared" si="3"/>
        <v>9910.2654114426587</v>
      </c>
    </row>
    <row r="10" spans="2:11" x14ac:dyDescent="0.3">
      <c r="B10" s="13" t="s">
        <v>112</v>
      </c>
      <c r="D10" s="24">
        <v>6661</v>
      </c>
      <c r="E10" s="27">
        <v>6524</v>
      </c>
      <c r="F10" s="27">
        <v>7082</v>
      </c>
      <c r="G10" s="27">
        <v>7703</v>
      </c>
      <c r="H10" s="27">
        <v>8378</v>
      </c>
      <c r="I10" s="27">
        <v>9112</v>
      </c>
      <c r="J10" s="27">
        <v>9910</v>
      </c>
    </row>
    <row r="11" spans="2:11" x14ac:dyDescent="0.3">
      <c r="B11" s="14" t="s">
        <v>113</v>
      </c>
      <c r="D11" s="23">
        <f>D5-D10</f>
        <v>49856</v>
      </c>
      <c r="E11" s="23">
        <f t="shared" ref="E11:J11" si="4">E5-E10</f>
        <v>52598</v>
      </c>
      <c r="F11" s="23">
        <f t="shared" si="4"/>
        <v>58250</v>
      </c>
      <c r="G11" s="23">
        <f t="shared" si="4"/>
        <v>64162.200000000012</v>
      </c>
      <c r="H11" s="23">
        <f t="shared" si="4"/>
        <v>70673.720000000016</v>
      </c>
      <c r="I11" s="23">
        <f t="shared" si="4"/>
        <v>77054.37480000002</v>
      </c>
      <c r="J11" s="23">
        <f t="shared" si="4"/>
        <v>82288.02103600002</v>
      </c>
    </row>
    <row r="12" spans="2:11" x14ac:dyDescent="0.3">
      <c r="B12" s="13" t="s">
        <v>114</v>
      </c>
      <c r="D12" s="24">
        <f>'CASH FLOWS STATEMENTS'!B6</f>
        <v>3921</v>
      </c>
      <c r="E12" s="24">
        <f>'CASH FLOWS STATEMENTS'!C6</f>
        <v>2790</v>
      </c>
      <c r="F12" s="25">
        <f>E12*(1+F31)</f>
        <v>3060.5724512477104</v>
      </c>
      <c r="G12" s="25">
        <f t="shared" ref="G12:J12" si="5">F12*(1+G31)</f>
        <v>3357.3848492245229</v>
      </c>
      <c r="H12" s="25">
        <f t="shared" si="5"/>
        <v>3682.9819275172126</v>
      </c>
      <c r="I12" s="25">
        <f t="shared" si="5"/>
        <v>4040.155206380779</v>
      </c>
      <c r="J12" s="25">
        <f t="shared" si="5"/>
        <v>4431.9669259548464</v>
      </c>
    </row>
    <row r="13" spans="2:11" x14ac:dyDescent="0.3">
      <c r="B13" s="14" t="s">
        <v>115</v>
      </c>
      <c r="D13" s="23">
        <f>D11-D14</f>
        <v>44863</v>
      </c>
      <c r="E13" s="23">
        <f t="shared" ref="E13:J13" si="6">E11-E14</f>
        <v>48582</v>
      </c>
      <c r="F13" s="23">
        <f>F11-F12</f>
        <v>55189.42754875229</v>
      </c>
      <c r="G13" s="23">
        <f t="shared" ref="G13:J13" si="7">G11-G12</f>
        <v>60804.815150775488</v>
      </c>
      <c r="H13" s="23">
        <f t="shared" si="7"/>
        <v>66990.738072482796</v>
      </c>
      <c r="I13" s="23">
        <f t="shared" si="7"/>
        <v>73014.219593619244</v>
      </c>
      <c r="J13" s="23">
        <f t="shared" si="7"/>
        <v>77856.054110045166</v>
      </c>
    </row>
    <row r="14" spans="2:11" x14ac:dyDescent="0.3">
      <c r="B14" s="13" t="s">
        <v>116</v>
      </c>
      <c r="D14" s="24">
        <f>'INCOME STATEMENTS'!B12</f>
        <v>4993</v>
      </c>
      <c r="E14" s="24">
        <f>'INCOME STATEMENTS'!C12</f>
        <v>4016</v>
      </c>
      <c r="F14" s="24">
        <f>F13*F31</f>
        <v>5352.2360913347111</v>
      </c>
      <c r="G14" s="24">
        <f t="shared" ref="G14:J14" si="8">G13*G31</f>
        <v>5896.8128612936434</v>
      </c>
      <c r="H14" s="24">
        <f t="shared" si="8"/>
        <v>6496.7197889480331</v>
      </c>
      <c r="I14" s="24">
        <f t="shared" si="8"/>
        <v>7080.8732513921832</v>
      </c>
      <c r="J14" s="24">
        <f t="shared" si="8"/>
        <v>7550.4313279675007</v>
      </c>
      <c r="K14" s="27"/>
    </row>
    <row r="15" spans="2:11" x14ac:dyDescent="0.3">
      <c r="B15" s="14" t="s">
        <v>117</v>
      </c>
      <c r="D15" s="23">
        <f>D13-D14</f>
        <v>39870</v>
      </c>
      <c r="E15" s="23">
        <f t="shared" ref="E15:J15" si="9">E13-E14</f>
        <v>44566</v>
      </c>
      <c r="F15" s="23">
        <f t="shared" si="9"/>
        <v>49837.191457417575</v>
      </c>
      <c r="G15" s="23">
        <f t="shared" si="9"/>
        <v>54908.002289481847</v>
      </c>
      <c r="H15" s="23">
        <f t="shared" si="9"/>
        <v>60494.018283534766</v>
      </c>
      <c r="I15" s="23">
        <f t="shared" si="9"/>
        <v>65933.346342227058</v>
      </c>
      <c r="J15" s="23">
        <f t="shared" si="9"/>
        <v>70305.622782077669</v>
      </c>
    </row>
    <row r="16" spans="2:11" x14ac:dyDescent="0.3">
      <c r="B16" s="12" t="s">
        <v>118</v>
      </c>
      <c r="D16" s="22">
        <f>D12</f>
        <v>3921</v>
      </c>
      <c r="E16" s="22">
        <f t="shared" ref="E16:J16" si="10">E12</f>
        <v>2790</v>
      </c>
      <c r="F16" s="22">
        <f t="shared" si="10"/>
        <v>3060.5724512477104</v>
      </c>
      <c r="G16" s="22">
        <f t="shared" si="10"/>
        <v>3357.3848492245229</v>
      </c>
      <c r="H16" s="22">
        <f t="shared" si="10"/>
        <v>3682.9819275172126</v>
      </c>
      <c r="I16" s="22">
        <f t="shared" si="10"/>
        <v>4040.155206380779</v>
      </c>
      <c r="J16" s="22">
        <f t="shared" si="10"/>
        <v>4431.9669259548464</v>
      </c>
    </row>
    <row r="17" spans="2:11" x14ac:dyDescent="0.3">
      <c r="B17" s="12" t="s">
        <v>119</v>
      </c>
      <c r="D17">
        <v>2550</v>
      </c>
      <c r="E17">
        <v>3010</v>
      </c>
      <c r="F17" s="23">
        <f>E17*(1+F32)</f>
        <v>3446.6611099817037</v>
      </c>
      <c r="G17" s="23">
        <f t="shared" ref="G17:J17" si="11">F17*(1+G32)</f>
        <v>3963.6602764789591</v>
      </c>
      <c r="H17" s="23">
        <f t="shared" si="11"/>
        <v>4558.2093179508029</v>
      </c>
      <c r="I17" s="23">
        <f t="shared" si="11"/>
        <v>5241.9407156434227</v>
      </c>
      <c r="J17" s="23">
        <f t="shared" si="11"/>
        <v>6028.2318229899356</v>
      </c>
    </row>
    <row r="18" spans="2:11" x14ac:dyDescent="0.3">
      <c r="B18" s="12" t="s">
        <v>120</v>
      </c>
      <c r="D18" s="22">
        <f>D19-('Net working Capital'!C7-'Net working Capital'!C12)</f>
        <v>56874</v>
      </c>
      <c r="E18" s="22">
        <f>E19-('Net working Capital'!D7-'Net working Capital'!D12)</f>
        <v>62490</v>
      </c>
      <c r="F18" s="22">
        <f>F19-('Net working Capital'!E7-'Net working Capital'!E12)</f>
        <v>92458.533387209929</v>
      </c>
      <c r="G18" s="22">
        <f>G19-('Net working Capital'!F7-'Net working Capital'!F12)</f>
        <v>152400.95731060303</v>
      </c>
      <c r="H18" s="22">
        <f>H19-('Net working Capital'!G7-'Net working Capital'!G12)</f>
        <v>262950.30832773924</v>
      </c>
      <c r="I18" s="22">
        <f>I19-('Net working Capital'!H7-'Net working Capital'!H12)</f>
        <v>466527.14130102424</v>
      </c>
      <c r="J18" s="22">
        <f>J19-('Net working Capital'!I7-'Net working Capital'!I12)</f>
        <v>844981.2392713388</v>
      </c>
    </row>
    <row r="19" spans="2:11" x14ac:dyDescent="0.3">
      <c r="B19" s="15" t="s">
        <v>121</v>
      </c>
      <c r="D19" s="22">
        <f>-(D20-D21)</f>
        <v>28437</v>
      </c>
      <c r="E19" s="22">
        <f t="shared" ref="E19:J19" si="12">-(E20-E21)</f>
        <v>31245</v>
      </c>
      <c r="F19" s="22">
        <f t="shared" si="12"/>
        <v>46229.266693604965</v>
      </c>
      <c r="G19" s="22">
        <f t="shared" si="12"/>
        <v>76200.478655301515</v>
      </c>
      <c r="H19" s="22">
        <f t="shared" si="12"/>
        <v>131475.15416386962</v>
      </c>
      <c r="I19" s="22">
        <f t="shared" si="12"/>
        <v>233263.57065051212</v>
      </c>
      <c r="J19" s="22">
        <f t="shared" si="12"/>
        <v>422490.6196356694</v>
      </c>
    </row>
    <row r="20" spans="2:11" x14ac:dyDescent="0.3">
      <c r="B20" s="15" t="s">
        <v>122</v>
      </c>
      <c r="D20" s="22">
        <f>'Net working Capital'!C7</f>
        <v>12335</v>
      </c>
      <c r="E20" s="22">
        <f>'Net working Capital'!D7</f>
        <v>12604</v>
      </c>
      <c r="F20" s="22">
        <f>'Net working Capital'!E7</f>
        <v>14457.342021052569</v>
      </c>
      <c r="G20" s="22">
        <f>'Net working Capital'!F7</f>
        <v>16600.0225999125</v>
      </c>
      <c r="H20" s="22">
        <f>'Net working Capital'!G7</f>
        <v>19680.034142245833</v>
      </c>
      <c r="I20" s="22">
        <f>'Net working Capital'!H7</f>
        <v>24121.096881648056</v>
      </c>
      <c r="J20" s="22">
        <f>'Net working Capital'!I7</f>
        <v>30899.86846026194</v>
      </c>
    </row>
    <row r="21" spans="2:11" x14ac:dyDescent="0.3">
      <c r="B21" s="15" t="s">
        <v>123</v>
      </c>
      <c r="D21" s="22">
        <f>'Net working Capital'!C12</f>
        <v>40772</v>
      </c>
      <c r="E21" s="22">
        <f>'Net working Capital'!D12</f>
        <v>43849</v>
      </c>
      <c r="F21" s="22">
        <f>'Net working Capital'!E12</f>
        <v>60686.608714657537</v>
      </c>
      <c r="G21" s="22">
        <f>'Net working Capital'!F12</f>
        <v>92800.501255214011</v>
      </c>
      <c r="H21" s="22">
        <f>'Net working Capital'!G12</f>
        <v>151155.18830611545</v>
      </c>
      <c r="I21" s="22">
        <f>'Net working Capital'!H12</f>
        <v>257384.66753216018</v>
      </c>
      <c r="J21" s="22">
        <f>'Net working Capital'!I12</f>
        <v>453390.48809593136</v>
      </c>
    </row>
    <row r="22" spans="2:11" x14ac:dyDescent="0.3">
      <c r="B22" s="16" t="s">
        <v>124</v>
      </c>
      <c r="D22" s="35">
        <f>-(D15+D16-D17-D18)</f>
        <v>15633</v>
      </c>
      <c r="E22" s="35">
        <f t="shared" ref="E22:J22" si="13">-(E15+E16-E17-E18)</f>
        <v>18144</v>
      </c>
      <c r="F22" s="35">
        <f t="shared" si="13"/>
        <v>43007.430588526346</v>
      </c>
      <c r="G22" s="35">
        <f t="shared" si="13"/>
        <v>98099.230448375616</v>
      </c>
      <c r="H22" s="35">
        <f t="shared" si="13"/>
        <v>203331.51743463805</v>
      </c>
      <c r="I22" s="35">
        <f t="shared" si="13"/>
        <v>401795.58046805981</v>
      </c>
      <c r="J22" s="35">
        <f t="shared" si="13"/>
        <v>776271.88138629624</v>
      </c>
    </row>
    <row r="24" spans="2:11" x14ac:dyDescent="0.3">
      <c r="B24" s="17" t="s">
        <v>125</v>
      </c>
    </row>
    <row r="25" spans="2:11" x14ac:dyDescent="0.3">
      <c r="B25" s="11" t="str">
        <f t="shared" ref="B25" si="14">B4</f>
        <v>Fiscal Year</v>
      </c>
      <c r="D25" s="19">
        <f>D4</f>
        <v>45100</v>
      </c>
      <c r="E25" s="19">
        <f t="shared" ref="E25:K25" si="15">E4</f>
        <v>45192</v>
      </c>
      <c r="F25" s="19">
        <f t="shared" si="15"/>
        <v>45283</v>
      </c>
      <c r="G25" s="19">
        <f t="shared" si="15"/>
        <v>45375</v>
      </c>
      <c r="H25" s="19">
        <f t="shared" si="15"/>
        <v>45467</v>
      </c>
      <c r="I25" s="19">
        <f t="shared" si="15"/>
        <v>45559</v>
      </c>
      <c r="J25" s="19">
        <f t="shared" si="15"/>
        <v>45650</v>
      </c>
      <c r="K25" s="19">
        <f t="shared" si="15"/>
        <v>0</v>
      </c>
    </row>
    <row r="26" spans="2:11" x14ac:dyDescent="0.3">
      <c r="B26" s="18" t="s">
        <v>126</v>
      </c>
      <c r="E26" s="21">
        <f t="shared" ref="E26" si="16">E5/D5-1</f>
        <v>4.6092326202735512E-2</v>
      </c>
      <c r="F26" s="21">
        <f>F5/E5-1</f>
        <v>0.10503704204864528</v>
      </c>
      <c r="G26" s="21">
        <v>0.1</v>
      </c>
      <c r="H26" s="21">
        <v>0.1</v>
      </c>
      <c r="I26" s="21">
        <v>0.09</v>
      </c>
      <c r="J26" s="21">
        <v>7.0000000000000007E-2</v>
      </c>
      <c r="K26" s="21">
        <v>0.05</v>
      </c>
    </row>
    <row r="27" spans="2:11" x14ac:dyDescent="0.3">
      <c r="B27" s="18"/>
      <c r="E27" s="18"/>
      <c r="F27" s="18"/>
      <c r="G27" s="18"/>
      <c r="H27" s="18"/>
      <c r="I27" s="18"/>
      <c r="J27" s="18"/>
      <c r="K27" s="18"/>
    </row>
    <row r="28" spans="2:11" x14ac:dyDescent="0.3">
      <c r="B28" s="18" t="s">
        <v>127</v>
      </c>
      <c r="D28" s="20">
        <v>0.87022520841109863</v>
      </c>
      <c r="E28" s="20">
        <v>0.86914206559087559</v>
      </c>
      <c r="F28" s="20">
        <v>0.87115230517177145</v>
      </c>
      <c r="G28" s="20">
        <v>0.87017319305791518</v>
      </c>
      <c r="H28" s="20">
        <v>0.87017319305791518</v>
      </c>
      <c r="I28" s="20">
        <v>0.87017319305791518</v>
      </c>
      <c r="J28" s="20">
        <v>0.87017319305791518</v>
      </c>
      <c r="K28" s="20">
        <v>0.87017319305791518</v>
      </c>
    </row>
    <row r="29" spans="2:11" x14ac:dyDescent="0.3">
      <c r="B29" s="18" t="s">
        <v>128</v>
      </c>
      <c r="D29" s="20">
        <v>8.8983189590250353E-2</v>
      </c>
      <c r="E29" s="20">
        <v>8.8401964488099741E-2</v>
      </c>
      <c r="F29" s="20">
        <v>8.5520775382919328E-2</v>
      </c>
      <c r="G29" s="20">
        <v>8.7635309820423155E-2</v>
      </c>
      <c r="H29" s="20">
        <v>8.7635309820423155E-2</v>
      </c>
      <c r="I29" s="20">
        <v>8.7635309820423155E-2</v>
      </c>
      <c r="J29" s="20">
        <v>8.7635309820423155E-2</v>
      </c>
      <c r="K29" s="20">
        <v>8.7635309820423155E-2</v>
      </c>
    </row>
    <row r="30" spans="2:11" x14ac:dyDescent="0.3">
      <c r="B30" s="18" t="s">
        <v>129</v>
      </c>
      <c r="D30" s="20">
        <v>0.22398142284146083</v>
      </c>
      <c r="E30" s="20">
        <v>0.24066237350505978</v>
      </c>
      <c r="F30" s="20">
        <v>0.23867024448419796</v>
      </c>
      <c r="G30" s="20">
        <v>0.21</v>
      </c>
      <c r="H30" s="20">
        <v>0.21</v>
      </c>
      <c r="I30" s="20">
        <v>0.21</v>
      </c>
      <c r="J30" s="20">
        <v>0.21</v>
      </c>
      <c r="K30" s="20">
        <v>0.21</v>
      </c>
    </row>
    <row r="31" spans="2:11" x14ac:dyDescent="0.3">
      <c r="B31" t="s">
        <v>130</v>
      </c>
      <c r="D31" s="29">
        <f>D14/D13</f>
        <v>0.11129438512805653</v>
      </c>
      <c r="E31" s="29">
        <f t="shared" ref="E31" si="17">E14/E13</f>
        <v>8.2664361286073032E-2</v>
      </c>
      <c r="F31" s="29">
        <f>AVERAGE(D31:E31)</f>
        <v>9.697937320706479E-2</v>
      </c>
      <c r="G31" s="29">
        <f>F31</f>
        <v>9.697937320706479E-2</v>
      </c>
      <c r="H31" s="29">
        <f t="shared" ref="H31:K31" si="18">G31</f>
        <v>9.697937320706479E-2</v>
      </c>
      <c r="I31" s="29">
        <f t="shared" si="18"/>
        <v>9.697937320706479E-2</v>
      </c>
      <c r="J31" s="29">
        <f t="shared" si="18"/>
        <v>9.697937320706479E-2</v>
      </c>
      <c r="K31" s="29">
        <f t="shared" si="18"/>
        <v>9.697937320706479E-2</v>
      </c>
    </row>
    <row r="32" spans="2:11" x14ac:dyDescent="0.3">
      <c r="B32" t="s">
        <v>131</v>
      </c>
      <c r="D32" s="29">
        <v>0.13723896143488643</v>
      </c>
      <c r="E32" s="29">
        <v>0.25610339875538535</v>
      </c>
      <c r="F32" s="29">
        <v>0.14507013620654605</v>
      </c>
      <c r="G32" s="29">
        <v>0.15</v>
      </c>
      <c r="H32" s="29">
        <v>0.15</v>
      </c>
      <c r="I32" s="29">
        <v>0.15</v>
      </c>
      <c r="J32" s="29">
        <v>0.15</v>
      </c>
      <c r="K32" s="29">
        <v>0.15</v>
      </c>
    </row>
    <row r="35" spans="2:5" x14ac:dyDescent="0.3">
      <c r="B35" t="s">
        <v>132</v>
      </c>
      <c r="D35" s="22">
        <f>SUM('BALANCE SHEETS'!B10:B11)</f>
        <v>117937</v>
      </c>
      <c r="E35" s="22">
        <f>SUM('BALANCE SHEETS'!C10:C11)</f>
        <v>109987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E7A63-35AD-4560-BAFA-9D35D72FFACF}">
  <dimension ref="B3:J26"/>
  <sheetViews>
    <sheetView workbookViewId="0">
      <selection activeCell="M11" sqref="M11"/>
    </sheetView>
  </sheetViews>
  <sheetFormatPr defaultRowHeight="14.4" x14ac:dyDescent="0.3"/>
  <cols>
    <col min="2" max="2" width="38.33203125" customWidth="1"/>
    <col min="6" max="6" width="9.44140625" bestFit="1" customWidth="1"/>
  </cols>
  <sheetData>
    <row r="3" spans="2:10" x14ac:dyDescent="0.3">
      <c r="B3" s="11" t="s">
        <v>108</v>
      </c>
      <c r="C3" s="19">
        <f>C17</f>
        <v>45100</v>
      </c>
      <c r="D3" s="19">
        <f t="shared" ref="D3:I3" si="0">D17</f>
        <v>45192</v>
      </c>
      <c r="E3" s="19">
        <f t="shared" si="0"/>
        <v>45283</v>
      </c>
      <c r="F3" s="19">
        <f t="shared" si="0"/>
        <v>45375</v>
      </c>
      <c r="G3" s="19">
        <f t="shared" si="0"/>
        <v>45467</v>
      </c>
      <c r="H3" s="19">
        <f t="shared" si="0"/>
        <v>45559</v>
      </c>
      <c r="I3" s="19">
        <f t="shared" si="0"/>
        <v>45650</v>
      </c>
    </row>
    <row r="4" spans="2:10" x14ac:dyDescent="0.3">
      <c r="B4" s="12" t="s">
        <v>133</v>
      </c>
      <c r="C4" s="22">
        <f>'CASH FLOWS STATEMENTS'!B11</f>
        <v>11034</v>
      </c>
      <c r="D4" s="22">
        <f>'CASH FLOWS STATEMENTS'!C11</f>
        <v>11729</v>
      </c>
      <c r="E4" s="22">
        <f>E18*E21/360</f>
        <v>12857.980470394561</v>
      </c>
      <c r="F4" s="22">
        <f t="shared" ref="F4:I4" si="1">F18*F21/360</f>
        <v>14200.427965120714</v>
      </c>
      <c r="G4" s="22">
        <f t="shared" si="1"/>
        <v>15589.313565405104</v>
      </c>
      <c r="H4" s="22">
        <f t="shared" si="1"/>
        <v>17009.332458235651</v>
      </c>
      <c r="I4" s="22">
        <f t="shared" si="1"/>
        <v>18190.901070822059</v>
      </c>
    </row>
    <row r="5" spans="2:10" x14ac:dyDescent="0.3">
      <c r="B5" s="12" t="s">
        <v>134</v>
      </c>
      <c r="C5" s="22">
        <f>-'CASH FLOWS STATEMENTS'!B12</f>
        <v>505</v>
      </c>
      <c r="D5" s="22">
        <f>-'CASH FLOWS STATEMENTS'!C12</f>
        <v>543</v>
      </c>
      <c r="E5" s="23">
        <f>E19*E22/360</f>
        <v>955.84903527490258</v>
      </c>
      <c r="F5" s="23">
        <f t="shared" ref="F5:I5" si="2">F19*F22/360</f>
        <v>1843.8829874529952</v>
      </c>
      <c r="G5" s="23">
        <f t="shared" si="2"/>
        <v>3395.7540989976137</v>
      </c>
      <c r="H5" s="23">
        <f t="shared" si="2"/>
        <v>6399.8585604083055</v>
      </c>
      <c r="I5" s="23">
        <f t="shared" si="2"/>
        <v>11922.828051178478</v>
      </c>
    </row>
    <row r="6" spans="2:10" x14ac:dyDescent="0.3">
      <c r="B6" s="12" t="s">
        <v>104</v>
      </c>
      <c r="C6" s="22">
        <f>-'CASH FLOWS STATEMENTS'!B13</f>
        <v>796</v>
      </c>
      <c r="D6" s="22">
        <f>-'CASH FLOWS STATEMENTS'!C13</f>
        <v>332</v>
      </c>
      <c r="E6" s="23">
        <f>E18*E24</f>
        <v>643.5125153831043</v>
      </c>
      <c r="F6" s="23">
        <f>F18*F24</f>
        <v>555.71164733879004</v>
      </c>
      <c r="G6" s="23">
        <f>G18*G24</f>
        <v>694.96647784311267</v>
      </c>
      <c r="H6" s="23">
        <f>H18*H24</f>
        <v>711.90586300410098</v>
      </c>
      <c r="I6" s="23">
        <f>I18*I24</f>
        <v>786.13933826140521</v>
      </c>
    </row>
    <row r="7" spans="2:10" x14ac:dyDescent="0.3">
      <c r="B7" s="30" t="s">
        <v>122</v>
      </c>
      <c r="C7" s="32">
        <f>SUM(C4:C6)</f>
        <v>12335</v>
      </c>
      <c r="D7" s="32">
        <f>SUM(D4:D6)</f>
        <v>12604</v>
      </c>
      <c r="E7" s="32">
        <f t="shared" ref="E7:I7" si="3">SUM(E4:E6)</f>
        <v>14457.342021052569</v>
      </c>
      <c r="F7" s="32">
        <f t="shared" si="3"/>
        <v>16600.0225999125</v>
      </c>
      <c r="G7" s="32">
        <f t="shared" si="3"/>
        <v>19680.034142245833</v>
      </c>
      <c r="H7" s="32">
        <f t="shared" si="3"/>
        <v>24121.096881648056</v>
      </c>
      <c r="I7" s="32">
        <f t="shared" si="3"/>
        <v>30899.86846026194</v>
      </c>
    </row>
    <row r="9" spans="2:10" x14ac:dyDescent="0.3">
      <c r="B9" s="12" t="s">
        <v>135</v>
      </c>
      <c r="C9" s="22">
        <f>'BALANCE SHEETS'!B18</f>
        <v>19307</v>
      </c>
      <c r="D9" s="22">
        <f>'BALANCE SHEETS'!C18</f>
        <v>18095</v>
      </c>
      <c r="E9" s="23">
        <f>E23*E19/360</f>
        <v>34050.590436708415</v>
      </c>
      <c r="F9" s="23">
        <f t="shared" ref="F9:I9" si="4">F23*F19/360</f>
        <v>63500.881149469969</v>
      </c>
      <c r="G9" s="23">
        <f t="shared" si="4"/>
        <v>118925.60618979701</v>
      </c>
      <c r="H9" s="23">
        <f t="shared" si="4"/>
        <v>222254.42302537308</v>
      </c>
      <c r="I9" s="23">
        <f t="shared" si="4"/>
        <v>415801.12647366914</v>
      </c>
    </row>
    <row r="10" spans="2:10" x14ac:dyDescent="0.3">
      <c r="B10" s="12" t="s">
        <v>136</v>
      </c>
      <c r="C10" s="22">
        <f>'BALANCE SHEETS'!B21</f>
        <v>6990</v>
      </c>
      <c r="D10" s="22">
        <f>'BALANCE SHEETS'!C21</f>
        <v>11009</v>
      </c>
      <c r="E10" s="23">
        <f>E25*E18</f>
        <v>10122.794238606482</v>
      </c>
      <c r="F10" s="23">
        <f>F25*F18</f>
        <v>11135.073662467134</v>
      </c>
      <c r="G10" s="23">
        <f>G25*G18</f>
        <v>12248.581028713847</v>
      </c>
      <c r="H10" s="23">
        <f>H25*H18</f>
        <v>13350.953321298093</v>
      </c>
      <c r="I10" s="23">
        <f>I25*I18</f>
        <v>14285.52005378896</v>
      </c>
      <c r="J10" s="23"/>
    </row>
    <row r="11" spans="2:10" x14ac:dyDescent="0.3">
      <c r="B11" s="12" t="s">
        <v>105</v>
      </c>
      <c r="C11" s="22">
        <f>'BALANCE SHEETS'!B24</f>
        <v>14475</v>
      </c>
      <c r="D11" s="22">
        <f>'BALANCE SHEETS'!C24</f>
        <v>14745</v>
      </c>
      <c r="E11" s="23">
        <f>E26*E18</f>
        <v>16513.22403934264</v>
      </c>
      <c r="F11" s="23">
        <f>F26*F18</f>
        <v>18164.546443276908</v>
      </c>
      <c r="G11" s="23">
        <f>G26*G18</f>
        <v>19981.001087604596</v>
      </c>
      <c r="H11" s="23">
        <f>H26*H18</f>
        <v>21779.291185489012</v>
      </c>
      <c r="I11" s="23">
        <f>I26*I18</f>
        <v>23303.841568473243</v>
      </c>
    </row>
    <row r="12" spans="2:10" x14ac:dyDescent="0.3">
      <c r="B12" s="30" t="s">
        <v>137</v>
      </c>
      <c r="C12" s="32">
        <f>SUM(C9:C11)</f>
        <v>40772</v>
      </c>
      <c r="D12" s="32">
        <f>SUM(D9:D11)</f>
        <v>43849</v>
      </c>
      <c r="E12" s="32">
        <f>SUM(E9:E11)</f>
        <v>60686.608714657537</v>
      </c>
      <c r="F12" s="32">
        <f>SUM(F9:F11)</f>
        <v>92800.501255214011</v>
      </c>
      <c r="G12" s="32">
        <f>SUM(G9:G11)</f>
        <v>151155.18830611545</v>
      </c>
      <c r="H12" s="32">
        <f>SUM(H9:H11)</f>
        <v>257384.66753216018</v>
      </c>
      <c r="I12" s="32">
        <f>SUM(I9:I11)</f>
        <v>453390.48809593136</v>
      </c>
    </row>
    <row r="16" spans="2:10" x14ac:dyDescent="0.3">
      <c r="B16" s="17" t="s">
        <v>125</v>
      </c>
      <c r="C16" s="34"/>
      <c r="D16" s="34"/>
      <c r="E16" s="34"/>
      <c r="F16" s="34"/>
      <c r="G16" s="34"/>
      <c r="H16" s="34"/>
      <c r="I16" s="34"/>
    </row>
    <row r="17" spans="2:9" x14ac:dyDescent="0.3">
      <c r="B17" s="11" t="s">
        <v>108</v>
      </c>
      <c r="C17" s="33">
        <f>'Free Cash Flows'!D4</f>
        <v>45100</v>
      </c>
      <c r="D17" s="33">
        <f>'Free Cash Flows'!E4</f>
        <v>45192</v>
      </c>
      <c r="E17" s="33">
        <f>'Free Cash Flows'!F4</f>
        <v>45283</v>
      </c>
      <c r="F17" s="33">
        <f>'Free Cash Flows'!G4</f>
        <v>45375</v>
      </c>
      <c r="G17" s="33">
        <f>'Free Cash Flows'!H4</f>
        <v>45467</v>
      </c>
      <c r="H17" s="33">
        <f>'Free Cash Flows'!I4</f>
        <v>45559</v>
      </c>
      <c r="I17" s="33">
        <f>'Free Cash Flows'!J4</f>
        <v>45650</v>
      </c>
    </row>
    <row r="18" spans="2:9" x14ac:dyDescent="0.3">
      <c r="B18" s="18" t="s">
        <v>5</v>
      </c>
      <c r="C18">
        <f>'Free Cash Flows'!D5</f>
        <v>56517</v>
      </c>
      <c r="D18">
        <f>'Free Cash Flows'!E5</f>
        <v>59122</v>
      </c>
      <c r="E18">
        <f>'Free Cash Flows'!F5</f>
        <v>65332</v>
      </c>
      <c r="F18">
        <f>'Free Cash Flows'!G5</f>
        <v>71865.200000000012</v>
      </c>
      <c r="G18">
        <f>'Free Cash Flows'!H5</f>
        <v>79051.720000000016</v>
      </c>
      <c r="H18">
        <f>'Free Cash Flows'!I5</f>
        <v>86166.37480000002</v>
      </c>
      <c r="I18">
        <f>'Free Cash Flows'!J5</f>
        <v>92198.02103600002</v>
      </c>
    </row>
    <row r="19" spans="2:9" x14ac:dyDescent="0.3">
      <c r="B19" s="18" t="s">
        <v>107</v>
      </c>
      <c r="C19" s="22">
        <f>'Free Cash Flows'!D6</f>
        <v>16302</v>
      </c>
      <c r="D19" s="22">
        <f>'Free Cash Flows'!E6</f>
        <v>15452</v>
      </c>
      <c r="E19" s="22">
        <f>'Free Cash Flows'!F6</f>
        <v>28913.045419514212</v>
      </c>
      <c r="F19" s="22">
        <f>'Free Cash Flows'!G6</f>
        <v>54072.402473241425</v>
      </c>
      <c r="G19" s="22">
        <f>'Free Cash Flows'!H6</f>
        <v>101124.75758969464</v>
      </c>
      <c r="H19" s="22">
        <f>'Free Cash Flows'!I6</f>
        <v>189120.81079872686</v>
      </c>
      <c r="I19" s="22">
        <f>'Free Cash Flows'!J6</f>
        <v>353688.67060515686</v>
      </c>
    </row>
    <row r="20" spans="2:9" x14ac:dyDescent="0.3">
      <c r="B20" s="18"/>
    </row>
    <row r="21" spans="2:9" x14ac:dyDescent="0.3">
      <c r="B21" s="18" t="s">
        <v>138</v>
      </c>
      <c r="C21" s="23">
        <f>C4/C18*360</f>
        <v>70.283985349540842</v>
      </c>
      <c r="D21" s="23">
        <f>D4/D18*360</f>
        <v>71.419099489191836</v>
      </c>
      <c r="E21" s="23">
        <f>AVERAGE(C21:D21)</f>
        <v>70.851542419366339</v>
      </c>
      <c r="F21" s="23">
        <f t="shared" ref="F21:I21" si="5">AVERAGE(D21:E21)</f>
        <v>71.135320954279081</v>
      </c>
      <c r="G21" s="23">
        <f t="shared" si="5"/>
        <v>70.993431686822703</v>
      </c>
      <c r="H21" s="23">
        <f t="shared" si="5"/>
        <v>71.064376320550892</v>
      </c>
      <c r="I21" s="23">
        <f t="shared" si="5"/>
        <v>71.02890400368679</v>
      </c>
    </row>
    <row r="22" spans="2:9" x14ac:dyDescent="0.3">
      <c r="B22" s="18" t="s">
        <v>139</v>
      </c>
      <c r="C22" s="23">
        <f>C5/C19*360</f>
        <v>11.152005888847993</v>
      </c>
      <c r="D22" s="23">
        <f>D5/D19*360</f>
        <v>12.650789541806885</v>
      </c>
      <c r="E22" s="23">
        <f>AVERAGE(C22:D22)</f>
        <v>11.901397715327439</v>
      </c>
      <c r="F22" s="23">
        <f t="shared" ref="F22:I22" si="6">AVERAGE(D22:E22)</f>
        <v>12.276093628567162</v>
      </c>
      <c r="G22" s="23">
        <f t="shared" si="6"/>
        <v>12.088745671947301</v>
      </c>
      <c r="H22" s="23">
        <f t="shared" si="6"/>
        <v>12.182419650257231</v>
      </c>
      <c r="I22" s="23">
        <f t="shared" si="6"/>
        <v>12.135582661102266</v>
      </c>
    </row>
    <row r="23" spans="2:9" x14ac:dyDescent="0.3">
      <c r="B23" s="18" t="s">
        <v>140</v>
      </c>
      <c r="C23" s="23">
        <f>C9/C19*360</f>
        <v>426.35995583364002</v>
      </c>
      <c r="D23" s="23">
        <f>D9/D19*360</f>
        <v>421.57649495210973</v>
      </c>
      <c r="E23" s="23">
        <f>AVERAGE(C23:D23)</f>
        <v>423.96822539287484</v>
      </c>
      <c r="F23" s="23">
        <f t="shared" ref="F23:I23" si="7">AVERAGE(D23:E23)</f>
        <v>422.77236017249231</v>
      </c>
      <c r="G23" s="23">
        <f t="shared" si="7"/>
        <v>423.37029278268358</v>
      </c>
      <c r="H23" s="23">
        <f t="shared" si="7"/>
        <v>423.07132647758795</v>
      </c>
      <c r="I23" s="23">
        <f t="shared" si="7"/>
        <v>423.22080963013576</v>
      </c>
    </row>
    <row r="24" spans="2:9" x14ac:dyDescent="0.3">
      <c r="B24" s="18" t="s">
        <v>141</v>
      </c>
      <c r="C24" s="29">
        <f>C6/C$18</f>
        <v>1.4084257833926075E-2</v>
      </c>
      <c r="D24" s="29">
        <f>D6/D$18</f>
        <v>5.6155069178985828E-3</v>
      </c>
      <c r="E24" s="29">
        <f>AVERAGE(C24:D24)</f>
        <v>9.8498823759123298E-3</v>
      </c>
      <c r="F24" s="29">
        <f t="shared" ref="F24:I24" si="8">AVERAGE(D24:E24)</f>
        <v>7.7326946469054563E-3</v>
      </c>
      <c r="G24" s="29">
        <f t="shared" si="8"/>
        <v>8.7912885114088922E-3</v>
      </c>
      <c r="H24" s="29">
        <f t="shared" si="8"/>
        <v>8.2619915791571734E-3</v>
      </c>
      <c r="I24" s="29">
        <f t="shared" si="8"/>
        <v>8.5266400452830328E-3</v>
      </c>
    </row>
    <row r="25" spans="2:9" x14ac:dyDescent="0.3">
      <c r="B25" s="18" t="s">
        <v>142</v>
      </c>
      <c r="C25" s="31">
        <f>C10/C18</f>
        <v>0.12367960082806943</v>
      </c>
      <c r="D25" s="31">
        <f>D10/D18</f>
        <v>0.18620817969622136</v>
      </c>
      <c r="E25" s="31">
        <f>AVERAGE(C25:D25)</f>
        <v>0.15494389026214539</v>
      </c>
      <c r="F25" s="31">
        <f>E25</f>
        <v>0.15494389026214539</v>
      </c>
      <c r="G25" s="31">
        <f t="shared" ref="G25:I25" si="9">F25</f>
        <v>0.15494389026214539</v>
      </c>
      <c r="H25" s="31">
        <f t="shared" si="9"/>
        <v>0.15494389026214539</v>
      </c>
      <c r="I25" s="31">
        <f t="shared" si="9"/>
        <v>0.15494389026214539</v>
      </c>
    </row>
    <row r="26" spans="2:9" x14ac:dyDescent="0.3">
      <c r="B26" s="18" t="s">
        <v>143</v>
      </c>
      <c r="C26" s="31">
        <f>C11/C18</f>
        <v>0.25611762832422102</v>
      </c>
      <c r="D26" s="31">
        <f>D11/D18</f>
        <v>0.24939954670004397</v>
      </c>
      <c r="E26" s="31">
        <f>AVERAGE(C26:D26)</f>
        <v>0.25275858751213248</v>
      </c>
      <c r="F26" s="31">
        <f>E26</f>
        <v>0.25275858751213248</v>
      </c>
      <c r="G26" s="31">
        <f t="shared" ref="G26:I26" si="10">F26</f>
        <v>0.25275858751213248</v>
      </c>
      <c r="H26" s="31">
        <f t="shared" si="10"/>
        <v>0.25275858751213248</v>
      </c>
      <c r="I26" s="31">
        <f t="shared" si="10"/>
        <v>0.25275858751213248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634C-DED5-4E71-9C7A-0D6B5C9CF656}">
  <dimension ref="B5:C21"/>
  <sheetViews>
    <sheetView workbookViewId="0">
      <selection activeCell="C7" sqref="C7"/>
    </sheetView>
  </sheetViews>
  <sheetFormatPr defaultRowHeight="14.4" x14ac:dyDescent="0.3"/>
  <cols>
    <col min="2" max="2" width="30.88671875" customWidth="1"/>
    <col min="3" max="3" width="16.44140625" customWidth="1"/>
  </cols>
  <sheetData>
    <row r="5" spans="2:3" x14ac:dyDescent="0.3">
      <c r="B5" s="36" t="s">
        <v>144</v>
      </c>
      <c r="C5" s="37"/>
    </row>
    <row r="6" spans="2:3" x14ac:dyDescent="0.3">
      <c r="B6" s="38" t="s">
        <v>145</v>
      </c>
      <c r="C6" s="39">
        <v>214560</v>
      </c>
    </row>
    <row r="7" spans="2:3" x14ac:dyDescent="0.3">
      <c r="B7" s="38" t="s">
        <v>146</v>
      </c>
      <c r="C7" s="40">
        <f>SUM('BALANCE SHEETS'!B19:B20)</f>
        <v>29556</v>
      </c>
    </row>
    <row r="8" spans="2:3" x14ac:dyDescent="0.3">
      <c r="B8" s="38"/>
      <c r="C8" s="38"/>
    </row>
    <row r="9" spans="2:3" x14ac:dyDescent="0.3">
      <c r="B9" s="38" t="s">
        <v>147</v>
      </c>
      <c r="C9" s="41">
        <f>-'[1]Income Statement'!E16/C7</f>
        <v>-5.4168358370550819E-2</v>
      </c>
    </row>
    <row r="10" spans="2:3" x14ac:dyDescent="0.3">
      <c r="B10" s="38" t="s">
        <v>148</v>
      </c>
      <c r="C10" s="42">
        <v>0.21</v>
      </c>
    </row>
    <row r="11" spans="2:3" x14ac:dyDescent="0.3">
      <c r="B11" s="38" t="s">
        <v>149</v>
      </c>
      <c r="C11" s="41">
        <f>C7/SUM(C6:C7)</f>
        <v>0.12107358796637664</v>
      </c>
    </row>
    <row r="12" spans="2:3" x14ac:dyDescent="0.3">
      <c r="B12" s="30" t="s">
        <v>150</v>
      </c>
      <c r="C12" s="43">
        <f>C9*(1-C10)</f>
        <v>-4.2793003112735151E-2</v>
      </c>
    </row>
    <row r="13" spans="2:3" x14ac:dyDescent="0.3">
      <c r="B13" s="14"/>
      <c r="C13" s="44"/>
    </row>
    <row r="14" spans="2:3" x14ac:dyDescent="0.3">
      <c r="B14" s="38" t="s">
        <v>151</v>
      </c>
      <c r="C14" s="42">
        <v>3.1E-2</v>
      </c>
    </row>
    <row r="15" spans="2:3" x14ac:dyDescent="0.3">
      <c r="B15" s="38" t="s">
        <v>152</v>
      </c>
      <c r="C15" s="42">
        <v>7.8E-2</v>
      </c>
    </row>
    <row r="16" spans="2:3" x14ac:dyDescent="0.3">
      <c r="B16" s="38" t="s">
        <v>153</v>
      </c>
      <c r="C16" s="41">
        <f>C15-C14</f>
        <v>4.7E-2</v>
      </c>
    </row>
    <row r="17" spans="2:3" x14ac:dyDescent="0.3">
      <c r="B17" s="38" t="s">
        <v>154</v>
      </c>
      <c r="C17" s="45">
        <v>0.7</v>
      </c>
    </row>
    <row r="18" spans="2:3" x14ac:dyDescent="0.3">
      <c r="B18" s="38" t="s">
        <v>155</v>
      </c>
    </row>
    <row r="19" spans="2:3" x14ac:dyDescent="0.3">
      <c r="B19" s="30" t="s">
        <v>156</v>
      </c>
      <c r="C19" s="43">
        <f>C14+C17*(C16)</f>
        <v>6.3899999999999998E-2</v>
      </c>
    </row>
    <row r="20" spans="2:3" x14ac:dyDescent="0.3">
      <c r="B20" s="38"/>
      <c r="C20" s="38"/>
    </row>
    <row r="21" spans="2:3" x14ac:dyDescent="0.3">
      <c r="B21" s="16" t="s">
        <v>157</v>
      </c>
      <c r="C21" s="46">
        <f>C12*C11+C19</f>
        <v>5.8718897573284828E-2</v>
      </c>
    </row>
  </sheetData>
  <mergeCells count="1">
    <mergeCell ref="B5:C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3564-3E5E-4A72-851D-63A0BAE49C35}">
  <dimension ref="D4:M24"/>
  <sheetViews>
    <sheetView tabSelected="1" workbookViewId="0">
      <selection activeCell="R24" sqref="R24"/>
    </sheetView>
  </sheetViews>
  <sheetFormatPr defaultRowHeight="14.4" x14ac:dyDescent="0.3"/>
  <cols>
    <col min="4" max="4" width="23.109375" customWidth="1"/>
    <col min="5" max="5" width="11" customWidth="1"/>
  </cols>
  <sheetData>
    <row r="4" spans="4:13" x14ac:dyDescent="0.3">
      <c r="D4" s="17" t="s">
        <v>170</v>
      </c>
      <c r="E4" s="17"/>
      <c r="F4" s="17"/>
      <c r="G4" s="17"/>
      <c r="H4" s="17"/>
      <c r="I4" s="17"/>
      <c r="J4" s="17"/>
      <c r="K4" s="17"/>
      <c r="L4" s="17"/>
      <c r="M4" s="17"/>
    </row>
    <row r="5" spans="4:13" x14ac:dyDescent="0.3"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4:13" x14ac:dyDescent="0.3">
      <c r="D6" t="s">
        <v>173</v>
      </c>
      <c r="F6" s="19">
        <f>'Free Cash Flows'!D4</f>
        <v>45100</v>
      </c>
      <c r="G6" s="19">
        <f>'Free Cash Flows'!E4</f>
        <v>45192</v>
      </c>
      <c r="H6" s="19">
        <f>'Free Cash Flows'!F4</f>
        <v>45283</v>
      </c>
      <c r="I6" s="19">
        <f>'Free Cash Flows'!G4</f>
        <v>45375</v>
      </c>
      <c r="J6" s="19">
        <f>'Free Cash Flows'!H4</f>
        <v>45467</v>
      </c>
      <c r="K6" s="19">
        <f>'Free Cash Flows'!I4</f>
        <v>45559</v>
      </c>
      <c r="L6" s="19">
        <f>'Free Cash Flows'!J4</f>
        <v>45650</v>
      </c>
      <c r="M6" s="19"/>
    </row>
    <row r="7" spans="4:13" x14ac:dyDescent="0.3">
      <c r="D7" s="12" t="s">
        <v>124</v>
      </c>
      <c r="E7" s="40"/>
      <c r="F7" s="40">
        <f>'Free Cash Flows'!D22</f>
        <v>15633</v>
      </c>
      <c r="G7" s="40">
        <f>'Free Cash Flows'!E22</f>
        <v>18144</v>
      </c>
      <c r="H7" s="40">
        <f>'Free Cash Flows'!F22</f>
        <v>43007.430588526346</v>
      </c>
      <c r="I7" s="40">
        <f>'Free Cash Flows'!G22</f>
        <v>98099.230448375616</v>
      </c>
      <c r="J7" s="40">
        <f>'Free Cash Flows'!H22</f>
        <v>203331.51743463805</v>
      </c>
      <c r="K7" s="40">
        <f>'Free Cash Flows'!I22</f>
        <v>401795.58046805981</v>
      </c>
      <c r="L7" s="40">
        <f>'Free Cash Flows'!J22</f>
        <v>776271.88138629624</v>
      </c>
      <c r="M7" s="40"/>
    </row>
    <row r="8" spans="4:13" x14ac:dyDescent="0.3">
      <c r="D8" s="12" t="s">
        <v>171</v>
      </c>
      <c r="H8">
        <v>1</v>
      </c>
      <c r="I8" s="12">
        <v>2</v>
      </c>
      <c r="J8">
        <v>3</v>
      </c>
      <c r="K8" s="12">
        <v>4</v>
      </c>
      <c r="L8">
        <v>5</v>
      </c>
      <c r="M8" s="12"/>
    </row>
    <row r="9" spans="4:13" x14ac:dyDescent="0.3">
      <c r="D9" s="30" t="s">
        <v>172</v>
      </c>
      <c r="E9" s="30"/>
      <c r="F9" s="30"/>
      <c r="G9" s="30"/>
      <c r="H9" s="30">
        <f>H7/(1+E$15)^H8</f>
        <v>40622.143127042233</v>
      </c>
      <c r="I9" s="30">
        <f t="shared" ref="I9:L9" si="0">I7/(1+F$15)^I8</f>
        <v>98099.230448375616</v>
      </c>
      <c r="J9" s="30">
        <f t="shared" si="0"/>
        <v>203331.51743463805</v>
      </c>
      <c r="K9" s="30">
        <f t="shared" si="0"/>
        <v>401795.58046805981</v>
      </c>
      <c r="L9" s="30">
        <f t="shared" si="0"/>
        <v>776271.88138629624</v>
      </c>
      <c r="M9" s="52"/>
    </row>
    <row r="12" spans="4:13" x14ac:dyDescent="0.3">
      <c r="D12" s="36" t="s">
        <v>158</v>
      </c>
      <c r="E12" s="37"/>
    </row>
    <row r="13" spans="4:13" x14ac:dyDescent="0.3">
      <c r="D13" s="38" t="s">
        <v>159</v>
      </c>
      <c r="E13" s="40">
        <f>SUM(F7:M7)</f>
        <v>1556282.640325896</v>
      </c>
    </row>
    <row r="14" spans="4:13" x14ac:dyDescent="0.3">
      <c r="D14" s="38" t="s">
        <v>160</v>
      </c>
      <c r="E14" s="47">
        <v>0.03</v>
      </c>
    </row>
    <row r="15" spans="4:13" x14ac:dyDescent="0.3">
      <c r="D15" s="38" t="s">
        <v>157</v>
      </c>
      <c r="E15" s="41">
        <f>Wacc!C21</f>
        <v>5.8718897573284828E-2</v>
      </c>
    </row>
    <row r="16" spans="4:13" x14ac:dyDescent="0.3">
      <c r="D16" s="38" t="s">
        <v>161</v>
      </c>
      <c r="E16" s="40">
        <f>L9*(1+E14)/(E15-E14)</f>
        <v>27840902.868488226</v>
      </c>
    </row>
    <row r="17" spans="4:6" x14ac:dyDescent="0.3">
      <c r="D17" s="38" t="s">
        <v>162</v>
      </c>
      <c r="E17" s="40">
        <f>E16/(1+E15)^L8</f>
        <v>20930518.633220676</v>
      </c>
      <c r="F17" s="40"/>
    </row>
    <row r="18" spans="4:6" x14ac:dyDescent="0.3">
      <c r="D18" s="38" t="s">
        <v>163</v>
      </c>
      <c r="E18" s="40">
        <f>E17+E13</f>
        <v>22486801.273546573</v>
      </c>
    </row>
    <row r="19" spans="4:6" x14ac:dyDescent="0.3">
      <c r="D19" s="15" t="s">
        <v>164</v>
      </c>
      <c r="E19" s="40">
        <f>'BALANCE SHEETS'!C6</f>
        <v>48688</v>
      </c>
    </row>
    <row r="20" spans="4:6" x14ac:dyDescent="0.3">
      <c r="D20" s="15" t="s">
        <v>165</v>
      </c>
      <c r="E20" s="40">
        <f>Wacc!C7</f>
        <v>29556</v>
      </c>
    </row>
    <row r="21" spans="4:6" x14ac:dyDescent="0.3">
      <c r="D21" s="15" t="s">
        <v>166</v>
      </c>
      <c r="E21" s="40">
        <f>'[1]Balance Sheet'!H38</f>
        <v>0</v>
      </c>
    </row>
    <row r="22" spans="4:6" x14ac:dyDescent="0.3">
      <c r="D22" s="48" t="s">
        <v>167</v>
      </c>
      <c r="E22" s="49">
        <f>E18+E19-E20-E21</f>
        <v>22505933.273546573</v>
      </c>
    </row>
    <row r="23" spans="4:6" x14ac:dyDescent="0.3">
      <c r="D23" s="38" t="s">
        <v>168</v>
      </c>
      <c r="E23" s="50">
        <v>444.346</v>
      </c>
    </row>
    <row r="24" spans="4:6" x14ac:dyDescent="0.3">
      <c r="D24" s="16" t="s">
        <v>169</v>
      </c>
      <c r="E24" s="51">
        <f>E22/E23</f>
        <v>50649.568744956799</v>
      </c>
    </row>
  </sheetData>
  <mergeCells count="1">
    <mergeCell ref="D12:E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STATEMENTS</vt:lpstr>
      <vt:lpstr>BALANCE SHEETS</vt:lpstr>
      <vt:lpstr>CASH FLOWS STATEMENTS</vt:lpstr>
      <vt:lpstr>STOCKHOLDERS' EQUITY STATEMENTS</vt:lpstr>
      <vt:lpstr>Free Cash Flows</vt:lpstr>
      <vt:lpstr>Net working Capital</vt:lpstr>
      <vt:lpstr>Wacc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 SRIKAR</cp:lastModifiedBy>
  <dcterms:created xsi:type="dcterms:W3CDTF">2023-10-24T20:07:08Z</dcterms:created>
  <dcterms:modified xsi:type="dcterms:W3CDTF">2024-05-29T06:14:47Z</dcterms:modified>
</cp:coreProperties>
</file>