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 Srikar\Desktop\models\"/>
    </mc:Choice>
  </mc:AlternateContent>
  <xr:revisionPtr revIDLastSave="0" documentId="13_ncr:1_{BC71C1FF-E380-4D34-8168-F49D43432D17}" xr6:coauthVersionLast="47" xr6:coauthVersionMax="47" xr10:uidLastSave="{00000000-0000-0000-0000-000000000000}"/>
  <bookViews>
    <workbookView xWindow="-108" yWindow="-108" windowWidth="23256" windowHeight="12456" activeTab="2" xr2:uid="{5C38BCA2-7840-43CB-A146-C59BFE38D389}"/>
  </bookViews>
  <sheets>
    <sheet name="Main" sheetId="1" r:id="rId1"/>
    <sheet name="Model" sheetId="2" r:id="rId2"/>
    <sheet name="Revenu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3" l="1"/>
  <c r="K27" i="3"/>
  <c r="J27" i="3"/>
  <c r="I27" i="3"/>
  <c r="H27" i="3"/>
  <c r="G27" i="3"/>
  <c r="J19" i="3"/>
  <c r="I19" i="3"/>
  <c r="H19" i="3"/>
  <c r="G19" i="3"/>
  <c r="F19" i="3"/>
  <c r="E19" i="3"/>
  <c r="D19" i="3"/>
  <c r="C19" i="3"/>
  <c r="K19" i="3"/>
  <c r="L19" i="3"/>
  <c r="M19" i="3"/>
  <c r="X4" i="2"/>
  <c r="Y4" i="2" s="1"/>
  <c r="Z4" i="2" s="1"/>
  <c r="AA4" i="2" s="1"/>
  <c r="W4" i="2"/>
  <c r="T4" i="2"/>
  <c r="U4" i="2" s="1"/>
  <c r="V4" i="2" s="1"/>
  <c r="S4" i="2"/>
  <c r="S11" i="2"/>
  <c r="T11" i="2" s="1"/>
  <c r="U11" i="2" s="1"/>
  <c r="V11" i="2" s="1"/>
  <c r="W11" i="2" s="1"/>
  <c r="X11" i="2" s="1"/>
  <c r="Y11" i="2" s="1"/>
  <c r="Z11" i="2" s="1"/>
  <c r="AA11" i="2" s="1"/>
  <c r="S13" i="2" l="1"/>
  <c r="T13" i="2" s="1"/>
  <c r="U13" i="2" s="1"/>
  <c r="V13" i="2" s="1"/>
  <c r="W13" i="2" s="1"/>
  <c r="X13" i="2" s="1"/>
  <c r="Y13" i="2" s="1"/>
  <c r="Z13" i="2" s="1"/>
  <c r="AA13" i="2" s="1"/>
  <c r="S12" i="2"/>
  <c r="T12" i="2" s="1"/>
  <c r="U12" i="2" s="1"/>
  <c r="V12" i="2" s="1"/>
  <c r="W12" i="2" s="1"/>
  <c r="X12" i="2" s="1"/>
  <c r="Y12" i="2" s="1"/>
  <c r="Z12" i="2" s="1"/>
  <c r="AA12" i="2" s="1"/>
  <c r="S5" i="2"/>
  <c r="T5" i="2" s="1"/>
  <c r="U5" i="2" s="1"/>
  <c r="V5" i="2" s="1"/>
  <c r="W5" i="2" s="1"/>
  <c r="X5" i="2" s="1"/>
  <c r="Y5" i="2" s="1"/>
  <c r="Z5" i="2" s="1"/>
  <c r="AA5" i="2" s="1"/>
  <c r="T2" i="2"/>
  <c r="U2" i="2" s="1"/>
  <c r="V2" i="2" s="1"/>
  <c r="W2" i="2" s="1"/>
  <c r="X2" i="2" s="1"/>
  <c r="Y2" i="2" s="1"/>
  <c r="Z2" i="2" s="1"/>
  <c r="AA2" i="2" s="1"/>
  <c r="H13" i="2"/>
  <c r="G13" i="2"/>
  <c r="H6" i="2"/>
  <c r="H25" i="2" s="1"/>
  <c r="G6" i="2"/>
  <c r="G24" i="2" s="1"/>
  <c r="C13" i="2"/>
  <c r="C6" i="2"/>
  <c r="C14" i="2" s="1"/>
  <c r="C18" i="2" s="1"/>
  <c r="D13" i="2"/>
  <c r="D6" i="2"/>
  <c r="D14" i="2" s="1"/>
  <c r="D18" i="2" s="1"/>
  <c r="T19" i="3"/>
  <c r="S19" i="3"/>
  <c r="S29" i="3" s="1"/>
  <c r="R19" i="3"/>
  <c r="R29" i="3" s="1"/>
  <c r="S2" i="3"/>
  <c r="T2" i="3" s="1"/>
  <c r="L18" i="2"/>
  <c r="L25" i="2"/>
  <c r="L24" i="2"/>
  <c r="J24" i="2"/>
  <c r="M6" i="2"/>
  <c r="M14" i="2" s="1"/>
  <c r="M18" i="2" s="1"/>
  <c r="M13" i="2"/>
  <c r="L13" i="2"/>
  <c r="L14" i="2" s="1"/>
  <c r="K13" i="2"/>
  <c r="J13" i="2"/>
  <c r="J14" i="2" s="1"/>
  <c r="J18" i="2" s="1"/>
  <c r="I13" i="2"/>
  <c r="F13" i="2"/>
  <c r="E13" i="2"/>
  <c r="L6" i="2"/>
  <c r="L22" i="2" s="1"/>
  <c r="L23" i="2" s="1"/>
  <c r="K6" i="2"/>
  <c r="K24" i="2" s="1"/>
  <c r="J6" i="2"/>
  <c r="I6" i="2"/>
  <c r="I25" i="2" s="1"/>
  <c r="F6" i="2"/>
  <c r="J27" i="2" s="1"/>
  <c r="E6" i="2"/>
  <c r="I27" i="2" s="1"/>
  <c r="R25" i="2"/>
  <c r="T25" i="3"/>
  <c r="S25" i="3"/>
  <c r="R25" i="3"/>
  <c r="R54" i="2"/>
  <c r="Q54" i="2"/>
  <c r="P54" i="2"/>
  <c r="O54" i="2"/>
  <c r="T17" i="3"/>
  <c r="S17" i="3"/>
  <c r="T16" i="3"/>
  <c r="S16" i="3"/>
  <c r="T15" i="3"/>
  <c r="S15" i="3"/>
  <c r="T6" i="3"/>
  <c r="S6" i="3"/>
  <c r="R6" i="3"/>
  <c r="Q6" i="3"/>
  <c r="P6" i="3"/>
  <c r="O53" i="2"/>
  <c r="O42" i="2"/>
  <c r="O31" i="2"/>
  <c r="O36" i="2"/>
  <c r="O35" i="2"/>
  <c r="P53" i="2"/>
  <c r="P42" i="2"/>
  <c r="P31" i="2"/>
  <c r="P36" i="2"/>
  <c r="P35" i="2"/>
  <c r="P6" i="2"/>
  <c r="P22" i="2" s="1"/>
  <c r="P23" i="2" s="1"/>
  <c r="P13" i="2"/>
  <c r="O13" i="2"/>
  <c r="O6" i="2"/>
  <c r="O22" i="2" s="1"/>
  <c r="O23" i="2" s="1"/>
  <c r="Q53" i="2"/>
  <c r="R53" i="2"/>
  <c r="P2" i="2"/>
  <c r="O2" i="2" s="1"/>
  <c r="Q42" i="2"/>
  <c r="R42" i="2"/>
  <c r="R40" i="2"/>
  <c r="Q40" i="2"/>
  <c r="Q31" i="2"/>
  <c r="Q36" i="2"/>
  <c r="R36" i="2"/>
  <c r="R31" i="2"/>
  <c r="Q35" i="2"/>
  <c r="R37" i="2"/>
  <c r="Q37" i="2"/>
  <c r="Q13" i="2"/>
  <c r="Q6" i="2"/>
  <c r="Q22" i="2" s="1"/>
  <c r="Q23" i="2" s="1"/>
  <c r="R13" i="2"/>
  <c r="R6" i="2"/>
  <c r="R22" i="2" s="1"/>
  <c r="R23" i="2" s="1"/>
  <c r="M7" i="1"/>
  <c r="M6" i="1"/>
  <c r="M5" i="1"/>
  <c r="M4" i="1"/>
  <c r="T29" i="3" l="1"/>
  <c r="U19" i="3"/>
  <c r="U29" i="3" s="1"/>
  <c r="P26" i="2"/>
  <c r="Q26" i="2"/>
  <c r="Q25" i="2"/>
  <c r="O26" i="2"/>
  <c r="R26" i="2"/>
  <c r="M24" i="2"/>
  <c r="P24" i="2"/>
  <c r="M25" i="2"/>
  <c r="M27" i="2"/>
  <c r="S6" i="2"/>
  <c r="S9" i="2" s="1"/>
  <c r="O25" i="2"/>
  <c r="M22" i="2"/>
  <c r="M23" i="2" s="1"/>
  <c r="P25" i="2"/>
  <c r="AA6" i="2"/>
  <c r="AA8" i="2" s="1"/>
  <c r="Y6" i="2"/>
  <c r="Z6" i="2"/>
  <c r="V6" i="2"/>
  <c r="W6" i="2"/>
  <c r="T6" i="2"/>
  <c r="U6" i="2"/>
  <c r="X6" i="2"/>
  <c r="F14" i="2"/>
  <c r="F18" i="2" s="1"/>
  <c r="E14" i="2"/>
  <c r="E18" i="2" s="1"/>
  <c r="G14" i="2"/>
  <c r="G18" i="2" s="1"/>
  <c r="H27" i="2"/>
  <c r="H14" i="2"/>
  <c r="H18" i="2" s="1"/>
  <c r="H22" i="2"/>
  <c r="H23" i="2" s="1"/>
  <c r="H24" i="2"/>
  <c r="L27" i="2"/>
  <c r="G27" i="2"/>
  <c r="G25" i="2"/>
  <c r="G22" i="2"/>
  <c r="G23" i="2" s="1"/>
  <c r="K27" i="2"/>
  <c r="J22" i="2"/>
  <c r="J23" i="2" s="1"/>
  <c r="J25" i="2"/>
  <c r="K25" i="2"/>
  <c r="K14" i="2"/>
  <c r="K18" i="2" s="1"/>
  <c r="K22" i="2"/>
  <c r="K23" i="2" s="1"/>
  <c r="I24" i="2"/>
  <c r="I22" i="2"/>
  <c r="I23" i="2" s="1"/>
  <c r="I14" i="2"/>
  <c r="I18" i="2" s="1"/>
  <c r="O24" i="2"/>
  <c r="Q24" i="2"/>
  <c r="R24" i="2"/>
  <c r="O14" i="2"/>
  <c r="O18" i="2" s="1"/>
  <c r="P27" i="2"/>
  <c r="R27" i="2"/>
  <c r="Q27" i="2"/>
  <c r="P14" i="2"/>
  <c r="P18" i="2" s="1"/>
  <c r="Q14" i="2"/>
  <c r="Q18" i="2" s="1"/>
  <c r="Q20" i="2" s="1"/>
  <c r="R14" i="2"/>
  <c r="R18" i="2" s="1"/>
  <c r="R20" i="2" s="1"/>
  <c r="AA14" i="2" l="1"/>
  <c r="W9" i="2"/>
  <c r="W10" i="2"/>
  <c r="W25" i="2" s="1"/>
  <c r="W7" i="2"/>
  <c r="W24" i="2" s="1"/>
  <c r="S10" i="2"/>
  <c r="S25" i="2" s="1"/>
  <c r="S7" i="2"/>
  <c r="S24" i="2" s="1"/>
  <c r="X7" i="2"/>
  <c r="X24" i="2" s="1"/>
  <c r="X10" i="2"/>
  <c r="X25" i="2" s="1"/>
  <c r="X9" i="2"/>
  <c r="U9" i="2"/>
  <c r="U10" i="2"/>
  <c r="U25" i="2" s="1"/>
  <c r="U7" i="2"/>
  <c r="U24" i="2" s="1"/>
  <c r="V10" i="2"/>
  <c r="V25" i="2" s="1"/>
  <c r="V9" i="2"/>
  <c r="V7" i="2"/>
  <c r="V24" i="2" s="1"/>
  <c r="Z10" i="2"/>
  <c r="Z25" i="2" s="1"/>
  <c r="Z7" i="2"/>
  <c r="Z9" i="2"/>
  <c r="Y10" i="2"/>
  <c r="Y7" i="2"/>
  <c r="Y9" i="2"/>
  <c r="T7" i="2"/>
  <c r="T24" i="2" s="1"/>
  <c r="T10" i="2"/>
  <c r="T25" i="2" s="1"/>
  <c r="T9" i="2"/>
  <c r="AA10" i="2"/>
  <c r="AA9" i="2"/>
  <c r="AA7" i="2"/>
  <c r="AA24" i="2" s="1"/>
  <c r="S14" i="2"/>
  <c r="S15" i="2"/>
  <c r="S26" i="2" s="1"/>
  <c r="S27" i="2"/>
  <c r="U15" i="2"/>
  <c r="U26" i="2" s="1"/>
  <c r="U27" i="2"/>
  <c r="T27" i="2"/>
  <c r="T15" i="2"/>
  <c r="T26" i="2" s="1"/>
  <c r="Z15" i="2"/>
  <c r="Z26" i="2" s="1"/>
  <c r="Z27" i="2"/>
  <c r="Y27" i="2"/>
  <c r="Y25" i="2"/>
  <c r="Y15" i="2"/>
  <c r="Y26" i="2" s="1"/>
  <c r="X27" i="2"/>
  <c r="X15" i="2"/>
  <c r="X26" i="2" s="1"/>
  <c r="W15" i="2"/>
  <c r="W26" i="2" s="1"/>
  <c r="W27" i="2"/>
  <c r="V27" i="2"/>
  <c r="V15" i="2"/>
  <c r="V26" i="2" s="1"/>
  <c r="AA15" i="2"/>
  <c r="AA26" i="2" s="1"/>
  <c r="AA25" i="2"/>
  <c r="AA27" i="2"/>
  <c r="S8" i="2"/>
  <c r="Z24" i="2"/>
  <c r="Z14" i="2"/>
  <c r="Z16" i="2" s="1"/>
  <c r="Z8" i="2"/>
  <c r="Y24" i="2"/>
  <c r="Y14" i="2"/>
  <c r="Y8" i="2"/>
  <c r="X14" i="2"/>
  <c r="X16" i="2" s="1"/>
  <c r="X8" i="2"/>
  <c r="U14" i="2"/>
  <c r="U8" i="2"/>
  <c r="T14" i="2"/>
  <c r="T16" i="2" s="1"/>
  <c r="T8" i="2"/>
  <c r="W14" i="2"/>
  <c r="W16" i="2" s="1"/>
  <c r="W8" i="2"/>
  <c r="V8" i="2"/>
  <c r="V14" i="2"/>
  <c r="V16" i="2" l="1"/>
  <c r="S16" i="2"/>
  <c r="Y16" i="2"/>
  <c r="Z17" i="2"/>
  <c r="Z18" i="2" s="1"/>
  <c r="V17" i="2"/>
  <c r="V18" i="2" s="1"/>
  <c r="U16" i="2"/>
  <c r="X17" i="2"/>
  <c r="X18" i="2" s="1"/>
  <c r="W17" i="2"/>
  <c r="W18" i="2" s="1"/>
  <c r="T17" i="2"/>
  <c r="T18" i="2" s="1"/>
  <c r="AA16" i="2"/>
  <c r="S22" i="2"/>
  <c r="S23" i="2" s="1"/>
  <c r="AA22" i="2"/>
  <c r="AA23" i="2" s="1"/>
  <c r="T22" i="2"/>
  <c r="T23" i="2" s="1"/>
  <c r="U22" i="2"/>
  <c r="U23" i="2" s="1"/>
  <c r="X22" i="2"/>
  <c r="X23" i="2" s="1"/>
  <c r="V22" i="2"/>
  <c r="V23" i="2" s="1"/>
  <c r="Y22" i="2"/>
  <c r="Y23" i="2" s="1"/>
  <c r="W22" i="2"/>
  <c r="W23" i="2" s="1"/>
  <c r="Z22" i="2"/>
  <c r="Z23" i="2" s="1"/>
  <c r="U17" i="2" l="1"/>
  <c r="U18" i="2" s="1"/>
  <c r="Y17" i="2"/>
  <c r="Y18" i="2" s="1"/>
  <c r="AA17" i="2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S17" i="2"/>
  <c r="S18" i="2" s="1"/>
  <c r="AG24" i="2" l="1"/>
  <c r="AA3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Mani Srikar</author>
  </authors>
  <commentList>
    <comment ref="L18" authorId="0" shapeId="0" xr:uid="{03F016E5-D517-4E1B-BB5A-B7249D478A1F}">
      <text>
        <r>
          <rPr>
            <b/>
            <sz val="9"/>
            <color indexed="81"/>
            <rFont val="Tahoma"/>
            <family val="2"/>
          </rPr>
          <t>Mani Srikar:</t>
        </r>
        <r>
          <rPr>
            <sz val="9"/>
            <color indexed="81"/>
            <rFont val="Tahoma"/>
            <family val="2"/>
          </rPr>
          <t xml:space="preserve">
sale of Movie Business to Zomato for 2180 cr cash
</t>
        </r>
      </text>
    </comment>
  </commentList>
</comments>
</file>

<file path=xl/sharedStrings.xml><?xml version="1.0" encoding="utf-8"?>
<sst xmlns="http://schemas.openxmlformats.org/spreadsheetml/2006/main" count="105" uniqueCount="90">
  <si>
    <t>Price</t>
  </si>
  <si>
    <t>Shares</t>
  </si>
  <si>
    <t>Mc</t>
  </si>
  <si>
    <t>Cash</t>
  </si>
  <si>
    <t>Debt</t>
  </si>
  <si>
    <t>Ev</t>
  </si>
  <si>
    <t>Operations</t>
  </si>
  <si>
    <t>others</t>
  </si>
  <si>
    <t>Revenue</t>
  </si>
  <si>
    <t>Cogs</t>
  </si>
  <si>
    <t>Marketing</t>
  </si>
  <si>
    <t>software &amp; Cloud Expenses</t>
  </si>
  <si>
    <t xml:space="preserve">Employees Benefits </t>
  </si>
  <si>
    <t>D&amp;A</t>
  </si>
  <si>
    <t>Financing (Intrest)</t>
  </si>
  <si>
    <t>Expenses</t>
  </si>
  <si>
    <t>Taxes</t>
  </si>
  <si>
    <t>Net income</t>
  </si>
  <si>
    <t>Eps</t>
  </si>
  <si>
    <t>PP&amp;E</t>
  </si>
  <si>
    <t>right use of Assets</t>
  </si>
  <si>
    <t>Intagibles</t>
  </si>
  <si>
    <t>Investments(own &amp;Subsideries)</t>
  </si>
  <si>
    <t>Total Non currents assets</t>
  </si>
  <si>
    <t>https://ir.paytm.com/</t>
  </si>
  <si>
    <t>Accounts Receivable</t>
  </si>
  <si>
    <t>Cuurent Assets</t>
  </si>
  <si>
    <t>Assets</t>
  </si>
  <si>
    <t>Accounts  Payable</t>
  </si>
  <si>
    <t>Other Financial Liabilities</t>
  </si>
  <si>
    <t>Total liabilities</t>
  </si>
  <si>
    <t>Equity</t>
  </si>
  <si>
    <t>Revenue(y/y)</t>
  </si>
  <si>
    <t>operating Income</t>
  </si>
  <si>
    <t>CFFO</t>
  </si>
  <si>
    <t>CFFI</t>
  </si>
  <si>
    <t>CFFF</t>
  </si>
  <si>
    <t>CAPex</t>
  </si>
  <si>
    <t>FCF</t>
  </si>
  <si>
    <t>Main Assets</t>
  </si>
  <si>
    <t>Servers, networking Equipment , vehicles , office fitting</t>
  </si>
  <si>
    <t>Plant &amp; Machinery</t>
  </si>
  <si>
    <t>EDC/Pos Machines</t>
  </si>
  <si>
    <t>Soundboxes</t>
  </si>
  <si>
    <t>shares</t>
  </si>
  <si>
    <t>Net income(%)</t>
  </si>
  <si>
    <t xml:space="preserve"> Other Financial Assets</t>
  </si>
  <si>
    <t>Q3-24</t>
  </si>
  <si>
    <t>Q2-24</t>
  </si>
  <si>
    <t>Q1-24</t>
  </si>
  <si>
    <t>Q4-23</t>
  </si>
  <si>
    <t>Q3-23</t>
  </si>
  <si>
    <t>Q2-23</t>
  </si>
  <si>
    <t>Q1-23</t>
  </si>
  <si>
    <t>Q4-22</t>
  </si>
  <si>
    <t>Q3-22</t>
  </si>
  <si>
    <t>Q2-22</t>
  </si>
  <si>
    <t>Q1-22</t>
  </si>
  <si>
    <t>Operations Breakdown</t>
  </si>
  <si>
    <t>Marketing Services</t>
  </si>
  <si>
    <t>As of March 2024, we have a total of 1.2 million activated cards with SBI Card, HDFC Bank and Kotak Bank. We generate upfront revenue on card activation and receive a portion of the interchange fee</t>
  </si>
  <si>
    <t>for the lifetime of the card. We see a strong runway for growth in this business, especially given the upsell potential to payments and loan distribution consumers.</t>
  </si>
  <si>
    <t>Financial Sercvices(loans )</t>
  </si>
  <si>
    <t xml:space="preserve"> Payment services</t>
  </si>
  <si>
    <t>Revenue Breakdown</t>
  </si>
  <si>
    <t>Cash EOY</t>
  </si>
  <si>
    <t>Revenue from Operations(cr)</t>
  </si>
  <si>
    <t>Payments Services (Consumers)</t>
  </si>
  <si>
    <t>PaymentsServices(Merchants)</t>
  </si>
  <si>
    <t>Financial Servics</t>
  </si>
  <si>
    <t>Others</t>
  </si>
  <si>
    <t>Total Operating revenue</t>
  </si>
  <si>
    <t>Gross Margin</t>
  </si>
  <si>
    <t>Gross Margin(%)</t>
  </si>
  <si>
    <t>COGS(%)</t>
  </si>
  <si>
    <t>Employee Benefits(%)</t>
  </si>
  <si>
    <t xml:space="preserve"> Payment services cr</t>
  </si>
  <si>
    <t>Financial Sercvices(loans )   cr</t>
  </si>
  <si>
    <t>Marketing Services  cr</t>
  </si>
  <si>
    <t>Registered Devices (Cr)</t>
  </si>
  <si>
    <t>Registered Merchants (Cr)</t>
  </si>
  <si>
    <t>Average Monthly transactions users cr</t>
  </si>
  <si>
    <t>Merchant Transactions cr</t>
  </si>
  <si>
    <t>Marketing Services cr</t>
  </si>
  <si>
    <t>D&amp;A (%)</t>
  </si>
  <si>
    <t>Discount</t>
  </si>
  <si>
    <t>Growth</t>
  </si>
  <si>
    <t>NPV</t>
  </si>
  <si>
    <t>Average Monthly Transactions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</si>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</sst>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1" fillId="0" borderId="0" xfId="0" applyNumberFormat="1" applyFont="1"/>
    <xf numFmtId="2" fontId="2" fillId="0" borderId="0" xfId="0" applyNumberFormat="1" applyFont="1"/>
    <xf numFmtId="0" fontId="3" fillId="0" borderId="0" xfId="0" applyFont="1"/>
    <xf numFmtId="0" fontId="3" fillId="0" borderId="0" xfId="0" quotePrefix="1" applyFont="1" applyAlignment="1">
      <alignment horizontal="left"/>
    </xf>
    <xf numFmtId="16" fontId="2" fillId="0" borderId="0" xfId="0" applyNumberFormat="1" applyFont="1"/>
    <xf numFmtId="0" fontId="5" fillId="0" borderId="0" xfId="1" applyFont="1"/>
    <xf numFmtId="10" fontId="3" fillId="0" borderId="0" xfId="0" applyNumberFormat="1" applyFont="1"/>
    <xf numFmtId="0" fontId="6" fillId="0" borderId="0" xfId="0" quotePrefix="1" applyFont="1" applyAlignment="1">
      <alignment horizontal="left"/>
    </xf>
    <xf numFmtId="0" fontId="2" fillId="0" borderId="0" xfId="0" quotePrefix="1" applyFont="1" applyAlignment="1">
      <alignment horizontal="left"/>
    </xf>
    <xf numFmtId="164" fontId="6" fillId="2" borderId="0" xfId="0" applyNumberFormat="1" applyFont="1" applyFill="1"/>
    <xf numFmtId="0" fontId="3" fillId="2" borderId="0" xfId="0" applyFont="1" applyFill="1"/>
    <xf numFmtId="0" fontId="3" fillId="2" borderId="0" xfId="0" quotePrefix="1" applyFont="1" applyFill="1" applyAlignment="1">
      <alignment horizontal="left"/>
    </xf>
    <xf numFmtId="164" fontId="3" fillId="2" borderId="0" xfId="0" applyNumberFormat="1" applyFont="1" applyFill="1"/>
    <xf numFmtId="0" fontId="6" fillId="2" borderId="0" xfId="0" applyFont="1" applyFill="1"/>
    <xf numFmtId="9" fontId="3" fillId="2" borderId="0" xfId="0" applyNumberFormat="1" applyFont="1" applyFill="1"/>
    <xf numFmtId="10" fontId="3" fillId="2" borderId="0" xfId="0" applyNumberFormat="1" applyFont="1" applyFill="1"/>
    <xf numFmtId="8" fontId="3" fillId="2" borderId="0" xfId="0" applyNumberFormat="1" applyFont="1" applyFill="1"/>
    <xf numFmtId="10" fontId="6" fillId="2" borderId="0" xfId="0" applyNumberFormat="1" applyFont="1" applyFill="1"/>
    <xf numFmtId="0" fontId="3" fillId="2" borderId="0" xfId="0" quotePrefix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8" fontId="3" fillId="2" borderId="0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paytm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35F4C-5799-4B17-91C3-D858A56E08C9}">
  <dimension ref="A1:O13"/>
  <sheetViews>
    <sheetView workbookViewId="0">
      <selection activeCell="E15" sqref="E15"/>
    </sheetView>
  </sheetViews>
  <sheetFormatPr defaultRowHeight="15" x14ac:dyDescent="0.25"/>
  <cols>
    <col min="1" max="12" width="8.88671875" style="1"/>
    <col min="13" max="13" width="17.77734375" style="1" customWidth="1"/>
    <col min="14" max="16384" width="8.88671875" style="1"/>
  </cols>
  <sheetData>
    <row r="1" spans="1:15" ht="15.6" x14ac:dyDescent="0.3">
      <c r="J1" s="7"/>
    </row>
    <row r="2" spans="1:15" ht="15.6" x14ac:dyDescent="0.3">
      <c r="L2" s="1" t="s">
        <v>0</v>
      </c>
      <c r="M2" s="1">
        <v>840</v>
      </c>
      <c r="N2" s="6">
        <v>45759</v>
      </c>
      <c r="O2" s="7" t="s">
        <v>24</v>
      </c>
    </row>
    <row r="3" spans="1:15" x14ac:dyDescent="0.25">
      <c r="A3" s="1" t="s">
        <v>39</v>
      </c>
      <c r="L3" s="1" t="s">
        <v>1</v>
      </c>
      <c r="M3" s="2">
        <v>635413773</v>
      </c>
    </row>
    <row r="4" spans="1:15" x14ac:dyDescent="0.25">
      <c r="A4" s="1" t="s">
        <v>40</v>
      </c>
      <c r="L4" s="1" t="s">
        <v>2</v>
      </c>
      <c r="M4" s="3">
        <f>M2*M3/10000000</f>
        <v>53374.756931999997</v>
      </c>
    </row>
    <row r="5" spans="1:15" x14ac:dyDescent="0.25">
      <c r="A5" s="1" t="s">
        <v>41</v>
      </c>
      <c r="L5" s="1" t="s">
        <v>3</v>
      </c>
      <c r="M5" s="1">
        <f>3843.1+304.7+1647.2</f>
        <v>5795</v>
      </c>
    </row>
    <row r="6" spans="1:15" x14ac:dyDescent="0.25">
      <c r="A6" s="1" t="s">
        <v>42</v>
      </c>
      <c r="L6" s="1" t="s">
        <v>4</v>
      </c>
      <c r="M6" s="1">
        <f>24.9+1012.4</f>
        <v>1037.3</v>
      </c>
    </row>
    <row r="7" spans="1:15" x14ac:dyDescent="0.25">
      <c r="A7" s="1" t="s">
        <v>43</v>
      </c>
      <c r="L7" s="1" t="s">
        <v>5</v>
      </c>
      <c r="M7" s="3">
        <f>M4-M5+M6</f>
        <v>48617.056932</v>
      </c>
    </row>
    <row r="12" spans="1:15" x14ac:dyDescent="0.25">
      <c r="A12" s="1" t="s">
        <v>60</v>
      </c>
    </row>
    <row r="13" spans="1:15" x14ac:dyDescent="0.25">
      <c r="A13" s="1" t="s">
        <v>61</v>
      </c>
    </row>
  </sheetData>
  <hyperlinks>
    <hyperlink ref="O2" r:id="rId1" xr:uid="{EB7FD5FF-CEB7-43BE-865E-D26088974C9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1038-85A0-4D92-959C-C653F81C2FE9}">
  <dimension ref="A2:CP54"/>
  <sheetViews>
    <sheetView zoomScale="113" workbookViewId="0">
      <pane xSplit="2" ySplit="2" topLeftCell="J10" activePane="bottomRight" state="frozen"/>
      <selection pane="topRight" activeCell="C1" sqref="C1"/>
      <selection pane="bottomLeft" activeCell="A3" sqref="A3"/>
      <selection pane="bottomRight" activeCell="AE34" sqref="AE34"/>
    </sheetView>
  </sheetViews>
  <sheetFormatPr defaultRowHeight="17.399999999999999" x14ac:dyDescent="0.3"/>
  <cols>
    <col min="1" max="1" width="8.88671875" style="12" customWidth="1"/>
    <col min="2" max="2" width="27.44140625" style="12" customWidth="1"/>
    <col min="3" max="4" width="19.88671875" style="12" customWidth="1"/>
    <col min="5" max="13" width="16.33203125" style="12" customWidth="1"/>
    <col min="14" max="14" width="15.6640625" style="12" customWidth="1"/>
    <col min="15" max="16" width="15.21875" style="12" customWidth="1"/>
    <col min="17" max="18" width="10.6640625" style="12" bestFit="1" customWidth="1"/>
    <col min="19" max="26" width="11.21875" style="12" bestFit="1" customWidth="1"/>
    <col min="27" max="27" width="13.44140625" style="12" bestFit="1" customWidth="1"/>
    <col min="28" max="31" width="8.88671875" style="12"/>
    <col min="32" max="32" width="11.109375" style="12" customWidth="1"/>
    <col min="33" max="33" width="18.5546875" style="12" bestFit="1" customWidth="1"/>
    <col min="34" max="16384" width="8.88671875" style="12"/>
  </cols>
  <sheetData>
    <row r="2" spans="1:27" x14ac:dyDescent="0.3">
      <c r="C2" s="20" t="s">
        <v>57</v>
      </c>
      <c r="D2" s="20" t="s">
        <v>56</v>
      </c>
      <c r="E2" s="21" t="s">
        <v>55</v>
      </c>
      <c r="F2" s="21" t="s">
        <v>54</v>
      </c>
      <c r="G2" s="21" t="s">
        <v>53</v>
      </c>
      <c r="H2" s="21" t="s">
        <v>52</v>
      </c>
      <c r="I2" s="21" t="s">
        <v>51</v>
      </c>
      <c r="J2" s="21" t="s">
        <v>50</v>
      </c>
      <c r="K2" s="21" t="s">
        <v>49</v>
      </c>
      <c r="L2" s="21" t="s">
        <v>48</v>
      </c>
      <c r="M2" s="21" t="s">
        <v>47</v>
      </c>
      <c r="O2" s="12">
        <f t="shared" ref="O2" si="0">P2-1</f>
        <v>2021</v>
      </c>
      <c r="P2" s="12">
        <f>Q2-1</f>
        <v>2022</v>
      </c>
      <c r="Q2" s="12">
        <v>2023</v>
      </c>
      <c r="R2" s="12">
        <v>2024</v>
      </c>
      <c r="S2" s="12">
        <v>2025</v>
      </c>
      <c r="T2" s="12">
        <f>S2+1</f>
        <v>2026</v>
      </c>
      <c r="U2" s="12">
        <f t="shared" ref="U2:AA2" si="1">T2+1</f>
        <v>2027</v>
      </c>
      <c r="V2" s="12">
        <f t="shared" si="1"/>
        <v>2028</v>
      </c>
      <c r="W2" s="12">
        <f t="shared" si="1"/>
        <v>2029</v>
      </c>
      <c r="X2" s="12">
        <f t="shared" si="1"/>
        <v>2030</v>
      </c>
      <c r="Y2" s="12">
        <f t="shared" si="1"/>
        <v>2031</v>
      </c>
      <c r="Z2" s="12">
        <f t="shared" si="1"/>
        <v>2032</v>
      </c>
      <c r="AA2" s="12">
        <f t="shared" si="1"/>
        <v>2033</v>
      </c>
    </row>
    <row r="4" spans="1:27" x14ac:dyDescent="0.3">
      <c r="A4" s="12" t="s">
        <v>6</v>
      </c>
      <c r="C4" s="12">
        <v>1679.6</v>
      </c>
      <c r="D4" s="12">
        <v>1910.4</v>
      </c>
      <c r="E4" s="12">
        <v>2062.1999999999998</v>
      </c>
      <c r="F4" s="12">
        <v>1540.9</v>
      </c>
      <c r="G4" s="12">
        <v>2314.6</v>
      </c>
      <c r="H4" s="12">
        <v>2518.6</v>
      </c>
      <c r="I4" s="12">
        <v>2850.5</v>
      </c>
      <c r="J4" s="12">
        <v>2267.1</v>
      </c>
      <c r="K4" s="12">
        <v>1501.6</v>
      </c>
      <c r="L4" s="12">
        <v>1659.5</v>
      </c>
      <c r="M4" s="12">
        <v>1827.8</v>
      </c>
      <c r="O4" s="14">
        <v>2667.1</v>
      </c>
      <c r="P4" s="14">
        <v>3892.4</v>
      </c>
      <c r="Q4" s="14">
        <v>6027.7</v>
      </c>
      <c r="R4" s="14">
        <v>7660.8</v>
      </c>
      <c r="S4" s="14">
        <f>1.2*R4</f>
        <v>9192.9599999999991</v>
      </c>
      <c r="T4" s="14">
        <f t="shared" ref="T4:AA4" si="2">1.2*S4</f>
        <v>11031.551999999998</v>
      </c>
      <c r="U4" s="14">
        <f t="shared" si="2"/>
        <v>13237.862399999996</v>
      </c>
      <c r="V4" s="14">
        <f t="shared" si="2"/>
        <v>15885.434879999995</v>
      </c>
      <c r="W4" s="14">
        <f>1.1*V4</f>
        <v>17473.978367999996</v>
      </c>
      <c r="X4" s="14">
        <f t="shared" ref="X4:AA4" si="3">1.1*W4</f>
        <v>19221.376204799999</v>
      </c>
      <c r="Y4" s="14">
        <f t="shared" si="3"/>
        <v>21143.513825279999</v>
      </c>
      <c r="Z4" s="14">
        <f t="shared" si="3"/>
        <v>23257.865207808001</v>
      </c>
      <c r="AA4" s="14">
        <f t="shared" si="3"/>
        <v>25583.651728588804</v>
      </c>
    </row>
    <row r="5" spans="1:27" x14ac:dyDescent="0.3">
      <c r="A5" s="12" t="s">
        <v>7</v>
      </c>
      <c r="C5" s="12">
        <v>102</v>
      </c>
      <c r="D5" s="12">
        <v>99.6</v>
      </c>
      <c r="E5" s="12">
        <v>78</v>
      </c>
      <c r="F5" s="12">
        <v>130.1</v>
      </c>
      <c r="G5" s="12">
        <v>122.6</v>
      </c>
      <c r="H5" s="12">
        <v>143.9</v>
      </c>
      <c r="I5" s="12">
        <v>148.6</v>
      </c>
      <c r="J5" s="12">
        <v>131.69999999999999</v>
      </c>
      <c r="K5" s="12">
        <v>137.5</v>
      </c>
      <c r="L5" s="12">
        <v>174.5</v>
      </c>
      <c r="M5" s="12">
        <v>188.7</v>
      </c>
      <c r="O5" s="14">
        <v>374.9</v>
      </c>
      <c r="P5" s="14">
        <v>283</v>
      </c>
      <c r="Q5" s="14">
        <v>399.4</v>
      </c>
      <c r="R5" s="14">
        <v>524.4</v>
      </c>
      <c r="S5" s="14">
        <f t="shared" ref="S5" si="4">1.1*R5</f>
        <v>576.84</v>
      </c>
      <c r="T5" s="14">
        <f t="shared" ref="T5:AA5" si="5">1.1*S5</f>
        <v>634.52400000000011</v>
      </c>
      <c r="U5" s="14">
        <f t="shared" si="5"/>
        <v>697.97640000000013</v>
      </c>
      <c r="V5" s="14">
        <f t="shared" si="5"/>
        <v>767.77404000000024</v>
      </c>
      <c r="W5" s="14">
        <f t="shared" si="5"/>
        <v>844.55144400000029</v>
      </c>
      <c r="X5" s="14">
        <f t="shared" si="5"/>
        <v>929.0065884000004</v>
      </c>
      <c r="Y5" s="14">
        <f t="shared" si="5"/>
        <v>1021.9072472400005</v>
      </c>
      <c r="Z5" s="14">
        <f t="shared" si="5"/>
        <v>1124.0979719640006</v>
      </c>
      <c r="AA5" s="14">
        <f t="shared" si="5"/>
        <v>1236.5077691604008</v>
      </c>
    </row>
    <row r="6" spans="1:27" s="15" customFormat="1" x14ac:dyDescent="0.3">
      <c r="A6" s="15" t="s">
        <v>8</v>
      </c>
      <c r="C6" s="15">
        <f t="shared" ref="C6:L6" si="6">C4+C5</f>
        <v>1781.6</v>
      </c>
      <c r="D6" s="15">
        <f t="shared" si="6"/>
        <v>2010</v>
      </c>
      <c r="E6" s="15">
        <f t="shared" si="6"/>
        <v>2140.1999999999998</v>
      </c>
      <c r="F6" s="15">
        <f t="shared" si="6"/>
        <v>1671</v>
      </c>
      <c r="G6" s="15">
        <f t="shared" ref="G6" si="7">G4+G5</f>
        <v>2437.1999999999998</v>
      </c>
      <c r="H6" s="15">
        <f t="shared" ref="H6" si="8">H4+H5</f>
        <v>2662.5</v>
      </c>
      <c r="I6" s="15">
        <f t="shared" si="6"/>
        <v>2999.1</v>
      </c>
      <c r="J6" s="15">
        <f t="shared" si="6"/>
        <v>2398.7999999999997</v>
      </c>
      <c r="K6" s="15">
        <f t="shared" si="6"/>
        <v>1639.1</v>
      </c>
      <c r="L6" s="15">
        <f t="shared" si="6"/>
        <v>1834</v>
      </c>
      <c r="M6" s="15">
        <f>M4+M5</f>
        <v>2016.5</v>
      </c>
      <c r="O6" s="11">
        <f>O4+O5</f>
        <v>3042</v>
      </c>
      <c r="P6" s="11">
        <f>P4+P5</f>
        <v>4175.3999999999996</v>
      </c>
      <c r="Q6" s="11">
        <f>Q4+Q5</f>
        <v>6427.0999999999995</v>
      </c>
      <c r="R6" s="11">
        <f>R4+R5</f>
        <v>8185.2</v>
      </c>
      <c r="S6" s="11">
        <f t="shared" ref="S6:AA6" si="9">S4+S5</f>
        <v>9769.7999999999993</v>
      </c>
      <c r="T6" s="11">
        <f t="shared" si="9"/>
        <v>11666.075999999997</v>
      </c>
      <c r="U6" s="11">
        <f t="shared" si="9"/>
        <v>13935.838799999996</v>
      </c>
      <c r="V6" s="11">
        <f t="shared" si="9"/>
        <v>16653.208919999997</v>
      </c>
      <c r="W6" s="11">
        <f t="shared" si="9"/>
        <v>18318.529811999997</v>
      </c>
      <c r="X6" s="11">
        <f t="shared" si="9"/>
        <v>20150.382793199999</v>
      </c>
      <c r="Y6" s="11">
        <f t="shared" si="9"/>
        <v>22165.421072519999</v>
      </c>
      <c r="Z6" s="11">
        <f t="shared" si="9"/>
        <v>24381.963179772003</v>
      </c>
      <c r="AA6" s="11">
        <f t="shared" si="9"/>
        <v>26820.159497749206</v>
      </c>
    </row>
    <row r="7" spans="1:27" x14ac:dyDescent="0.3">
      <c r="A7" s="12" t="s">
        <v>9</v>
      </c>
      <c r="C7" s="12">
        <v>693.8</v>
      </c>
      <c r="D7" s="12">
        <v>745.8</v>
      </c>
      <c r="E7" s="12">
        <v>737.6</v>
      </c>
      <c r="F7" s="12">
        <v>780.3</v>
      </c>
      <c r="G7" s="12">
        <v>766.6</v>
      </c>
      <c r="H7" s="12">
        <v>816.7</v>
      </c>
      <c r="I7" s="12">
        <v>982.2</v>
      </c>
      <c r="J7" s="12">
        <v>714.8</v>
      </c>
      <c r="K7" s="12">
        <v>517.1</v>
      </c>
      <c r="L7" s="12">
        <v>516.79999999999995</v>
      </c>
      <c r="M7" s="12">
        <v>570.4</v>
      </c>
      <c r="O7" s="14">
        <v>1913.1</v>
      </c>
      <c r="P7" s="14">
        <v>1988.5</v>
      </c>
      <c r="Q7" s="14">
        <v>1714</v>
      </c>
      <c r="R7" s="14">
        <v>1880.1</v>
      </c>
      <c r="S7" s="14">
        <f>0.2*S6</f>
        <v>1953.96</v>
      </c>
      <c r="T7" s="14">
        <f t="shared" ref="T7:AA7" si="10">0.2*T6</f>
        <v>2333.2151999999996</v>
      </c>
      <c r="U7" s="14">
        <f t="shared" si="10"/>
        <v>2787.1677599999994</v>
      </c>
      <c r="V7" s="14">
        <f t="shared" si="10"/>
        <v>3330.6417839999995</v>
      </c>
      <c r="W7" s="14">
        <f t="shared" si="10"/>
        <v>3663.7059623999994</v>
      </c>
      <c r="X7" s="14">
        <f t="shared" si="10"/>
        <v>4030.0765586399998</v>
      </c>
      <c r="Y7" s="14">
        <f t="shared" si="10"/>
        <v>4433.0842145039996</v>
      </c>
      <c r="Z7" s="14">
        <f t="shared" si="10"/>
        <v>4876.3926359544012</v>
      </c>
      <c r="AA7" s="14">
        <f t="shared" si="10"/>
        <v>5364.0318995498419</v>
      </c>
    </row>
    <row r="8" spans="1:27" x14ac:dyDescent="0.3">
      <c r="A8" s="12" t="s">
        <v>10</v>
      </c>
      <c r="C8" s="12">
        <v>318.10000000000002</v>
      </c>
      <c r="D8" s="12">
        <v>327.5</v>
      </c>
      <c r="E8" s="12">
        <v>226.3</v>
      </c>
      <c r="F8" s="12">
        <v>204.5</v>
      </c>
      <c r="G8" s="12">
        <v>265.3</v>
      </c>
      <c r="H8" s="12">
        <v>252.8</v>
      </c>
      <c r="I8" s="12">
        <v>275.2</v>
      </c>
      <c r="J8" s="12">
        <v>128.69999999999999</v>
      </c>
      <c r="K8" s="12">
        <v>221.4</v>
      </c>
      <c r="L8" s="12">
        <v>154.4</v>
      </c>
      <c r="M8" s="12">
        <v>140.9</v>
      </c>
      <c r="O8" s="14">
        <v>520.9</v>
      </c>
      <c r="P8" s="14">
        <v>790.7</v>
      </c>
      <c r="Q8" s="14">
        <v>951.6</v>
      </c>
      <c r="R8" s="14">
        <v>808.4</v>
      </c>
      <c r="S8" s="14">
        <f>0.15*S6</f>
        <v>1465.4699999999998</v>
      </c>
      <c r="T8" s="14">
        <f t="shared" ref="T8:AA8" si="11">0.15*T6</f>
        <v>1749.9113999999995</v>
      </c>
      <c r="U8" s="14">
        <f t="shared" si="11"/>
        <v>2090.3758199999993</v>
      </c>
      <c r="V8" s="14">
        <f t="shared" si="11"/>
        <v>2497.9813379999996</v>
      </c>
      <c r="W8" s="14">
        <f t="shared" si="11"/>
        <v>2747.7794717999996</v>
      </c>
      <c r="X8" s="14">
        <f t="shared" si="11"/>
        <v>3022.5574189799995</v>
      </c>
      <c r="Y8" s="14">
        <f t="shared" si="11"/>
        <v>3324.813160878</v>
      </c>
      <c r="Z8" s="14">
        <f t="shared" si="11"/>
        <v>3657.2944769658002</v>
      </c>
      <c r="AA8" s="14">
        <f t="shared" si="11"/>
        <v>4023.0239246623805</v>
      </c>
    </row>
    <row r="9" spans="1:27" x14ac:dyDescent="0.3">
      <c r="A9" s="13" t="s">
        <v>11</v>
      </c>
      <c r="C9" s="12">
        <v>162.19999999999999</v>
      </c>
      <c r="D9" s="12">
        <v>172.8</v>
      </c>
      <c r="E9" s="12">
        <v>170.9</v>
      </c>
      <c r="F9" s="12">
        <v>188</v>
      </c>
      <c r="G9" s="12">
        <v>155</v>
      </c>
      <c r="H9" s="12">
        <v>155.30000000000001</v>
      </c>
      <c r="I9" s="12">
        <v>170.4</v>
      </c>
      <c r="J9" s="12">
        <v>162.30000000000001</v>
      </c>
      <c r="K9" s="12">
        <v>182.4</v>
      </c>
      <c r="L9" s="12">
        <v>157.80000000000001</v>
      </c>
      <c r="M9" s="12">
        <v>153.6</v>
      </c>
      <c r="O9" s="14">
        <v>320.7</v>
      </c>
      <c r="P9" s="14">
        <v>451.6</v>
      </c>
      <c r="Q9" s="14">
        <v>654.4</v>
      </c>
      <c r="R9" s="14">
        <v>566</v>
      </c>
      <c r="S9" s="14">
        <f>0.08*S6</f>
        <v>781.58399999999995</v>
      </c>
      <c r="T9" s="14">
        <f t="shared" ref="T9:AA9" si="12">0.08*T6</f>
        <v>933.28607999999986</v>
      </c>
      <c r="U9" s="14">
        <f t="shared" si="12"/>
        <v>1114.8671039999997</v>
      </c>
      <c r="V9" s="14">
        <f t="shared" si="12"/>
        <v>1332.2567135999998</v>
      </c>
      <c r="W9" s="14">
        <f t="shared" si="12"/>
        <v>1465.4823849599998</v>
      </c>
      <c r="X9" s="14">
        <f t="shared" si="12"/>
        <v>1612.0306234559998</v>
      </c>
      <c r="Y9" s="14">
        <f t="shared" si="12"/>
        <v>1773.2336858015999</v>
      </c>
      <c r="Z9" s="14">
        <f t="shared" si="12"/>
        <v>1950.5570543817603</v>
      </c>
      <c r="AA9" s="14">
        <f t="shared" si="12"/>
        <v>2145.6127598199364</v>
      </c>
    </row>
    <row r="10" spans="1:27" x14ac:dyDescent="0.3">
      <c r="A10" s="13" t="s">
        <v>12</v>
      </c>
      <c r="C10" s="12">
        <v>911.7</v>
      </c>
      <c r="D10" s="12">
        <v>944.1</v>
      </c>
      <c r="E10" s="12">
        <v>945.6</v>
      </c>
      <c r="F10" s="12">
        <v>976.9</v>
      </c>
      <c r="G10" s="12">
        <v>1106.0999999999999</v>
      </c>
      <c r="H10" s="12">
        <v>1191.5</v>
      </c>
      <c r="I10" s="12">
        <v>1187.2</v>
      </c>
      <c r="J10" s="12">
        <v>1104.4000000000001</v>
      </c>
      <c r="K10" s="12">
        <v>952.5</v>
      </c>
      <c r="L10" s="12">
        <v>831</v>
      </c>
      <c r="M10" s="12">
        <v>756.3</v>
      </c>
      <c r="O10" s="14">
        <v>833.9</v>
      </c>
      <c r="P10" s="14">
        <v>1907.2</v>
      </c>
      <c r="Q10" s="14">
        <v>3258.4</v>
      </c>
      <c r="R10" s="14">
        <v>4030.1</v>
      </c>
      <c r="S10" s="14">
        <f>0.4*S6</f>
        <v>3907.92</v>
      </c>
      <c r="T10" s="14">
        <f t="shared" ref="T10:AA10" si="13">0.4*T6</f>
        <v>4666.4303999999993</v>
      </c>
      <c r="U10" s="14">
        <f t="shared" si="13"/>
        <v>5574.3355199999987</v>
      </c>
      <c r="V10" s="14">
        <f t="shared" si="13"/>
        <v>6661.2835679999989</v>
      </c>
      <c r="W10" s="14">
        <f t="shared" si="13"/>
        <v>7327.4119247999988</v>
      </c>
      <c r="X10" s="14">
        <f t="shared" si="13"/>
        <v>8060.1531172799996</v>
      </c>
      <c r="Y10" s="14">
        <f t="shared" si="13"/>
        <v>8866.1684290079993</v>
      </c>
      <c r="Z10" s="14">
        <f t="shared" si="13"/>
        <v>9752.7852719088023</v>
      </c>
      <c r="AA10" s="14">
        <f t="shared" si="13"/>
        <v>10728.063799099684</v>
      </c>
    </row>
    <row r="11" spans="1:27" x14ac:dyDescent="0.3">
      <c r="A11" s="12" t="s">
        <v>14</v>
      </c>
      <c r="C11" s="12">
        <v>5.5</v>
      </c>
      <c r="D11" s="12">
        <v>5.3</v>
      </c>
      <c r="E11" s="12">
        <v>5.4</v>
      </c>
      <c r="F11" s="12">
        <v>7.1</v>
      </c>
      <c r="G11" s="12">
        <v>6.7</v>
      </c>
      <c r="H11" s="12">
        <v>7</v>
      </c>
      <c r="I11" s="12">
        <v>5.9</v>
      </c>
      <c r="J11" s="12">
        <v>5.2</v>
      </c>
      <c r="K11" s="12">
        <v>4.2</v>
      </c>
      <c r="L11" s="12">
        <v>3.4</v>
      </c>
      <c r="M11" s="12">
        <v>4.3</v>
      </c>
      <c r="O11" s="14">
        <v>33.700000000000003</v>
      </c>
      <c r="P11" s="14">
        <v>38.1</v>
      </c>
      <c r="Q11" s="14">
        <v>21.9</v>
      </c>
      <c r="R11" s="14">
        <v>23.3</v>
      </c>
      <c r="S11" s="14">
        <f>1.05*R11</f>
        <v>24.465000000000003</v>
      </c>
      <c r="T11" s="14">
        <f t="shared" ref="T11:AA11" si="14">1.05*S11</f>
        <v>25.688250000000004</v>
      </c>
      <c r="U11" s="14">
        <f t="shared" si="14"/>
        <v>26.972662500000006</v>
      </c>
      <c r="V11" s="14">
        <f t="shared" si="14"/>
        <v>28.321295625000008</v>
      </c>
      <c r="W11" s="14">
        <f t="shared" si="14"/>
        <v>29.737360406250009</v>
      </c>
      <c r="X11" s="14">
        <f t="shared" si="14"/>
        <v>31.224228426562512</v>
      </c>
      <c r="Y11" s="14">
        <f t="shared" si="14"/>
        <v>32.785439847890636</v>
      </c>
      <c r="Z11" s="14">
        <f t="shared" si="14"/>
        <v>34.42471184028517</v>
      </c>
      <c r="AA11" s="14">
        <f t="shared" si="14"/>
        <v>36.14594743229943</v>
      </c>
    </row>
    <row r="12" spans="1:27" x14ac:dyDescent="0.3">
      <c r="A12" s="13" t="s">
        <v>7</v>
      </c>
      <c r="C12" s="12">
        <v>227.7</v>
      </c>
      <c r="D12" s="12">
        <v>261.60000000000002</v>
      </c>
      <c r="E12" s="12">
        <v>312.5</v>
      </c>
      <c r="F12" s="12">
        <v>313.89999999999998</v>
      </c>
      <c r="G12" s="12">
        <v>341.3</v>
      </c>
      <c r="H12" s="12">
        <v>333.3</v>
      </c>
      <c r="I12" s="12">
        <v>395</v>
      </c>
      <c r="J12" s="12">
        <v>380.4</v>
      </c>
      <c r="K12" s="12">
        <v>420.4</v>
      </c>
      <c r="L12" s="12">
        <v>402.8</v>
      </c>
      <c r="M12" s="12">
        <v>429</v>
      </c>
      <c r="O12" s="14">
        <v>757.8</v>
      </c>
      <c r="P12" s="14">
        <v>1054.8</v>
      </c>
      <c r="Q12" s="14">
        <v>1149.9000000000001</v>
      </c>
      <c r="R12" s="14">
        <v>1415.1</v>
      </c>
      <c r="S12" s="14">
        <f>1.1*R12</f>
        <v>1556.6100000000001</v>
      </c>
      <c r="T12" s="14">
        <f t="shared" ref="T12:AA12" si="15">1.1*S12</f>
        <v>1712.2710000000002</v>
      </c>
      <c r="U12" s="14">
        <f t="shared" si="15"/>
        <v>1883.4981000000002</v>
      </c>
      <c r="V12" s="14">
        <f t="shared" si="15"/>
        <v>2071.8479100000004</v>
      </c>
      <c r="W12" s="14">
        <f t="shared" si="15"/>
        <v>2279.0327010000005</v>
      </c>
      <c r="X12" s="14">
        <f t="shared" si="15"/>
        <v>2506.9359711000006</v>
      </c>
      <c r="Y12" s="14">
        <f t="shared" si="15"/>
        <v>2757.6295682100008</v>
      </c>
      <c r="Z12" s="14">
        <f t="shared" si="15"/>
        <v>3033.3925250310012</v>
      </c>
      <c r="AA12" s="14">
        <f t="shared" si="15"/>
        <v>3336.7317775341016</v>
      </c>
    </row>
    <row r="13" spans="1:27" x14ac:dyDescent="0.3">
      <c r="A13" s="12" t="s">
        <v>15</v>
      </c>
      <c r="C13" s="12">
        <f t="shared" ref="C13:M13" si="16">SUM(C7:C12)</f>
        <v>2319</v>
      </c>
      <c r="D13" s="12">
        <f t="shared" si="16"/>
        <v>2457.1</v>
      </c>
      <c r="E13" s="12">
        <f t="shared" si="16"/>
        <v>2398.3000000000002</v>
      </c>
      <c r="F13" s="12">
        <f t="shared" si="16"/>
        <v>2470.6999999999998</v>
      </c>
      <c r="G13" s="12">
        <f t="shared" ref="G13" si="17">SUM(G7:G12)</f>
        <v>2641</v>
      </c>
      <c r="H13" s="12">
        <f t="shared" ref="H13" si="18">SUM(H7:H12)</f>
        <v>2756.6000000000004</v>
      </c>
      <c r="I13" s="12">
        <f t="shared" si="16"/>
        <v>3015.9</v>
      </c>
      <c r="J13" s="12">
        <f t="shared" si="16"/>
        <v>2495.7999999999997</v>
      </c>
      <c r="K13" s="12">
        <f t="shared" si="16"/>
        <v>2298</v>
      </c>
      <c r="L13" s="12">
        <f t="shared" si="16"/>
        <v>2066.2000000000003</v>
      </c>
      <c r="M13" s="12">
        <f t="shared" si="16"/>
        <v>2054.5</v>
      </c>
      <c r="O13" s="14">
        <f>SUM(O7:O12)</f>
        <v>4380.0999999999995</v>
      </c>
      <c r="P13" s="14">
        <f>SUM(P7:P12)</f>
        <v>6230.9000000000005</v>
      </c>
      <c r="Q13" s="14">
        <f>SUM(Q7:Q12)</f>
        <v>7750.1999999999989</v>
      </c>
      <c r="R13" s="14">
        <f>SUM(R7:R12)</f>
        <v>8723</v>
      </c>
      <c r="S13" s="14">
        <f>1.1*R13</f>
        <v>9595.3000000000011</v>
      </c>
      <c r="T13" s="14">
        <f t="shared" ref="T13:AA13" si="19">1.1*S13</f>
        <v>10554.830000000002</v>
      </c>
      <c r="U13" s="14">
        <f t="shared" si="19"/>
        <v>11610.313000000004</v>
      </c>
      <c r="V13" s="14">
        <f t="shared" si="19"/>
        <v>12771.344300000004</v>
      </c>
      <c r="W13" s="14">
        <f t="shared" si="19"/>
        <v>14048.478730000006</v>
      </c>
      <c r="X13" s="14">
        <f t="shared" si="19"/>
        <v>15453.326603000009</v>
      </c>
      <c r="Y13" s="14">
        <f t="shared" si="19"/>
        <v>16998.659263300011</v>
      </c>
      <c r="Z13" s="14">
        <f t="shared" si="19"/>
        <v>18698.525189630014</v>
      </c>
      <c r="AA13" s="14">
        <f t="shared" si="19"/>
        <v>20568.377708593016</v>
      </c>
    </row>
    <row r="14" spans="1:27" x14ac:dyDescent="0.3">
      <c r="A14" s="13" t="s">
        <v>33</v>
      </c>
      <c r="C14" s="12">
        <f t="shared" ref="C14:M14" si="20">C6-C13</f>
        <v>-537.40000000000009</v>
      </c>
      <c r="D14" s="12">
        <f t="shared" si="20"/>
        <v>-447.09999999999991</v>
      </c>
      <c r="E14" s="12">
        <f t="shared" si="20"/>
        <v>-258.10000000000036</v>
      </c>
      <c r="F14" s="12">
        <f t="shared" si="20"/>
        <v>-799.69999999999982</v>
      </c>
      <c r="G14" s="12">
        <f t="shared" ref="G14" si="21">G6-G13</f>
        <v>-203.80000000000018</v>
      </c>
      <c r="H14" s="12">
        <f t="shared" ref="H14" si="22">H6-H13</f>
        <v>-94.100000000000364</v>
      </c>
      <c r="I14" s="12">
        <f t="shared" si="20"/>
        <v>-16.800000000000182</v>
      </c>
      <c r="J14" s="12">
        <f t="shared" si="20"/>
        <v>-97</v>
      </c>
      <c r="K14" s="12">
        <f t="shared" si="20"/>
        <v>-658.90000000000009</v>
      </c>
      <c r="L14" s="12">
        <f t="shared" si="20"/>
        <v>-232.20000000000027</v>
      </c>
      <c r="M14" s="12">
        <f t="shared" si="20"/>
        <v>-38</v>
      </c>
      <c r="O14" s="14">
        <f>O6-O13</f>
        <v>-1338.0999999999995</v>
      </c>
      <c r="P14" s="14">
        <f>P6-P13</f>
        <v>-2055.5000000000009</v>
      </c>
      <c r="Q14" s="14">
        <f>Q6-Q13</f>
        <v>-1323.0999999999995</v>
      </c>
      <c r="R14" s="14">
        <f>R6-R13</f>
        <v>-537.80000000000018</v>
      </c>
      <c r="S14" s="14">
        <f t="shared" ref="S14:AA14" si="23">S6-S13</f>
        <v>174.49999999999818</v>
      </c>
      <c r="T14" s="14">
        <f t="shared" si="23"/>
        <v>1111.2459999999955</v>
      </c>
      <c r="U14" s="14">
        <f t="shared" si="23"/>
        <v>2325.5257999999922</v>
      </c>
      <c r="V14" s="14">
        <f t="shared" si="23"/>
        <v>3881.864619999993</v>
      </c>
      <c r="W14" s="14">
        <f t="shared" si="23"/>
        <v>4270.0510819999909</v>
      </c>
      <c r="X14" s="14">
        <f t="shared" si="23"/>
        <v>4697.0561901999899</v>
      </c>
      <c r="Y14" s="14">
        <f t="shared" si="23"/>
        <v>5166.7618092199882</v>
      </c>
      <c r="Z14" s="14">
        <f t="shared" si="23"/>
        <v>5683.4379901419888</v>
      </c>
      <c r="AA14" s="14">
        <f t="shared" si="23"/>
        <v>6251.7817891561899</v>
      </c>
    </row>
    <row r="15" spans="1:27" x14ac:dyDescent="0.3">
      <c r="A15" s="12" t="s">
        <v>13</v>
      </c>
      <c r="C15" s="12">
        <v>97.2</v>
      </c>
      <c r="D15" s="12">
        <v>104.3</v>
      </c>
      <c r="E15" s="12">
        <v>124</v>
      </c>
      <c r="F15" s="12">
        <v>159.80000000000001</v>
      </c>
      <c r="G15" s="12">
        <v>159.1</v>
      </c>
      <c r="H15" s="12">
        <v>180</v>
      </c>
      <c r="I15" s="12">
        <v>200.9</v>
      </c>
      <c r="J15" s="12">
        <v>195.6</v>
      </c>
      <c r="K15" s="12">
        <v>178.4</v>
      </c>
      <c r="L15" s="12">
        <v>178.6</v>
      </c>
      <c r="M15" s="12">
        <v>165.3</v>
      </c>
      <c r="O15" s="14">
        <v>156.80000000000001</v>
      </c>
      <c r="P15" s="14">
        <v>228.2</v>
      </c>
      <c r="Q15" s="14">
        <v>469.9</v>
      </c>
      <c r="R15" s="14">
        <v>721.1</v>
      </c>
      <c r="S15" s="14">
        <f>0.07*S6</f>
        <v>683.88599999999997</v>
      </c>
      <c r="T15" s="14">
        <f t="shared" ref="T15:AA15" si="24">0.07*T6</f>
        <v>816.62531999999987</v>
      </c>
      <c r="U15" s="14">
        <f t="shared" si="24"/>
        <v>975.50871599999982</v>
      </c>
      <c r="V15" s="14">
        <f t="shared" si="24"/>
        <v>1165.7246243999998</v>
      </c>
      <c r="W15" s="14">
        <f t="shared" si="24"/>
        <v>1282.29708684</v>
      </c>
      <c r="X15" s="14">
        <f t="shared" si="24"/>
        <v>1410.5267955240001</v>
      </c>
      <c r="Y15" s="14">
        <f t="shared" si="24"/>
        <v>1551.5794750764001</v>
      </c>
      <c r="Z15" s="14">
        <f t="shared" si="24"/>
        <v>1706.7374225840404</v>
      </c>
      <c r="AA15" s="14">
        <f t="shared" si="24"/>
        <v>1877.4111648424446</v>
      </c>
    </row>
    <row r="16" spans="1:27" x14ac:dyDescent="0.3">
      <c r="C16" s="12">
        <v>4.8</v>
      </c>
      <c r="D16" s="12">
        <v>14.5</v>
      </c>
      <c r="E16" s="12">
        <v>15</v>
      </c>
      <c r="G16" s="12">
        <v>4.4000000000000004</v>
      </c>
      <c r="H16" s="12">
        <v>12.7</v>
      </c>
      <c r="I16" s="12">
        <v>0.7</v>
      </c>
      <c r="J16" s="12">
        <v>14.1</v>
      </c>
      <c r="K16" s="12">
        <v>1.5</v>
      </c>
      <c r="L16" s="12">
        <v>8.9</v>
      </c>
      <c r="M16" s="12">
        <v>5</v>
      </c>
      <c r="O16" s="14">
        <v>0</v>
      </c>
      <c r="P16" s="14">
        <v>0</v>
      </c>
      <c r="Q16" s="14">
        <v>0</v>
      </c>
      <c r="R16" s="14">
        <v>0</v>
      </c>
      <c r="S16" s="14">
        <f>S14-S15</f>
        <v>-509.38600000000179</v>
      </c>
      <c r="T16" s="14">
        <f t="shared" ref="T16:AA16" si="25">T14-T15</f>
        <v>294.62067999999567</v>
      </c>
      <c r="U16" s="14">
        <f t="shared" si="25"/>
        <v>1350.0170839999923</v>
      </c>
      <c r="V16" s="14">
        <f t="shared" si="25"/>
        <v>2716.1399955999932</v>
      </c>
      <c r="W16" s="14">
        <f t="shared" si="25"/>
        <v>2987.7539951599911</v>
      </c>
      <c r="X16" s="14">
        <f t="shared" si="25"/>
        <v>3286.5293946759898</v>
      </c>
      <c r="Y16" s="14">
        <f t="shared" si="25"/>
        <v>3615.1823341435884</v>
      </c>
      <c r="Z16" s="14">
        <f t="shared" si="25"/>
        <v>3976.7005675579485</v>
      </c>
      <c r="AA16" s="14">
        <f t="shared" si="25"/>
        <v>4374.3706243137458</v>
      </c>
    </row>
    <row r="17" spans="1:94" x14ac:dyDescent="0.3">
      <c r="A17" s="12" t="s">
        <v>16</v>
      </c>
      <c r="C17" s="12">
        <v>4.8</v>
      </c>
      <c r="D17" s="12">
        <v>14.5</v>
      </c>
      <c r="E17" s="12">
        <v>15</v>
      </c>
      <c r="G17" s="12">
        <v>4.4000000000000004</v>
      </c>
      <c r="H17" s="12">
        <v>12.7</v>
      </c>
      <c r="I17" s="12">
        <v>0.7</v>
      </c>
      <c r="J17" s="12">
        <v>14.1</v>
      </c>
      <c r="K17" s="12">
        <v>1.5</v>
      </c>
      <c r="L17" s="12">
        <v>8.9</v>
      </c>
      <c r="M17" s="12">
        <v>5</v>
      </c>
      <c r="O17" s="14">
        <v>0</v>
      </c>
      <c r="P17" s="14">
        <v>0</v>
      </c>
      <c r="Q17" s="14">
        <v>0</v>
      </c>
      <c r="R17" s="14">
        <v>0</v>
      </c>
      <c r="S17" s="14">
        <f>0.2*S16</f>
        <v>-101.87720000000036</v>
      </c>
      <c r="T17" s="14">
        <f t="shared" ref="T17:AA17" si="26">0.2*T16</f>
        <v>58.924135999999137</v>
      </c>
      <c r="U17" s="14">
        <f t="shared" si="26"/>
        <v>270.00341679999849</v>
      </c>
      <c r="V17" s="14">
        <f t="shared" si="26"/>
        <v>543.22799911999869</v>
      </c>
      <c r="W17" s="14">
        <f t="shared" si="26"/>
        <v>597.55079903199828</v>
      </c>
      <c r="X17" s="14">
        <f t="shared" si="26"/>
        <v>657.30587893519805</v>
      </c>
      <c r="Y17" s="14">
        <f t="shared" si="26"/>
        <v>723.03646682871772</v>
      </c>
      <c r="Z17" s="14">
        <f t="shared" si="26"/>
        <v>795.34011351158972</v>
      </c>
      <c r="AA17" s="14">
        <f t="shared" si="26"/>
        <v>874.87412486274923</v>
      </c>
    </row>
    <row r="18" spans="1:94" s="15" customFormat="1" x14ac:dyDescent="0.3">
      <c r="A18" s="15" t="s">
        <v>17</v>
      </c>
      <c r="C18" s="15">
        <f t="shared" ref="C18:K18" si="27">C14-C15-C16</f>
        <v>-639.40000000000009</v>
      </c>
      <c r="D18" s="15">
        <f t="shared" si="27"/>
        <v>-565.89999999999986</v>
      </c>
      <c r="E18" s="15">
        <f t="shared" si="27"/>
        <v>-397.10000000000036</v>
      </c>
      <c r="F18" s="15">
        <f t="shared" si="27"/>
        <v>-959.49999999999977</v>
      </c>
      <c r="G18" s="15">
        <f t="shared" ref="G18" si="28">G14-G15-G16</f>
        <v>-367.30000000000018</v>
      </c>
      <c r="H18" s="15">
        <f t="shared" ref="H18" si="29">H14-H15-H16</f>
        <v>-286.80000000000035</v>
      </c>
      <c r="I18" s="15">
        <f t="shared" si="27"/>
        <v>-218.40000000000018</v>
      </c>
      <c r="J18" s="15">
        <f t="shared" si="27"/>
        <v>-306.70000000000005</v>
      </c>
      <c r="K18" s="15">
        <f t="shared" si="27"/>
        <v>-838.80000000000007</v>
      </c>
      <c r="L18" s="15">
        <f>L14-L15-L16+2180</f>
        <v>1760.2999999999997</v>
      </c>
      <c r="M18" s="15">
        <f>M14-M15-M16</f>
        <v>-208.3</v>
      </c>
      <c r="O18" s="11">
        <f>O14-O15</f>
        <v>-1494.8999999999994</v>
      </c>
      <c r="P18" s="11">
        <f>P14-P15</f>
        <v>-2283.7000000000007</v>
      </c>
      <c r="Q18" s="11">
        <f>Q14-Q15</f>
        <v>-1792.9999999999995</v>
      </c>
      <c r="R18" s="11">
        <f>R14-R15</f>
        <v>-1258.9000000000001</v>
      </c>
      <c r="S18" s="11">
        <f>S16-S17</f>
        <v>-407.50880000000143</v>
      </c>
      <c r="T18" s="11">
        <f t="shared" ref="T18:AA18" si="30">T16-T17</f>
        <v>235.69654399999655</v>
      </c>
      <c r="U18" s="11">
        <f t="shared" si="30"/>
        <v>1080.013667199994</v>
      </c>
      <c r="V18" s="11">
        <f t="shared" si="30"/>
        <v>2172.9119964799947</v>
      </c>
      <c r="W18" s="11">
        <f t="shared" si="30"/>
        <v>2390.2031961279927</v>
      </c>
      <c r="X18" s="11">
        <f t="shared" si="30"/>
        <v>2629.2235157407918</v>
      </c>
      <c r="Y18" s="11">
        <f t="shared" si="30"/>
        <v>2892.1458673148709</v>
      </c>
      <c r="Z18" s="11">
        <f t="shared" si="30"/>
        <v>3181.3604540463589</v>
      </c>
      <c r="AA18" s="11">
        <f t="shared" si="30"/>
        <v>3499.4964994509965</v>
      </c>
      <c r="AB18" s="15">
        <f>AA18*$AG$22+AA18</f>
        <v>3534.4914644455066</v>
      </c>
      <c r="AC18" s="15">
        <f t="shared" ref="AC18:CN18" si="31">AB18*$AG$22+AB18</f>
        <v>3569.8363790899616</v>
      </c>
      <c r="AD18" s="15">
        <f t="shared" si="31"/>
        <v>3605.5347428808614</v>
      </c>
      <c r="AE18" s="15">
        <f t="shared" si="31"/>
        <v>3641.5900903096699</v>
      </c>
      <c r="AF18" s="15">
        <f t="shared" si="31"/>
        <v>3678.0059912127667</v>
      </c>
      <c r="AG18" s="15">
        <f t="shared" si="31"/>
        <v>3714.7860511248946</v>
      </c>
      <c r="AH18" s="15">
        <f t="shared" si="31"/>
        <v>3751.9339116361434</v>
      </c>
      <c r="AI18" s="15">
        <f t="shared" si="31"/>
        <v>3789.453250752505</v>
      </c>
      <c r="AJ18" s="15">
        <f t="shared" si="31"/>
        <v>3827.3477832600302</v>
      </c>
      <c r="AK18" s="15">
        <f t="shared" si="31"/>
        <v>3865.6212610926304</v>
      </c>
      <c r="AL18" s="15">
        <f t="shared" si="31"/>
        <v>3904.2774737035566</v>
      </c>
      <c r="AM18" s="15">
        <f t="shared" si="31"/>
        <v>3943.320248440592</v>
      </c>
      <c r="AN18" s="15">
        <f t="shared" si="31"/>
        <v>3982.7534509249981</v>
      </c>
      <c r="AO18" s="15">
        <f t="shared" si="31"/>
        <v>4022.5809854342483</v>
      </c>
      <c r="AP18" s="15">
        <f t="shared" si="31"/>
        <v>4062.8067952885908</v>
      </c>
      <c r="AQ18" s="15">
        <f t="shared" si="31"/>
        <v>4103.4348632414767</v>
      </c>
      <c r="AR18" s="15">
        <f t="shared" si="31"/>
        <v>4144.4692118738913</v>
      </c>
      <c r="AS18" s="15">
        <f t="shared" si="31"/>
        <v>4185.9139039926304</v>
      </c>
      <c r="AT18" s="15">
        <f t="shared" si="31"/>
        <v>4227.7730430325564</v>
      </c>
      <c r="AU18" s="15">
        <f t="shared" si="31"/>
        <v>4270.0507734628818</v>
      </c>
      <c r="AV18" s="15">
        <f t="shared" si="31"/>
        <v>4312.7512811975103</v>
      </c>
      <c r="AW18" s="15">
        <f t="shared" si="31"/>
        <v>4355.8787940094853</v>
      </c>
      <c r="AX18" s="15">
        <f t="shared" si="31"/>
        <v>4399.4375819495799</v>
      </c>
      <c r="AY18" s="15">
        <f t="shared" si="31"/>
        <v>4443.4319577690758</v>
      </c>
      <c r="AZ18" s="15">
        <f t="shared" si="31"/>
        <v>4487.8662773467668</v>
      </c>
      <c r="BA18" s="15">
        <f t="shared" si="31"/>
        <v>4532.7449401202348</v>
      </c>
      <c r="BB18" s="15">
        <f t="shared" si="31"/>
        <v>4578.0723895214369</v>
      </c>
      <c r="BC18" s="15">
        <f t="shared" si="31"/>
        <v>4623.8531134166515</v>
      </c>
      <c r="BD18" s="15">
        <f t="shared" si="31"/>
        <v>4670.0916445508183</v>
      </c>
      <c r="BE18" s="15">
        <f t="shared" si="31"/>
        <v>4716.7925609963268</v>
      </c>
      <c r="BF18" s="15">
        <f t="shared" si="31"/>
        <v>4763.96048660629</v>
      </c>
      <c r="BG18" s="15">
        <f t="shared" si="31"/>
        <v>4811.6000914723527</v>
      </c>
      <c r="BH18" s="15">
        <f t="shared" si="31"/>
        <v>4859.7160923870761</v>
      </c>
      <c r="BI18" s="15">
        <f t="shared" si="31"/>
        <v>4908.3132533109465</v>
      </c>
      <c r="BJ18" s="15">
        <f t="shared" si="31"/>
        <v>4957.3963858440557</v>
      </c>
      <c r="BK18" s="15">
        <f t="shared" si="31"/>
        <v>5006.9703497024966</v>
      </c>
      <c r="BL18" s="15">
        <f t="shared" si="31"/>
        <v>5057.0400531995219</v>
      </c>
      <c r="BM18" s="15">
        <f t="shared" si="31"/>
        <v>5107.6104537315168</v>
      </c>
      <c r="BN18" s="15">
        <f t="shared" si="31"/>
        <v>5158.6865582688324</v>
      </c>
      <c r="BO18" s="15">
        <f t="shared" si="31"/>
        <v>5210.2734238515204</v>
      </c>
      <c r="BP18" s="15">
        <f t="shared" si="31"/>
        <v>5262.3761580900355</v>
      </c>
      <c r="BQ18" s="15">
        <f t="shared" si="31"/>
        <v>5314.9999196709359</v>
      </c>
      <c r="BR18" s="15">
        <f t="shared" si="31"/>
        <v>5368.1499188676453</v>
      </c>
      <c r="BS18" s="15">
        <f t="shared" si="31"/>
        <v>5421.831418056322</v>
      </c>
      <c r="BT18" s="15">
        <f t="shared" si="31"/>
        <v>5476.0497322368856</v>
      </c>
      <c r="BU18" s="15">
        <f t="shared" si="31"/>
        <v>5530.8102295592544</v>
      </c>
      <c r="BV18" s="15">
        <f t="shared" si="31"/>
        <v>5586.1183318548465</v>
      </c>
      <c r="BW18" s="15">
        <f t="shared" si="31"/>
        <v>5641.9795151733952</v>
      </c>
      <c r="BX18" s="15">
        <f t="shared" si="31"/>
        <v>5698.3993103251287</v>
      </c>
      <c r="BY18" s="15">
        <f t="shared" si="31"/>
        <v>5755.3833034283798</v>
      </c>
      <c r="BZ18" s="15">
        <f t="shared" si="31"/>
        <v>5812.9371364626641</v>
      </c>
      <c r="CA18" s="15">
        <f t="shared" si="31"/>
        <v>5871.0665078272905</v>
      </c>
      <c r="CB18" s="15">
        <f t="shared" si="31"/>
        <v>5929.777172905563</v>
      </c>
      <c r="CC18" s="15">
        <f t="shared" si="31"/>
        <v>5989.074944634619</v>
      </c>
      <c r="CD18" s="15">
        <f t="shared" si="31"/>
        <v>6048.9656940809655</v>
      </c>
      <c r="CE18" s="15">
        <f t="shared" si="31"/>
        <v>6109.4553510217747</v>
      </c>
      <c r="CF18" s="15">
        <f t="shared" si="31"/>
        <v>6170.5499045319921</v>
      </c>
      <c r="CG18" s="15">
        <f t="shared" si="31"/>
        <v>6232.2554035773119</v>
      </c>
      <c r="CH18" s="15">
        <f t="shared" si="31"/>
        <v>6294.5779576130853</v>
      </c>
      <c r="CI18" s="15">
        <f t="shared" si="31"/>
        <v>6357.5237371892163</v>
      </c>
      <c r="CJ18" s="15">
        <f t="shared" si="31"/>
        <v>6421.0989745611087</v>
      </c>
      <c r="CK18" s="15">
        <f t="shared" si="31"/>
        <v>6485.3099643067198</v>
      </c>
      <c r="CL18" s="15">
        <f t="shared" si="31"/>
        <v>6550.1630639497871</v>
      </c>
      <c r="CM18" s="15">
        <f t="shared" si="31"/>
        <v>6615.6646945892853</v>
      </c>
      <c r="CN18" s="15">
        <f t="shared" si="31"/>
        <v>6681.8213415351784</v>
      </c>
      <c r="CO18" s="15">
        <f t="shared" ref="CO18:CP18" si="32">CN18*$AG$22+CN18</f>
        <v>6748.6395549505305</v>
      </c>
      <c r="CP18" s="15">
        <f t="shared" si="32"/>
        <v>6816.1259505000362</v>
      </c>
    </row>
    <row r="19" spans="1:94" x14ac:dyDescent="0.3">
      <c r="A19" s="12" t="s">
        <v>44</v>
      </c>
    </row>
    <row r="20" spans="1:94" x14ac:dyDescent="0.3">
      <c r="A20" s="12" t="s">
        <v>18</v>
      </c>
      <c r="C20" s="12">
        <v>-10</v>
      </c>
      <c r="D20" s="12">
        <v>-9</v>
      </c>
      <c r="E20" s="12">
        <v>-6</v>
      </c>
      <c r="F20" s="12">
        <v>-12</v>
      </c>
      <c r="G20" s="12">
        <v>-6</v>
      </c>
      <c r="H20" s="12">
        <v>-5</v>
      </c>
      <c r="I20" s="12">
        <v>-3.46</v>
      </c>
      <c r="J20" s="12">
        <v>-9</v>
      </c>
      <c r="K20" s="12">
        <v>-13</v>
      </c>
      <c r="L20" s="12">
        <v>14.63</v>
      </c>
      <c r="M20" s="12">
        <v>-3.27</v>
      </c>
      <c r="O20" s="12">
        <v>-26</v>
      </c>
      <c r="P20" s="12">
        <v>-18</v>
      </c>
      <c r="Q20" s="12">
        <f>Q18*10000000/Main!$M$3</f>
        <v>-28.217833421121007</v>
      </c>
      <c r="R20" s="12">
        <f>R18*10000000/Main!$M$3</f>
        <v>-19.812286945816645</v>
      </c>
    </row>
    <row r="22" spans="1:94" x14ac:dyDescent="0.3">
      <c r="A22" s="12" t="s">
        <v>72</v>
      </c>
      <c r="G22" s="12">
        <f t="shared" ref="G22:L22" si="33">G6-G7</f>
        <v>1670.6</v>
      </c>
      <c r="H22" s="12">
        <f t="shared" si="33"/>
        <v>1845.8</v>
      </c>
      <c r="I22" s="12">
        <f t="shared" si="33"/>
        <v>2016.8999999999999</v>
      </c>
      <c r="J22" s="12">
        <f t="shared" si="33"/>
        <v>1683.9999999999998</v>
      </c>
      <c r="K22" s="12">
        <f t="shared" si="33"/>
        <v>1122</v>
      </c>
      <c r="L22" s="12">
        <f t="shared" si="33"/>
        <v>1317.2</v>
      </c>
      <c r="M22" s="12">
        <f>M6-M7</f>
        <v>1446.1</v>
      </c>
      <c r="O22" s="12">
        <f>O6-O7</f>
        <v>1128.9000000000001</v>
      </c>
      <c r="P22" s="12">
        <f t="shared" ref="P22:R22" si="34">P6-P7</f>
        <v>2186.8999999999996</v>
      </c>
      <c r="Q22" s="12">
        <f t="shared" si="34"/>
        <v>4713.0999999999995</v>
      </c>
      <c r="R22" s="12">
        <f t="shared" si="34"/>
        <v>6305.1</v>
      </c>
      <c r="S22" s="12">
        <f t="shared" ref="S22:AA22" si="35">S6-S7</f>
        <v>7815.8399999999992</v>
      </c>
      <c r="T22" s="12">
        <f t="shared" si="35"/>
        <v>9332.8607999999986</v>
      </c>
      <c r="U22" s="12">
        <f t="shared" si="35"/>
        <v>11148.671039999997</v>
      </c>
      <c r="V22" s="12">
        <f t="shared" si="35"/>
        <v>13322.567135999998</v>
      </c>
      <c r="W22" s="12">
        <f t="shared" si="35"/>
        <v>14654.823849599998</v>
      </c>
      <c r="X22" s="12">
        <f t="shared" si="35"/>
        <v>16120.306234559999</v>
      </c>
      <c r="Y22" s="12">
        <f t="shared" si="35"/>
        <v>17732.336858015999</v>
      </c>
      <c r="Z22" s="12">
        <f t="shared" si="35"/>
        <v>19505.570543817601</v>
      </c>
      <c r="AA22" s="12">
        <f t="shared" si="35"/>
        <v>21456.127598199364</v>
      </c>
      <c r="AF22" s="12" t="s">
        <v>86</v>
      </c>
      <c r="AG22" s="16">
        <v>0.01</v>
      </c>
    </row>
    <row r="23" spans="1:94" x14ac:dyDescent="0.3">
      <c r="A23" s="13" t="s">
        <v>73</v>
      </c>
      <c r="G23" s="17">
        <f t="shared" ref="G23:L23" si="36">G22/G6</f>
        <v>0.68545872312489742</v>
      </c>
      <c r="H23" s="17">
        <f t="shared" si="36"/>
        <v>0.6932582159624413</v>
      </c>
      <c r="I23" s="17">
        <f t="shared" si="36"/>
        <v>0.67250175052515748</v>
      </c>
      <c r="J23" s="17">
        <f t="shared" si="36"/>
        <v>0.70201767550441885</v>
      </c>
      <c r="K23" s="17">
        <f t="shared" si="36"/>
        <v>0.68452199377707279</v>
      </c>
      <c r="L23" s="17">
        <f t="shared" si="36"/>
        <v>0.71821155943293347</v>
      </c>
      <c r="M23" s="17">
        <f>M22/M6</f>
        <v>0.71713364740887675</v>
      </c>
      <c r="O23" s="17">
        <f>O22/O6</f>
        <v>0.37110453648915193</v>
      </c>
      <c r="P23" s="17">
        <f t="shared" ref="P23:R23" si="37">P22/P6</f>
        <v>0.52375820280691665</v>
      </c>
      <c r="Q23" s="17">
        <f t="shared" si="37"/>
        <v>0.73331673694201116</v>
      </c>
      <c r="R23" s="17">
        <f t="shared" si="37"/>
        <v>0.77030494062454191</v>
      </c>
      <c r="S23" s="17">
        <f t="shared" ref="S23" si="38">S22/S6</f>
        <v>0.79999999999999993</v>
      </c>
      <c r="T23" s="17">
        <f t="shared" ref="T23" si="39">T22/T6</f>
        <v>0.8</v>
      </c>
      <c r="U23" s="17">
        <f t="shared" ref="U23" si="40">U22/U6</f>
        <v>0.8</v>
      </c>
      <c r="V23" s="17">
        <f t="shared" ref="V23" si="41">V22/V6</f>
        <v>0.8</v>
      </c>
      <c r="W23" s="17">
        <f t="shared" ref="W23" si="42">W22/W6</f>
        <v>0.8</v>
      </c>
      <c r="X23" s="17">
        <f t="shared" ref="X23" si="43">X22/X6</f>
        <v>0.8</v>
      </c>
      <c r="Y23" s="17">
        <f t="shared" ref="Y23" si="44">Y22/Y6</f>
        <v>0.79999999999999993</v>
      </c>
      <c r="Z23" s="17">
        <f t="shared" ref="Z23" si="45">Z22/Z6</f>
        <v>0.79999999999999993</v>
      </c>
      <c r="AA23" s="17">
        <f t="shared" ref="AA23" si="46">AA22/AA6</f>
        <v>0.79999999999999993</v>
      </c>
      <c r="AF23" s="12" t="s">
        <v>85</v>
      </c>
      <c r="AG23" s="16">
        <v>7.0000000000000007E-2</v>
      </c>
    </row>
    <row r="24" spans="1:94" x14ac:dyDescent="0.3">
      <c r="A24" s="13" t="s">
        <v>74</v>
      </c>
      <c r="G24" s="17">
        <f t="shared" ref="G24:L24" si="47">G7/G6</f>
        <v>0.31454127687510258</v>
      </c>
      <c r="H24" s="17">
        <f t="shared" si="47"/>
        <v>0.3067417840375587</v>
      </c>
      <c r="I24" s="17">
        <f t="shared" si="47"/>
        <v>0.32749824947484246</v>
      </c>
      <c r="J24" s="17">
        <f t="shared" si="47"/>
        <v>0.29798232449558115</v>
      </c>
      <c r="K24" s="17">
        <f t="shared" si="47"/>
        <v>0.31547800622292727</v>
      </c>
      <c r="L24" s="17">
        <f t="shared" si="47"/>
        <v>0.28178844056706648</v>
      </c>
      <c r="M24" s="17">
        <f>M7/M6</f>
        <v>0.28286635259112325</v>
      </c>
      <c r="O24" s="17">
        <f>O7/O6</f>
        <v>0.62889546351084813</v>
      </c>
      <c r="P24" s="17">
        <f t="shared" ref="P24:R24" si="48">P7/P6</f>
        <v>0.47624179719308335</v>
      </c>
      <c r="Q24" s="17">
        <f t="shared" si="48"/>
        <v>0.26668326305798884</v>
      </c>
      <c r="R24" s="17">
        <f t="shared" si="48"/>
        <v>0.22969505937545814</v>
      </c>
      <c r="S24" s="17">
        <f t="shared" ref="S24:AA24" si="49">S7/S6</f>
        <v>0.2</v>
      </c>
      <c r="T24" s="17">
        <f t="shared" si="49"/>
        <v>0.2</v>
      </c>
      <c r="U24" s="17">
        <f t="shared" si="49"/>
        <v>0.2</v>
      </c>
      <c r="V24" s="17">
        <f t="shared" si="49"/>
        <v>0.2</v>
      </c>
      <c r="W24" s="17">
        <f t="shared" si="49"/>
        <v>0.2</v>
      </c>
      <c r="X24" s="17">
        <f t="shared" si="49"/>
        <v>0.2</v>
      </c>
      <c r="Y24" s="17">
        <f t="shared" si="49"/>
        <v>0.19999999999999998</v>
      </c>
      <c r="Z24" s="17">
        <f t="shared" si="49"/>
        <v>0.2</v>
      </c>
      <c r="AA24" s="17">
        <f t="shared" si="49"/>
        <v>0.20000000000000004</v>
      </c>
      <c r="AF24" s="12" t="s">
        <v>87</v>
      </c>
      <c r="AG24" s="18">
        <f>NPV(AG23,AB18:CP18)</f>
        <v>57675.101501162506</v>
      </c>
    </row>
    <row r="25" spans="1:94" x14ac:dyDescent="0.3">
      <c r="A25" s="13" t="s">
        <v>75</v>
      </c>
      <c r="G25" s="17">
        <f t="shared" ref="G25:L25" si="50">G10/G6</f>
        <v>0.45384047267355981</v>
      </c>
      <c r="H25" s="17">
        <f t="shared" si="50"/>
        <v>0.44751173708920189</v>
      </c>
      <c r="I25" s="17">
        <f t="shared" si="50"/>
        <v>0.39585208896002139</v>
      </c>
      <c r="J25" s="17">
        <f t="shared" si="50"/>
        <v>0.46039686509921635</v>
      </c>
      <c r="K25" s="17">
        <f t="shared" si="50"/>
        <v>0.58111158562625831</v>
      </c>
      <c r="L25" s="17">
        <f t="shared" si="50"/>
        <v>0.45310796074154852</v>
      </c>
      <c r="M25" s="17">
        <f>M10/M6</f>
        <v>0.37505578973468878</v>
      </c>
      <c r="O25" s="17">
        <f>O10/O6</f>
        <v>0.27412886259040103</v>
      </c>
      <c r="P25" s="17">
        <f t="shared" ref="P25:R25" si="51">P10/P6</f>
        <v>0.45677060880394699</v>
      </c>
      <c r="Q25" s="17">
        <f t="shared" si="51"/>
        <v>0.50697826391374035</v>
      </c>
      <c r="R25" s="17">
        <f t="shared" si="51"/>
        <v>0.49236426721399601</v>
      </c>
      <c r="S25" s="17">
        <f t="shared" ref="S25:AA25" si="52">S10/S6</f>
        <v>0.4</v>
      </c>
      <c r="T25" s="17">
        <f t="shared" si="52"/>
        <v>0.4</v>
      </c>
      <c r="U25" s="17">
        <f t="shared" si="52"/>
        <v>0.4</v>
      </c>
      <c r="V25" s="17">
        <f t="shared" si="52"/>
        <v>0.4</v>
      </c>
      <c r="W25" s="17">
        <f t="shared" si="52"/>
        <v>0.4</v>
      </c>
      <c r="X25" s="17">
        <f t="shared" si="52"/>
        <v>0.4</v>
      </c>
      <c r="Y25" s="17">
        <f t="shared" si="52"/>
        <v>0.39999999999999997</v>
      </c>
      <c r="Z25" s="17">
        <f t="shared" si="52"/>
        <v>0.4</v>
      </c>
      <c r="AA25" s="17">
        <f t="shared" si="52"/>
        <v>0.40000000000000008</v>
      </c>
      <c r="AG25" s="18"/>
    </row>
    <row r="26" spans="1:94" x14ac:dyDescent="0.3">
      <c r="A26" s="13" t="s">
        <v>84</v>
      </c>
      <c r="G26" s="17"/>
      <c r="H26" s="17"/>
      <c r="I26" s="17"/>
      <c r="J26" s="17"/>
      <c r="K26" s="17"/>
      <c r="L26" s="17"/>
      <c r="M26" s="17"/>
      <c r="O26" s="17">
        <f>O15/O6</f>
        <v>5.1545036160420776E-2</v>
      </c>
      <c r="P26" s="17">
        <f t="shared" ref="P26:R26" si="53">P15/P6</f>
        <v>5.4653446376395076E-2</v>
      </c>
      <c r="Q26" s="17">
        <f t="shared" si="53"/>
        <v>7.3112290146411296E-2</v>
      </c>
      <c r="R26" s="17">
        <f t="shared" si="53"/>
        <v>8.8098030591799839E-2</v>
      </c>
      <c r="S26" s="17">
        <f t="shared" ref="S26:AA26" si="54">S15/S6</f>
        <v>7.0000000000000007E-2</v>
      </c>
      <c r="T26" s="17">
        <f t="shared" si="54"/>
        <v>7.0000000000000007E-2</v>
      </c>
      <c r="U26" s="17">
        <f t="shared" si="54"/>
        <v>7.0000000000000007E-2</v>
      </c>
      <c r="V26" s="17">
        <f t="shared" si="54"/>
        <v>7.0000000000000007E-2</v>
      </c>
      <c r="W26" s="17">
        <f t="shared" si="54"/>
        <v>7.0000000000000007E-2</v>
      </c>
      <c r="X26" s="17">
        <f t="shared" si="54"/>
        <v>7.0000000000000007E-2</v>
      </c>
      <c r="Y26" s="17">
        <f t="shared" si="54"/>
        <v>7.0000000000000007E-2</v>
      </c>
      <c r="Z26" s="17">
        <f t="shared" si="54"/>
        <v>7.0000000000000007E-2</v>
      </c>
      <c r="AA26" s="17">
        <f t="shared" si="54"/>
        <v>7.0000000000000007E-2</v>
      </c>
    </row>
    <row r="27" spans="1:94" s="15" customFormat="1" x14ac:dyDescent="0.3">
      <c r="A27" s="15" t="s">
        <v>32</v>
      </c>
      <c r="C27" s="19"/>
      <c r="D27" s="19"/>
      <c r="E27" s="19"/>
      <c r="F27" s="19"/>
      <c r="G27" s="19">
        <f t="shared" ref="G27:L27" si="55">G6/C6-1</f>
        <v>0.36798383475527618</v>
      </c>
      <c r="H27" s="19">
        <f t="shared" si="55"/>
        <v>0.32462686567164178</v>
      </c>
      <c r="I27" s="19">
        <f t="shared" si="55"/>
        <v>0.40131763386599384</v>
      </c>
      <c r="J27" s="19">
        <f t="shared" si="55"/>
        <v>0.43554757630161567</v>
      </c>
      <c r="K27" s="19">
        <f t="shared" si="55"/>
        <v>-0.32746594452650579</v>
      </c>
      <c r="L27" s="19">
        <f t="shared" si="55"/>
        <v>-0.31117370892018781</v>
      </c>
      <c r="M27" s="19">
        <f>M6/I6-1</f>
        <v>-0.32763162282017932</v>
      </c>
      <c r="O27" s="19"/>
      <c r="P27" s="19">
        <f>P6/O6-1</f>
        <v>0.37258382642998011</v>
      </c>
      <c r="Q27" s="19">
        <f>Q6/P6-1</f>
        <v>0.5392776739953058</v>
      </c>
      <c r="R27" s="19">
        <f>R6/Q6-1</f>
        <v>0.27354483359524528</v>
      </c>
      <c r="S27" s="19">
        <f t="shared" ref="S27:AA27" si="56">S6/R6-1</f>
        <v>0.19359331476323116</v>
      </c>
      <c r="T27" s="19">
        <f t="shared" si="56"/>
        <v>0.19409568261376875</v>
      </c>
      <c r="U27" s="19">
        <f t="shared" si="56"/>
        <v>0.19456094748568398</v>
      </c>
      <c r="V27" s="19">
        <f t="shared" si="56"/>
        <v>0.19499150061925241</v>
      </c>
      <c r="W27" s="19">
        <f t="shared" si="56"/>
        <v>0.10000000000000009</v>
      </c>
      <c r="X27" s="19">
        <f t="shared" si="56"/>
        <v>0.10000000000000009</v>
      </c>
      <c r="Y27" s="19">
        <f t="shared" si="56"/>
        <v>0.10000000000000009</v>
      </c>
      <c r="Z27" s="19">
        <f t="shared" si="56"/>
        <v>0.10000000000000009</v>
      </c>
      <c r="AA27" s="19">
        <f t="shared" si="56"/>
        <v>0.10000000000000009</v>
      </c>
    </row>
    <row r="28" spans="1:94" x14ac:dyDescent="0.3">
      <c r="A28" s="13" t="s">
        <v>45</v>
      </c>
    </row>
    <row r="31" spans="1:94" x14ac:dyDescent="0.3">
      <c r="A31" s="12" t="s">
        <v>3</v>
      </c>
      <c r="O31" s="12">
        <f>294.8+2277.8+87.2</f>
        <v>2659.8</v>
      </c>
      <c r="P31" s="12">
        <f>1066.4+3769+51.4</f>
        <v>4886.7999999999993</v>
      </c>
      <c r="Q31" s="12">
        <f>3002.9+3309.2+37</f>
        <v>6349.1</v>
      </c>
      <c r="R31" s="12">
        <f>3843.1+304.7+5.2</f>
        <v>4153</v>
      </c>
    </row>
    <row r="32" spans="1:94" x14ac:dyDescent="0.3">
      <c r="A32" s="12" t="s">
        <v>25</v>
      </c>
      <c r="O32" s="12">
        <v>491.6</v>
      </c>
      <c r="P32" s="12">
        <v>705.9</v>
      </c>
      <c r="Q32" s="12">
        <v>1142.0999999999999</v>
      </c>
      <c r="R32" s="12">
        <v>1407.1</v>
      </c>
    </row>
    <row r="33" spans="1:27" x14ac:dyDescent="0.3">
      <c r="A33" s="12" t="s">
        <v>19</v>
      </c>
      <c r="O33" s="12">
        <v>275</v>
      </c>
      <c r="P33" s="12">
        <v>543.1</v>
      </c>
      <c r="Q33" s="12">
        <v>813.8</v>
      </c>
      <c r="R33" s="12">
        <v>919</v>
      </c>
    </row>
    <row r="34" spans="1:27" x14ac:dyDescent="0.3">
      <c r="A34" s="12" t="s">
        <v>20</v>
      </c>
      <c r="O34" s="12">
        <v>106.5</v>
      </c>
      <c r="P34" s="12">
        <v>278.60000000000002</v>
      </c>
      <c r="Q34" s="12">
        <v>233.6</v>
      </c>
      <c r="R34" s="12">
        <v>279.5</v>
      </c>
      <c r="AA34" s="22">
        <f>AG24*10000000/Main!$M$3</f>
        <v>907.67786207810923</v>
      </c>
    </row>
    <row r="35" spans="1:27" x14ac:dyDescent="0.3">
      <c r="A35" s="12" t="s">
        <v>21</v>
      </c>
      <c r="O35" s="12">
        <f>9+2.5</f>
        <v>11.5</v>
      </c>
      <c r="P35" s="12">
        <f>8.3+1.5</f>
        <v>9.8000000000000007</v>
      </c>
      <c r="Q35" s="12">
        <f>43.8+7.4</f>
        <v>51.199999999999996</v>
      </c>
      <c r="R35" s="12">
        <v>310</v>
      </c>
    </row>
    <row r="36" spans="1:27" x14ac:dyDescent="0.3">
      <c r="A36" s="12" t="s">
        <v>22</v>
      </c>
      <c r="O36" s="12">
        <f>943.9+196.2+12</f>
        <v>1152.0999999999999</v>
      </c>
      <c r="P36" s="12">
        <f>1069.5+193.2</f>
        <v>1262.7</v>
      </c>
      <c r="Q36" s="12">
        <f>1077.4+208.1+1049.5</f>
        <v>2335</v>
      </c>
      <c r="R36" s="12">
        <f>1156+40.8+2277.7</f>
        <v>3474.5</v>
      </c>
    </row>
    <row r="37" spans="1:27" x14ac:dyDescent="0.3">
      <c r="A37" s="13" t="s">
        <v>46</v>
      </c>
      <c r="O37" s="12">
        <v>332.5</v>
      </c>
      <c r="P37" s="12">
        <v>4177.7</v>
      </c>
      <c r="Q37" s="12">
        <f>158.4+153.6+224.3</f>
        <v>536.29999999999995</v>
      </c>
      <c r="R37" s="12">
        <f>912.1+171.2+407</f>
        <v>1490.3</v>
      </c>
    </row>
    <row r="38" spans="1:27" x14ac:dyDescent="0.3">
      <c r="A38" s="12" t="s">
        <v>23</v>
      </c>
      <c r="O38" s="12">
        <v>2461.6</v>
      </c>
      <c r="P38" s="12">
        <v>7179.3</v>
      </c>
      <c r="Q38" s="12">
        <v>3818.7</v>
      </c>
      <c r="R38" s="12">
        <v>4764.3</v>
      </c>
    </row>
    <row r="39" spans="1:27" x14ac:dyDescent="0.3">
      <c r="A39" s="12" t="s">
        <v>26</v>
      </c>
      <c r="O39" s="12">
        <v>7018.1</v>
      </c>
      <c r="P39" s="12">
        <v>9177.2999999999993</v>
      </c>
      <c r="Q39" s="12">
        <v>11817.7</v>
      </c>
      <c r="R39" s="12">
        <v>10224.5</v>
      </c>
    </row>
    <row r="40" spans="1:27" x14ac:dyDescent="0.3">
      <c r="A40" s="12" t="s">
        <v>27</v>
      </c>
      <c r="O40" s="12">
        <v>9479.6</v>
      </c>
      <c r="P40" s="12">
        <v>16356.6</v>
      </c>
      <c r="Q40" s="12">
        <f>Q38+Q39</f>
        <v>15636.400000000001</v>
      </c>
      <c r="R40" s="12">
        <f>R38+R39</f>
        <v>14988.8</v>
      </c>
    </row>
    <row r="42" spans="1:27" x14ac:dyDescent="0.3">
      <c r="A42" s="12" t="s">
        <v>28</v>
      </c>
      <c r="O42" s="12">
        <f>5.1+608.6</f>
        <v>613.70000000000005</v>
      </c>
      <c r="P42" s="12">
        <f>19.3+691.4</f>
        <v>710.69999999999993</v>
      </c>
      <c r="Q42" s="12">
        <f>39.7+743.7</f>
        <v>783.40000000000009</v>
      </c>
      <c r="R42" s="12">
        <f>19+545.5</f>
        <v>564.5</v>
      </c>
    </row>
    <row r="43" spans="1:27" x14ac:dyDescent="0.3">
      <c r="A43" s="12" t="s">
        <v>29</v>
      </c>
      <c r="O43" s="12">
        <v>153.9</v>
      </c>
      <c r="P43" s="12">
        <v>386.5</v>
      </c>
      <c r="Q43" s="12">
        <v>1352.5</v>
      </c>
      <c r="R43" s="12">
        <v>1012.4</v>
      </c>
    </row>
    <row r="44" spans="1:27" x14ac:dyDescent="0.3">
      <c r="A44" s="12" t="s">
        <v>30</v>
      </c>
      <c r="O44" s="12">
        <v>2495.1</v>
      </c>
      <c r="P44" s="12">
        <v>2664.4</v>
      </c>
      <c r="Q44" s="12">
        <v>3349.8</v>
      </c>
      <c r="R44" s="12">
        <v>2649.8</v>
      </c>
    </row>
    <row r="46" spans="1:27" x14ac:dyDescent="0.3">
      <c r="A46" s="12" t="s">
        <v>31</v>
      </c>
      <c r="O46" s="12">
        <v>6984.5</v>
      </c>
      <c r="P46" s="12">
        <v>13712.5</v>
      </c>
      <c r="Q46" s="12">
        <v>12286.7</v>
      </c>
      <c r="R46" s="12">
        <v>12339</v>
      </c>
    </row>
    <row r="49" spans="1:18" x14ac:dyDescent="0.3">
      <c r="A49" s="12" t="s">
        <v>34</v>
      </c>
      <c r="O49" s="12">
        <v>-2200.8000000000002</v>
      </c>
      <c r="P49" s="12">
        <v>-1219.3</v>
      </c>
      <c r="Q49" s="12">
        <v>225.1</v>
      </c>
      <c r="R49" s="12">
        <v>91.6</v>
      </c>
    </row>
    <row r="50" spans="1:18" x14ac:dyDescent="0.3">
      <c r="A50" s="12" t="s">
        <v>35</v>
      </c>
      <c r="O50" s="12">
        <v>1718</v>
      </c>
      <c r="P50" s="12">
        <v>-5471.9</v>
      </c>
      <c r="Q50" s="12">
        <v>607.9</v>
      </c>
      <c r="R50" s="12">
        <v>2945.9</v>
      </c>
    </row>
    <row r="51" spans="1:18" x14ac:dyDescent="0.3">
      <c r="A51" s="12" t="s">
        <v>36</v>
      </c>
      <c r="O51" s="12">
        <v>-207.5</v>
      </c>
      <c r="P51" s="12">
        <v>8062.4</v>
      </c>
      <c r="Q51" s="12">
        <v>7.2</v>
      </c>
      <c r="R51" s="12">
        <v>-1101.0999999999999</v>
      </c>
    </row>
    <row r="52" spans="1:18" x14ac:dyDescent="0.3">
      <c r="A52" s="12" t="s">
        <v>37</v>
      </c>
      <c r="O52" s="12">
        <v>-177.9</v>
      </c>
      <c r="P52" s="12">
        <v>-504.3</v>
      </c>
      <c r="Q52" s="12">
        <v>-812.4</v>
      </c>
      <c r="R52" s="12">
        <v>-696.8</v>
      </c>
    </row>
    <row r="53" spans="1:18" x14ac:dyDescent="0.3">
      <c r="A53" s="12" t="s">
        <v>38</v>
      </c>
      <c r="O53" s="12">
        <f>O49+O52</f>
        <v>-2378.7000000000003</v>
      </c>
      <c r="P53" s="12">
        <f>P49+P52</f>
        <v>-1723.6</v>
      </c>
      <c r="Q53" s="12">
        <f>Q49+Q52</f>
        <v>-587.29999999999995</v>
      </c>
      <c r="R53" s="12">
        <f>R49+R52</f>
        <v>-605.19999999999993</v>
      </c>
    </row>
    <row r="54" spans="1:18" x14ac:dyDescent="0.3">
      <c r="A54" s="12" t="s">
        <v>65</v>
      </c>
      <c r="O54" s="12">
        <f>O49+O50+O51</f>
        <v>-690.30000000000018</v>
      </c>
      <c r="P54" s="12">
        <f t="shared" ref="P54:R54" si="57">P49+P50+P51</f>
        <v>1371.1999999999998</v>
      </c>
      <c r="Q54" s="12">
        <f t="shared" si="57"/>
        <v>840.2</v>
      </c>
      <c r="R54" s="12">
        <f t="shared" si="57"/>
        <v>1936.4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D1CF9-5252-4D3A-8378-AEE014AF66E8}">
  <dimension ref="A2:U32"/>
  <sheetViews>
    <sheetView tabSelected="1" zoomScale="98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I33" sqref="I33"/>
    </sheetView>
  </sheetViews>
  <sheetFormatPr defaultRowHeight="17.399999999999999" x14ac:dyDescent="0.3"/>
  <cols>
    <col min="1" max="1" width="8.88671875" style="4"/>
    <col min="2" max="2" width="30.33203125" style="4" customWidth="1"/>
    <col min="3" max="12" width="13.88671875" style="4" customWidth="1"/>
    <col min="13" max="15" width="12.88671875" style="4" customWidth="1"/>
    <col min="16" max="17" width="8.88671875" style="4"/>
    <col min="18" max="18" width="10.109375" style="4" bestFit="1" customWidth="1"/>
    <col min="19" max="19" width="12.5546875" style="4" customWidth="1"/>
    <col min="20" max="20" width="11.88671875" style="4" customWidth="1"/>
    <col min="21" max="21" width="11.5546875" style="4" bestFit="1" customWidth="1"/>
    <col min="22" max="16384" width="8.88671875" style="4"/>
  </cols>
  <sheetData>
    <row r="2" spans="1:20" x14ac:dyDescent="0.3">
      <c r="C2" s="5" t="s">
        <v>57</v>
      </c>
      <c r="D2" s="5" t="s">
        <v>56</v>
      </c>
      <c r="E2" s="4" t="s">
        <v>55</v>
      </c>
      <c r="F2" s="4" t="s">
        <v>54</v>
      </c>
      <c r="G2" s="4" t="s">
        <v>53</v>
      </c>
      <c r="H2" s="4" t="s">
        <v>52</v>
      </c>
      <c r="I2" s="4" t="s">
        <v>51</v>
      </c>
      <c r="J2" s="4" t="s">
        <v>50</v>
      </c>
      <c r="K2" s="4" t="s">
        <v>49</v>
      </c>
      <c r="L2" s="4" t="s">
        <v>48</v>
      </c>
      <c r="M2" s="4" t="s">
        <v>47</v>
      </c>
      <c r="P2" s="4">
        <v>2020</v>
      </c>
      <c r="Q2" s="4">
        <v>2021</v>
      </c>
      <c r="R2" s="4">
        <v>2022</v>
      </c>
      <c r="S2" s="4">
        <f>R2+1</f>
        <v>2023</v>
      </c>
      <c r="T2" s="4">
        <f>S2+1</f>
        <v>2024</v>
      </c>
    </row>
    <row r="3" spans="1:20" x14ac:dyDescent="0.3">
      <c r="A3" s="4" t="s">
        <v>58</v>
      </c>
    </row>
    <row r="5" spans="1:20" x14ac:dyDescent="0.3">
      <c r="A5" s="10" t="s">
        <v>81</v>
      </c>
      <c r="P5" s="4">
        <v>4</v>
      </c>
      <c r="Q5" s="4">
        <v>4.5</v>
      </c>
      <c r="R5" s="4">
        <v>6.1</v>
      </c>
      <c r="S5" s="4">
        <v>8.1999999999999993</v>
      </c>
      <c r="T5" s="4">
        <v>9.6</v>
      </c>
    </row>
    <row r="6" spans="1:20" x14ac:dyDescent="0.3">
      <c r="A6" s="5" t="s">
        <v>82</v>
      </c>
      <c r="P6" s="4">
        <f>2/100</f>
        <v>0.02</v>
      </c>
      <c r="Q6" s="4">
        <f>8/100</f>
        <v>0.08</v>
      </c>
      <c r="R6" s="4">
        <f>29/100</f>
        <v>0.28999999999999998</v>
      </c>
      <c r="S6" s="4">
        <f>68/100</f>
        <v>0.68</v>
      </c>
      <c r="T6" s="4">
        <f>107/100</f>
        <v>1.07</v>
      </c>
    </row>
    <row r="7" spans="1:20" x14ac:dyDescent="0.3">
      <c r="A7" s="5" t="s">
        <v>83</v>
      </c>
    </row>
    <row r="9" spans="1:20" x14ac:dyDescent="0.3">
      <c r="A9" s="4" t="s">
        <v>64</v>
      </c>
    </row>
    <row r="10" spans="1:20" x14ac:dyDescent="0.3">
      <c r="A10" s="10" t="s">
        <v>76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R10" s="4">
        <v>3428</v>
      </c>
      <c r="S10" s="4">
        <v>4930</v>
      </c>
      <c r="T10" s="4">
        <v>6236</v>
      </c>
    </row>
    <row r="11" spans="1:20" x14ac:dyDescent="0.3">
      <c r="A11" s="10" t="s">
        <v>77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R11" s="4">
        <v>437</v>
      </c>
      <c r="S11" s="4">
        <v>1540</v>
      </c>
      <c r="T11" s="4">
        <v>2004</v>
      </c>
    </row>
    <row r="12" spans="1:20" x14ac:dyDescent="0.3">
      <c r="A12" s="10" t="s">
        <v>78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R12" s="4">
        <v>1105</v>
      </c>
      <c r="S12" s="4">
        <v>1520</v>
      </c>
      <c r="T12" s="4">
        <v>1738</v>
      </c>
    </row>
    <row r="15" spans="1:20" x14ac:dyDescent="0.3">
      <c r="A15" s="1" t="s">
        <v>63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S15" s="8">
        <f>S10/R10-1</f>
        <v>0.43815635939323228</v>
      </c>
      <c r="T15" s="8">
        <f>T10/S10-1</f>
        <v>0.26490872210953342</v>
      </c>
    </row>
    <row r="16" spans="1:20" x14ac:dyDescent="0.3">
      <c r="A16" s="1" t="s">
        <v>62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S16" s="8">
        <f t="shared" ref="S16:T16" si="0">S11/R11-1</f>
        <v>2.5240274599542336</v>
      </c>
      <c r="T16" s="8">
        <f t="shared" si="0"/>
        <v>0.3012987012987014</v>
      </c>
    </row>
    <row r="17" spans="1:21" x14ac:dyDescent="0.3">
      <c r="A17" s="1" t="s">
        <v>59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S17" s="8">
        <f t="shared" ref="S17:T17" si="1">S12/R12-1</f>
        <v>0.3755656108597285</v>
      </c>
      <c r="T17" s="8">
        <f t="shared" si="1"/>
        <v>0.14342105263157889</v>
      </c>
    </row>
    <row r="19" spans="1:21" x14ac:dyDescent="0.3">
      <c r="A19" s="9" t="s">
        <v>66</v>
      </c>
      <c r="C19" s="4">
        <f t="shared" ref="C19:J19" si="2">SUM(C20:C24)</f>
        <v>1680</v>
      </c>
      <c r="D19" s="4">
        <f t="shared" si="2"/>
        <v>1914</v>
      </c>
      <c r="E19" s="4">
        <f t="shared" si="2"/>
        <v>2063</v>
      </c>
      <c r="F19" s="4">
        <f t="shared" si="2"/>
        <v>2334</v>
      </c>
      <c r="G19" s="4">
        <f t="shared" si="2"/>
        <v>2342</v>
      </c>
      <c r="H19" s="4">
        <f t="shared" si="2"/>
        <v>2518</v>
      </c>
      <c r="I19" s="4">
        <f t="shared" si="2"/>
        <v>2851</v>
      </c>
      <c r="J19" s="4">
        <f t="shared" si="2"/>
        <v>2268</v>
      </c>
      <c r="K19" s="4">
        <f>SUM(K20:K24)</f>
        <v>1501</v>
      </c>
      <c r="L19" s="4">
        <f>SUM(L20:L24)</f>
        <v>1660</v>
      </c>
      <c r="M19" s="4">
        <f>SUM(M20:M24)</f>
        <v>1828</v>
      </c>
      <c r="R19" s="4">
        <f>SUM(R20:R24)</f>
        <v>4974</v>
      </c>
      <c r="S19" s="4">
        <f t="shared" ref="S19:T19" si="3">SUM(S20:S24)</f>
        <v>7990</v>
      </c>
      <c r="T19" s="4">
        <f t="shared" si="3"/>
        <v>9978</v>
      </c>
      <c r="U19" s="4">
        <f>1.1*T19</f>
        <v>10975.800000000001</v>
      </c>
    </row>
    <row r="20" spans="1:21" x14ac:dyDescent="0.3">
      <c r="A20" s="5" t="s">
        <v>67</v>
      </c>
      <c r="C20" s="4">
        <v>519</v>
      </c>
      <c r="D20" s="4">
        <v>549</v>
      </c>
      <c r="E20" s="4">
        <v>513</v>
      </c>
      <c r="F20" s="4">
        <v>524</v>
      </c>
      <c r="G20" s="4">
        <v>554</v>
      </c>
      <c r="H20" s="4">
        <v>579</v>
      </c>
      <c r="I20" s="4">
        <v>598</v>
      </c>
      <c r="J20" s="4">
        <v>438</v>
      </c>
      <c r="K20" s="4">
        <v>83</v>
      </c>
      <c r="L20" s="4">
        <v>946</v>
      </c>
      <c r="M20" s="4">
        <v>1003</v>
      </c>
      <c r="R20" s="4">
        <v>1528</v>
      </c>
      <c r="S20" s="4">
        <v>2105</v>
      </c>
      <c r="T20" s="4">
        <v>2168</v>
      </c>
    </row>
    <row r="21" spans="1:21" x14ac:dyDescent="0.3">
      <c r="A21" s="4" t="s">
        <v>68</v>
      </c>
      <c r="C21" s="4">
        <v>557</v>
      </c>
      <c r="D21" s="4">
        <v>624</v>
      </c>
      <c r="E21" s="4">
        <v>640</v>
      </c>
      <c r="F21" s="4">
        <v>918</v>
      </c>
      <c r="G21" s="4">
        <v>842</v>
      </c>
      <c r="H21" s="4">
        <v>921</v>
      </c>
      <c r="I21" s="4">
        <v>1081</v>
      </c>
      <c r="J21" s="4">
        <v>1117</v>
      </c>
      <c r="K21" s="4">
        <v>801</v>
      </c>
      <c r="R21" s="4">
        <v>1892</v>
      </c>
      <c r="S21" s="4">
        <v>2739</v>
      </c>
      <c r="T21" s="4">
        <v>3960</v>
      </c>
    </row>
    <row r="22" spans="1:21" x14ac:dyDescent="0.3">
      <c r="A22" s="4" t="s">
        <v>69</v>
      </c>
      <c r="C22" s="4">
        <v>271</v>
      </c>
      <c r="D22" s="4">
        <v>349</v>
      </c>
      <c r="E22" s="4">
        <v>446</v>
      </c>
      <c r="F22" s="4">
        <v>475</v>
      </c>
      <c r="G22" s="4">
        <v>522</v>
      </c>
      <c r="H22" s="4">
        <v>571</v>
      </c>
      <c r="I22" s="4">
        <v>607</v>
      </c>
      <c r="J22" s="4">
        <v>304</v>
      </c>
      <c r="K22" s="4">
        <v>280</v>
      </c>
      <c r="L22" s="4">
        <v>376</v>
      </c>
      <c r="M22" s="4">
        <v>502</v>
      </c>
      <c r="R22" s="4">
        <v>437</v>
      </c>
      <c r="S22" s="4">
        <v>1540</v>
      </c>
      <c r="T22" s="4">
        <v>2004</v>
      </c>
    </row>
    <row r="23" spans="1:21" x14ac:dyDescent="0.3">
      <c r="A23" s="4" t="s">
        <v>59</v>
      </c>
      <c r="C23" s="4">
        <v>331</v>
      </c>
      <c r="D23" s="4">
        <v>377</v>
      </c>
      <c r="E23" s="4">
        <v>420</v>
      </c>
      <c r="F23" s="4">
        <v>392</v>
      </c>
      <c r="G23" s="4">
        <v>405</v>
      </c>
      <c r="H23" s="4">
        <v>423</v>
      </c>
      <c r="I23" s="4">
        <v>514</v>
      </c>
      <c r="J23" s="4">
        <v>395</v>
      </c>
      <c r="K23" s="4">
        <v>321</v>
      </c>
      <c r="L23" s="4">
        <v>302</v>
      </c>
      <c r="M23" s="4">
        <v>267</v>
      </c>
      <c r="R23" s="4">
        <v>1105</v>
      </c>
      <c r="S23" s="4">
        <v>1520</v>
      </c>
      <c r="T23" s="4">
        <v>1738</v>
      </c>
    </row>
    <row r="24" spans="1:21" x14ac:dyDescent="0.3">
      <c r="A24" s="4" t="s">
        <v>70</v>
      </c>
      <c r="C24" s="4">
        <v>2</v>
      </c>
      <c r="D24" s="4">
        <v>15</v>
      </c>
      <c r="E24" s="4">
        <v>44</v>
      </c>
      <c r="F24" s="4">
        <v>25</v>
      </c>
      <c r="G24" s="4">
        <v>19</v>
      </c>
      <c r="H24" s="4">
        <v>24</v>
      </c>
      <c r="I24" s="4">
        <v>51</v>
      </c>
      <c r="J24" s="4">
        <v>14</v>
      </c>
      <c r="K24" s="4">
        <v>16</v>
      </c>
      <c r="L24" s="4">
        <v>36</v>
      </c>
      <c r="M24" s="4">
        <v>56</v>
      </c>
      <c r="R24" s="4">
        <v>12</v>
      </c>
      <c r="S24" s="4">
        <v>86</v>
      </c>
      <c r="T24" s="4">
        <v>108</v>
      </c>
    </row>
    <row r="25" spans="1:21" x14ac:dyDescent="0.3">
      <c r="A25" s="4" t="s">
        <v>71</v>
      </c>
      <c r="R25" s="4">
        <f>SUM(R20:R24)</f>
        <v>4974</v>
      </c>
      <c r="S25" s="4">
        <f t="shared" ref="S25:T25" si="4">SUM(S20:S24)</f>
        <v>7990</v>
      </c>
      <c r="T25" s="4">
        <f t="shared" si="4"/>
        <v>9978</v>
      </c>
    </row>
    <row r="27" spans="1:21" x14ac:dyDescent="0.3">
      <c r="A27" s="4" t="s">
        <v>32</v>
      </c>
      <c r="F27" s="8"/>
      <c r="G27" s="8">
        <f t="shared" ref="F27:L27" si="5">G19/C19-1</f>
        <v>0.39404761904761898</v>
      </c>
      <c r="H27" s="8">
        <f t="shared" si="5"/>
        <v>0.31556948798328111</v>
      </c>
      <c r="I27" s="8">
        <f t="shared" si="5"/>
        <v>0.3819680077556955</v>
      </c>
      <c r="J27" s="8">
        <f t="shared" si="5"/>
        <v>-2.8277634961439535E-2</v>
      </c>
      <c r="K27" s="8">
        <f t="shared" si="5"/>
        <v>-0.35909479077711359</v>
      </c>
      <c r="L27" s="8">
        <f t="shared" si="5"/>
        <v>-0.34074662430500402</v>
      </c>
      <c r="M27" s="8" t="s">
        <v>89</v>
      </c>
    </row>
    <row r="29" spans="1:21" x14ac:dyDescent="0.3">
      <c r="A29" s="4" t="s">
        <v>79</v>
      </c>
      <c r="C29" s="4">
        <v>0.38</v>
      </c>
      <c r="D29" s="4">
        <v>0.48</v>
      </c>
      <c r="E29" s="4">
        <v>0.57999999999999996</v>
      </c>
      <c r="F29" s="4">
        <v>0.68</v>
      </c>
      <c r="G29" s="4">
        <v>0.79</v>
      </c>
      <c r="H29" s="4">
        <v>0.92</v>
      </c>
      <c r="I29" s="4">
        <v>1.06</v>
      </c>
      <c r="J29" s="4">
        <v>1.07</v>
      </c>
      <c r="K29" s="4">
        <v>1.0900000000000001</v>
      </c>
      <c r="L29" s="4">
        <v>1.1200000000000001</v>
      </c>
      <c r="M29" s="4">
        <v>1.17</v>
      </c>
      <c r="R29" s="4" t="e">
        <f>R19/Q19</f>
        <v>#DIV/0!</v>
      </c>
      <c r="S29" s="8">
        <f>S19/R19-1</f>
        <v>0.60635303578608757</v>
      </c>
      <c r="T29" s="8">
        <f t="shared" ref="T29:U29" si="6">T19/S19-1</f>
        <v>0.24881101376720904</v>
      </c>
      <c r="U29" s="8">
        <f t="shared" si="6"/>
        <v>0.10000000000000009</v>
      </c>
    </row>
    <row r="30" spans="1:21" x14ac:dyDescent="0.3">
      <c r="A30" s="4" t="s">
        <v>80</v>
      </c>
      <c r="C30" s="4">
        <v>2.83</v>
      </c>
      <c r="D30" s="4">
        <v>2.95</v>
      </c>
      <c r="E30" s="4">
        <v>3.14</v>
      </c>
      <c r="F30" s="4">
        <v>3.35</v>
      </c>
      <c r="G30" s="4">
        <v>3.56</v>
      </c>
      <c r="H30" s="4">
        <v>3.75</v>
      </c>
      <c r="I30" s="4">
        <v>3.93</v>
      </c>
      <c r="J30" s="4">
        <v>4.0599999999999996</v>
      </c>
      <c r="K30" s="4">
        <v>4.12</v>
      </c>
      <c r="L30" s="4">
        <v>4.2</v>
      </c>
      <c r="M30" s="4">
        <v>4.3</v>
      </c>
    </row>
    <row r="32" spans="1:21" x14ac:dyDescent="0.3">
      <c r="A32" s="4" t="s">
        <v>88</v>
      </c>
      <c r="M32" s="4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Revenues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SRIKAR</dc:creator>
  <cp:lastModifiedBy>MANI SRIKAR</cp:lastModifiedBy>
  <dcterms:created xsi:type="dcterms:W3CDTF">2025-04-12T14:10:31Z</dcterms:created>
  <dcterms:modified xsi:type="dcterms:W3CDTF">2025-04-16T17:17:35Z</dcterms:modified>
</cp:coreProperties>
</file>