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Ex5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Ex6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Ex7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8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 Srikar\Downloads\"/>
    </mc:Choice>
  </mc:AlternateContent>
  <xr:revisionPtr revIDLastSave="0" documentId="13_ncr:1_{A9D4B150-CA6F-4B96-A624-88710E277F29}" xr6:coauthVersionLast="47" xr6:coauthVersionMax="47" xr10:uidLastSave="{00000000-0000-0000-0000-000000000000}"/>
  <bookViews>
    <workbookView xWindow="-108" yWindow="-108" windowWidth="23256" windowHeight="12456" tabRatio="897" firstSheet="1" activeTab="3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  <sheet name="Workings --&gt;" sheetId="174" r:id="rId6"/>
    <sheet name="Income Statement items" sheetId="199" r:id="rId7"/>
    <sheet name="Automotive" sheetId="187" r:id="rId8"/>
    <sheet name="Deliveries" sheetId="180" r:id="rId9"/>
    <sheet name="Deliveries development" sheetId="181" r:id="rId10"/>
    <sheet name="Deliveries comparables" sheetId="207" r:id="rId11"/>
    <sheet name="Average Prices" sheetId="223" r:id="rId12"/>
    <sheet name="Revenue automotive" sheetId="182" r:id="rId13"/>
    <sheet name="GP% automotive" sheetId="185" r:id="rId14"/>
    <sheet name="GP automotive" sheetId="186" r:id="rId15"/>
    <sheet name="Cost of sales automotive" sheetId="193" r:id="rId16"/>
    <sheet name="Revenue &amp; GP autom" sheetId="212" r:id="rId17"/>
    <sheet name="Energy &amp; Other" sheetId="188" r:id="rId18"/>
    <sheet name="Revenue Energy &amp; Other" sheetId="191" r:id="rId19"/>
    <sheet name="GP Energy &amp; Other" sheetId="192" r:id="rId20"/>
    <sheet name="Cost of sales Energy &amp; Other" sheetId="206" r:id="rId21"/>
    <sheet name="Operating expenses" sheetId="194" r:id="rId22"/>
    <sheet name="Opex comparables" sheetId="197" r:id="rId23"/>
    <sheet name="Opex" sheetId="167" r:id="rId24"/>
    <sheet name="Balance Sheet --&gt;" sheetId="200" r:id="rId25"/>
    <sheet name="PP&amp;E --&gt;" sheetId="195" r:id="rId26"/>
    <sheet name="PP&amp;E" sheetId="168" r:id="rId27"/>
    <sheet name="PP&amp;E Comparables" sheetId="203" r:id="rId28"/>
    <sheet name="Working Capital --&gt; " sheetId="202" r:id="rId29"/>
    <sheet name="WC comparables" sheetId="204" r:id="rId30"/>
    <sheet name="Working capital" sheetId="169" r:id="rId31"/>
    <sheet name="WC development" sheetId="211" r:id="rId32"/>
    <sheet name="Financing --&gt;" sheetId="205" r:id="rId33"/>
    <sheet name="Financing" sheetId="172" r:id="rId34"/>
    <sheet name="WACC" sheetId="175" r:id="rId35"/>
    <sheet name="Output --&gt;" sheetId="156" r:id="rId36"/>
    <sheet name="P&amp;L" sheetId="176" r:id="rId37"/>
    <sheet name="Balance Sheet" sheetId="177" r:id="rId38"/>
    <sheet name="Cash Flow" sheetId="178" r:id="rId39"/>
    <sheet name="DCF" sheetId="179" r:id="rId40"/>
    <sheet name="Bridge charts --&gt;" sheetId="208" r:id="rId41"/>
    <sheet name="Revenue bridge" sheetId="209" r:id="rId42"/>
    <sheet name="Cash flow bridge" sheetId="210" r:id="rId43"/>
    <sheet name="Expenses bridge" sheetId="221" r:id="rId44"/>
    <sheet name="Net Income bridge" sheetId="222" r:id="rId45"/>
    <sheet name="Other charts --&gt;" sheetId="213" r:id="rId46"/>
    <sheet name="Revenue by type of car" sheetId="217" r:id="rId47"/>
    <sheet name="Types of vehicles" sheetId="214" r:id="rId48"/>
    <sheet name="Profitability" sheetId="216" r:id="rId49"/>
    <sheet name="Price - Volume - Mix --&gt;" sheetId="218" r:id="rId50"/>
    <sheet name="Price-Volume-Mix" sheetId="219" r:id="rId51"/>
  </sheets>
  <definedNames>
    <definedName name="_xlchart.v1.0" hidden="1">'Revenue bridge'!$B$8:$B$15</definedName>
    <definedName name="_xlchart.v1.1" hidden="1">'Revenue bridge'!$C$8:$C$15</definedName>
    <definedName name="_xlchart.v1.10" hidden="1">'Net Income bridge'!$B$3:$B$16</definedName>
    <definedName name="_xlchart.v1.11" hidden="1">'Net Income bridge'!$C$3:$C$16</definedName>
    <definedName name="_xlchart.v1.12" hidden="1">'Price-Volume-Mix'!$B$11:$B$15</definedName>
    <definedName name="_xlchart.v1.13" hidden="1">'Price-Volume-Mix'!$C$11:$C$15</definedName>
    <definedName name="_xlchart.v1.14" hidden="1">'Price-Volume-Mix'!$B$21:$B$25</definedName>
    <definedName name="_xlchart.v1.15" hidden="1">'Price-Volume-Mix'!$C$21:$C$25</definedName>
    <definedName name="_xlchart.v1.2" hidden="1">'Revenue bridge'!$B$27:$B$34</definedName>
    <definedName name="_xlchart.v1.3" hidden="1">'Revenue bridge'!$C$27:$C$34</definedName>
    <definedName name="_xlchart.v1.4" hidden="1">'Cash flow bridge'!$B$8:$B$14</definedName>
    <definedName name="_xlchart.v1.5" hidden="1">'Cash flow bridge'!$C$8:$C$14</definedName>
    <definedName name="_xlchart.v1.6" hidden="1">'Cash flow bridge'!$B$26:$B$32</definedName>
    <definedName name="_xlchart.v1.7" hidden="1">'Cash flow bridge'!$C$26:$C$32</definedName>
    <definedName name="_xlchart.v1.8" hidden="1">'Expenses bridge'!$B$8:$B$14</definedName>
    <definedName name="_xlchart.v1.9" hidden="1">'Expenses bridge'!$C$8:$C$14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79" l="1"/>
  <c r="J17" i="192" l="1"/>
  <c r="K17" i="192"/>
  <c r="L17" i="192"/>
  <c r="M17" i="192"/>
  <c r="N17" i="192"/>
  <c r="O17" i="192"/>
  <c r="P17" i="192"/>
  <c r="Q17" i="192"/>
  <c r="I17" i="192"/>
  <c r="D9" i="207"/>
  <c r="D10" i="207"/>
  <c r="D11" i="207"/>
  <c r="D7" i="207"/>
  <c r="C8" i="207"/>
  <c r="D8" i="207" s="1"/>
  <c r="F7" i="223" l="1"/>
  <c r="I21" i="192" l="1"/>
  <c r="J21" i="192"/>
  <c r="K21" i="192"/>
  <c r="L21" i="192"/>
  <c r="M21" i="192"/>
  <c r="N21" i="192"/>
  <c r="O21" i="192"/>
  <c r="P21" i="192"/>
  <c r="Q21" i="192"/>
  <c r="H21" i="192"/>
  <c r="H14" i="192"/>
  <c r="I14" i="192"/>
  <c r="I20" i="191"/>
  <c r="J20" i="191"/>
  <c r="K20" i="191"/>
  <c r="L20" i="191"/>
  <c r="M20" i="191"/>
  <c r="N20" i="191"/>
  <c r="O20" i="191"/>
  <c r="P20" i="191"/>
  <c r="Q20" i="191"/>
  <c r="H20" i="191"/>
  <c r="H14" i="191"/>
  <c r="I14" i="191"/>
  <c r="J14" i="191"/>
  <c r="K14" i="191"/>
  <c r="L14" i="191"/>
  <c r="M14" i="191"/>
  <c r="N14" i="191"/>
  <c r="O14" i="191"/>
  <c r="P14" i="191"/>
  <c r="Q14" i="191"/>
  <c r="F16" i="223" l="1"/>
  <c r="F17" i="223"/>
  <c r="F18" i="223"/>
  <c r="F15" i="223"/>
  <c r="F12" i="223"/>
  <c r="R6" i="182"/>
  <c r="N14" i="192" l="1"/>
  <c r="M14" i="192"/>
  <c r="J14" i="192"/>
  <c r="K14" i="192"/>
  <c r="L14" i="192"/>
  <c r="B6" i="178"/>
  <c r="J15" i="203"/>
  <c r="I15" i="203"/>
  <c r="I14" i="203"/>
  <c r="J14" i="203"/>
  <c r="J13" i="203"/>
  <c r="I13" i="203"/>
  <c r="I12" i="203"/>
  <c r="J12" i="203"/>
  <c r="J11" i="203"/>
  <c r="I11" i="203"/>
  <c r="I10" i="203"/>
  <c r="J10" i="203"/>
  <c r="J9" i="203"/>
  <c r="I9" i="203"/>
  <c r="I8" i="203"/>
  <c r="J8" i="203"/>
  <c r="J7" i="203"/>
  <c r="I7" i="203"/>
  <c r="O14" i="192" l="1"/>
  <c r="J16" i="203"/>
  <c r="I16" i="203"/>
  <c r="B21" i="168"/>
  <c r="B3" i="168"/>
  <c r="J3" i="203" s="1"/>
  <c r="D13" i="197"/>
  <c r="Q14" i="192" l="1"/>
  <c r="P14" i="192"/>
  <c r="F8" i="185"/>
  <c r="E8" i="185"/>
  <c r="R10" i="182"/>
  <c r="K17" i="180"/>
  <c r="R9" i="182" l="1"/>
  <c r="R8" i="182"/>
  <c r="R7" i="182"/>
  <c r="R5" i="182"/>
  <c r="B27" i="209" l="1"/>
  <c r="C11" i="177" l="1"/>
  <c r="D11" i="177"/>
  <c r="E11" i="177"/>
  <c r="F11" i="177"/>
  <c r="G11" i="177"/>
  <c r="F14" i="204"/>
  <c r="C14" i="204"/>
  <c r="I14" i="204"/>
  <c r="I13" i="204"/>
  <c r="C13" i="204"/>
  <c r="F13" i="204"/>
  <c r="I12" i="204"/>
  <c r="F12" i="204"/>
  <c r="C12" i="204"/>
  <c r="I11" i="204"/>
  <c r="C11" i="204"/>
  <c r="F11" i="204"/>
  <c r="I10" i="204"/>
  <c r="C10" i="204"/>
  <c r="F10" i="204"/>
  <c r="I9" i="204"/>
  <c r="C9" i="204"/>
  <c r="F9" i="204"/>
  <c r="I8" i="204"/>
  <c r="F8" i="204"/>
  <c r="C8" i="204"/>
  <c r="F11" i="185"/>
  <c r="F9" i="185"/>
  <c r="D9" i="185"/>
  <c r="D7" i="185"/>
  <c r="F6" i="185"/>
  <c r="E6" i="185"/>
  <c r="I7" i="204"/>
  <c r="F7" i="204"/>
  <c r="C7" i="204"/>
  <c r="C42" i="154"/>
  <c r="F15" i="203"/>
  <c r="C15" i="203"/>
  <c r="D15" i="203" s="1"/>
  <c r="F14" i="203"/>
  <c r="C14" i="203"/>
  <c r="F13" i="203"/>
  <c r="C13" i="203"/>
  <c r="F12" i="203"/>
  <c r="C12" i="203"/>
  <c r="F11" i="203"/>
  <c r="G11" i="203" s="1"/>
  <c r="C11" i="203"/>
  <c r="D11" i="203" s="1"/>
  <c r="F10" i="203"/>
  <c r="C10" i="203"/>
  <c r="F7" i="203"/>
  <c r="C7" i="203"/>
  <c r="F9" i="203"/>
  <c r="C9" i="203"/>
  <c r="F8" i="203"/>
  <c r="C8" i="203"/>
  <c r="B27" i="168" l="1"/>
  <c r="B24" i="168"/>
  <c r="C17" i="197" l="1"/>
  <c r="D17" i="197" s="1"/>
  <c r="C14" i="197"/>
  <c r="C12" i="197"/>
  <c r="C10" i="197"/>
  <c r="C9" i="197"/>
  <c r="C8" i="197"/>
  <c r="E7" i="185"/>
  <c r="F10" i="185"/>
  <c r="E10" i="185"/>
  <c r="D10" i="185"/>
  <c r="G29" i="155"/>
  <c r="N19" i="180"/>
  <c r="N20" i="180"/>
  <c r="P19" i="180"/>
  <c r="P20" i="180"/>
  <c r="O19" i="180"/>
  <c r="O20" i="180"/>
  <c r="L19" i="180"/>
  <c r="L20" i="180"/>
  <c r="M19" i="180"/>
  <c r="M20" i="180"/>
  <c r="O18" i="180"/>
  <c r="M18" i="180"/>
  <c r="H5" i="180"/>
  <c r="H7" i="180"/>
  <c r="P18" i="180"/>
  <c r="N18" i="180"/>
  <c r="L18" i="180"/>
  <c r="P16" i="180"/>
  <c r="O16" i="180"/>
  <c r="N16" i="180"/>
  <c r="M16" i="180"/>
  <c r="L16" i="180"/>
  <c r="K16" i="180"/>
  <c r="J16" i="180"/>
  <c r="I16" i="180"/>
  <c r="H16" i="180"/>
  <c r="H6" i="180" s="1"/>
  <c r="P15" i="180"/>
  <c r="O15" i="180"/>
  <c r="N15" i="180"/>
  <c r="Q17" i="180" s="1"/>
  <c r="M15" i="180"/>
  <c r="P17" i="180" s="1"/>
  <c r="L15" i="180"/>
  <c r="O17" i="180" s="1"/>
  <c r="K15" i="180"/>
  <c r="N17" i="180" s="1"/>
  <c r="J15" i="180"/>
  <c r="M17" i="180" s="1"/>
  <c r="I15" i="180"/>
  <c r="L17" i="180" s="1"/>
  <c r="F15" i="180"/>
  <c r="I17" i="180" s="1"/>
  <c r="G15" i="180"/>
  <c r="J17" i="180" s="1"/>
  <c r="F16" i="180"/>
  <c r="G16" i="180"/>
  <c r="I5" i="180" l="1"/>
  <c r="K19" i="180"/>
  <c r="J20" i="180"/>
  <c r="I7" i="180"/>
  <c r="J19" i="180"/>
  <c r="K20" i="180"/>
  <c r="E16" i="180"/>
  <c r="D16" i="180"/>
  <c r="E11" i="180"/>
  <c r="D11" i="180"/>
  <c r="C11" i="180"/>
  <c r="F11" i="180"/>
  <c r="E42" i="154" l="1"/>
  <c r="G41" i="154"/>
  <c r="D31" i="154"/>
  <c r="D34" i="154" s="1"/>
  <c r="C31" i="154"/>
  <c r="C34" i="154" s="1"/>
  <c r="E27" i="154"/>
  <c r="E31" i="154" s="1"/>
  <c r="E34" i="154" s="1"/>
  <c r="E15" i="154"/>
  <c r="E9" i="154"/>
  <c r="D9" i="154"/>
  <c r="D18" i="154" s="1"/>
  <c r="C9" i="154"/>
  <c r="C18" i="154" s="1"/>
  <c r="G28" i="155"/>
  <c r="F28" i="155"/>
  <c r="G27" i="155"/>
  <c r="F26" i="155"/>
  <c r="E31" i="155"/>
  <c r="E32" i="155"/>
  <c r="D32" i="155"/>
  <c r="C32" i="155"/>
  <c r="D31" i="155"/>
  <c r="C31" i="155"/>
  <c r="E30" i="155"/>
  <c r="D30" i="155"/>
  <c r="C30" i="155"/>
  <c r="E29" i="155"/>
  <c r="D29" i="155"/>
  <c r="C29" i="155"/>
  <c r="E28" i="155"/>
  <c r="D28" i="155"/>
  <c r="E27" i="155"/>
  <c r="D27" i="155"/>
  <c r="E26" i="155"/>
  <c r="D26" i="155"/>
  <c r="E7" i="155"/>
  <c r="E11" i="155" s="1"/>
  <c r="E15" i="155" s="1"/>
  <c r="D7" i="155"/>
  <c r="D11" i="155" s="1"/>
  <c r="D15" i="155" s="1"/>
  <c r="C7" i="155"/>
  <c r="C11" i="155" s="1"/>
  <c r="C15" i="155" s="1"/>
  <c r="E18" i="154" l="1"/>
  <c r="C45" i="154"/>
  <c r="F27" i="155"/>
  <c r="F27" i="154"/>
  <c r="F31" i="154" s="1"/>
  <c r="F34" i="154" s="1"/>
  <c r="G26" i="155"/>
  <c r="F9" i="154"/>
  <c r="F18" i="154" s="1"/>
  <c r="F31" i="155"/>
  <c r="F30" i="155"/>
  <c r="F29" i="155"/>
  <c r="F7" i="155"/>
  <c r="F11" i="155" s="1"/>
  <c r="F15" i="155" s="1"/>
  <c r="F33" i="155" s="1"/>
  <c r="F32" i="155"/>
  <c r="D33" i="155"/>
  <c r="D19" i="155"/>
  <c r="D21" i="155" s="1"/>
  <c r="D23" i="155" s="1"/>
  <c r="E33" i="155"/>
  <c r="E19" i="155"/>
  <c r="E21" i="155" s="1"/>
  <c r="E23" i="155" s="1"/>
  <c r="C33" i="155"/>
  <c r="C19" i="155"/>
  <c r="C21" i="155" s="1"/>
  <c r="C23" i="155" s="1"/>
  <c r="C36" i="155" s="1"/>
  <c r="C17" i="185" l="1"/>
  <c r="H7" i="185" s="1"/>
  <c r="C16" i="185"/>
  <c r="H6" i="185" s="1"/>
  <c r="F19" i="155"/>
  <c r="F21" i="155" s="1"/>
  <c r="F23" i="155" s="1"/>
  <c r="F36" i="155" s="1"/>
  <c r="C35" i="155"/>
  <c r="C34" i="155"/>
  <c r="D36" i="155"/>
  <c r="D35" i="155"/>
  <c r="D34" i="155"/>
  <c r="E36" i="155"/>
  <c r="E35" i="155"/>
  <c r="E34" i="155"/>
  <c r="C5" i="175"/>
  <c r="F35" i="155" l="1"/>
  <c r="F34" i="155"/>
  <c r="G42" i="154" l="1"/>
  <c r="C7" i="175" l="1"/>
  <c r="E38" i="154" l="1"/>
  <c r="D38" i="154"/>
  <c r="C38" i="154"/>
  <c r="G31" i="155" l="1"/>
  <c r="G30" i="155"/>
  <c r="G11" i="217" l="1"/>
  <c r="F11" i="217"/>
  <c r="G6" i="217"/>
  <c r="F6" i="217"/>
  <c r="G5" i="217"/>
  <c r="F5" i="217"/>
  <c r="E5" i="217"/>
  <c r="D5" i="217"/>
  <c r="C5" i="217"/>
  <c r="G6" i="214"/>
  <c r="F6" i="214"/>
  <c r="G5" i="214"/>
  <c r="F5" i="214"/>
  <c r="E5" i="214"/>
  <c r="D5" i="214"/>
  <c r="F11" i="214"/>
  <c r="G11" i="214"/>
  <c r="C5" i="214"/>
  <c r="Q26" i="178" l="1"/>
  <c r="P26" i="178"/>
  <c r="O26" i="178"/>
  <c r="N26" i="178"/>
  <c r="M26" i="178"/>
  <c r="L26" i="178"/>
  <c r="K26" i="178"/>
  <c r="J26" i="178"/>
  <c r="I26" i="178"/>
  <c r="H26" i="178"/>
  <c r="Q10" i="191" l="1"/>
  <c r="P10" i="191"/>
  <c r="O10" i="191"/>
  <c r="N10" i="191"/>
  <c r="M10" i="191"/>
  <c r="Q19" i="182"/>
  <c r="Q18" i="182"/>
  <c r="Q17" i="182"/>
  <c r="Q16" i="182"/>
  <c r="Q15" i="182"/>
  <c r="Q14" i="182"/>
  <c r="P19" i="182"/>
  <c r="P18" i="182"/>
  <c r="P17" i="182"/>
  <c r="P16" i="182"/>
  <c r="P15" i="182"/>
  <c r="P14" i="182"/>
  <c r="O19" i="182"/>
  <c r="O18" i="182"/>
  <c r="O17" i="182"/>
  <c r="O16" i="182"/>
  <c r="O15" i="182"/>
  <c r="O14" i="182"/>
  <c r="N19" i="182"/>
  <c r="N18" i="182"/>
  <c r="N17" i="182"/>
  <c r="N16" i="182"/>
  <c r="N15" i="182"/>
  <c r="N14" i="182"/>
  <c r="M19" i="182"/>
  <c r="M18" i="182"/>
  <c r="M17" i="182"/>
  <c r="M16" i="182"/>
  <c r="M15" i="182"/>
  <c r="M14" i="182"/>
  <c r="D18" i="207"/>
  <c r="K8" i="180"/>
  <c r="Q20" i="180"/>
  <c r="Q19" i="180"/>
  <c r="Q18" i="180"/>
  <c r="Q16" i="180"/>
  <c r="Q15" i="180"/>
  <c r="L8" i="180" l="1"/>
  <c r="M8" i="180" s="1"/>
  <c r="N8" i="180" s="1"/>
  <c r="O8" i="180" s="1"/>
  <c r="O8" i="182" s="1"/>
  <c r="O8" i="217" s="1"/>
  <c r="C10" i="175"/>
  <c r="P8" i="180" l="1"/>
  <c r="Q8" i="180" s="1"/>
  <c r="Q8" i="182" s="1"/>
  <c r="Q8" i="217" s="1"/>
  <c r="M8" i="182"/>
  <c r="M8" i="214" s="1"/>
  <c r="N8" i="182"/>
  <c r="O8" i="214"/>
  <c r="N22" i="175"/>
  <c r="O22" i="175"/>
  <c r="Q22" i="175"/>
  <c r="M22" i="175"/>
  <c r="P22" i="175"/>
  <c r="Q8" i="214" l="1"/>
  <c r="P8" i="182"/>
  <c r="P8" i="214" s="1"/>
  <c r="N8" i="214"/>
  <c r="N8" i="217"/>
  <c r="M8" i="217"/>
  <c r="G28" i="177"/>
  <c r="G26" i="177"/>
  <c r="G24" i="177"/>
  <c r="G22" i="177"/>
  <c r="G20" i="177"/>
  <c r="G19" i="177"/>
  <c r="G15" i="177"/>
  <c r="G14" i="177"/>
  <c r="G13" i="177"/>
  <c r="G12" i="177"/>
  <c r="G9" i="177"/>
  <c r="G8" i="177"/>
  <c r="G7" i="177"/>
  <c r="G6" i="177"/>
  <c r="G5" i="177"/>
  <c r="F18" i="179" s="1"/>
  <c r="G11" i="186"/>
  <c r="F11" i="186"/>
  <c r="F5" i="212" s="1"/>
  <c r="E11" i="186"/>
  <c r="E5" i="212" s="1"/>
  <c r="D11" i="186"/>
  <c r="D5" i="212" s="1"/>
  <c r="C11" i="186"/>
  <c r="C5" i="212" s="1"/>
  <c r="G11" i="182"/>
  <c r="F11" i="182"/>
  <c r="G13" i="176"/>
  <c r="G12" i="176"/>
  <c r="F13" i="176"/>
  <c r="C13" i="176"/>
  <c r="D13" i="176"/>
  <c r="D26" i="178" s="1"/>
  <c r="E13" i="176"/>
  <c r="E26" i="178" s="1"/>
  <c r="F11" i="193"/>
  <c r="E11" i="193"/>
  <c r="D11" i="193"/>
  <c r="C11" i="193"/>
  <c r="C4" i="175"/>
  <c r="C6" i="175"/>
  <c r="C7" i="172"/>
  <c r="H13" i="172" s="1"/>
  <c r="G12" i="172"/>
  <c r="G11" i="172"/>
  <c r="J14" i="204"/>
  <c r="G14" i="204"/>
  <c r="D14" i="204"/>
  <c r="J13" i="204"/>
  <c r="G13" i="204"/>
  <c r="J11" i="204"/>
  <c r="G11" i="204"/>
  <c r="D11" i="204"/>
  <c r="J10" i="204"/>
  <c r="G10" i="204"/>
  <c r="D10" i="204"/>
  <c r="J9" i="204"/>
  <c r="G9" i="204"/>
  <c r="D9" i="204"/>
  <c r="J8" i="204"/>
  <c r="G8" i="204"/>
  <c r="D8" i="204"/>
  <c r="J7" i="204"/>
  <c r="G7" i="204"/>
  <c r="P8" i="217" l="1"/>
  <c r="G15" i="175"/>
  <c r="F19" i="179"/>
  <c r="H12" i="172"/>
  <c r="H11" i="172"/>
  <c r="G10" i="176"/>
  <c r="G13" i="172"/>
  <c r="G26" i="178"/>
  <c r="C9" i="222"/>
  <c r="G6" i="178"/>
  <c r="C8" i="209"/>
  <c r="C21" i="219"/>
  <c r="C15" i="219"/>
  <c r="L7" i="204"/>
  <c r="M7" i="204" s="1"/>
  <c r="L13" i="204"/>
  <c r="M13" i="204" s="1"/>
  <c r="L14" i="204"/>
  <c r="L12" i="204"/>
  <c r="C9" i="175"/>
  <c r="L8" i="204"/>
  <c r="M8" i="204" s="1"/>
  <c r="G15" i="204"/>
  <c r="M14" i="204"/>
  <c r="L9" i="204"/>
  <c r="M9" i="204" s="1"/>
  <c r="D13" i="204"/>
  <c r="J15" i="204"/>
  <c r="D6" i="217"/>
  <c r="D6" i="214"/>
  <c r="L10" i="204"/>
  <c r="M10" i="204" s="1"/>
  <c r="D7" i="204"/>
  <c r="E6" i="217"/>
  <c r="E6" i="214"/>
  <c r="L11" i="204"/>
  <c r="M11" i="204" s="1"/>
  <c r="C6" i="214"/>
  <c r="C6" i="217"/>
  <c r="F26" i="178"/>
  <c r="C11" i="219"/>
  <c r="F4" i="212"/>
  <c r="F6" i="212" s="1"/>
  <c r="L13" i="172"/>
  <c r="K13" i="172"/>
  <c r="I13" i="172"/>
  <c r="J13" i="172"/>
  <c r="Q13" i="172"/>
  <c r="O13" i="172"/>
  <c r="N13" i="172"/>
  <c r="P13" i="172"/>
  <c r="M13" i="172"/>
  <c r="L11" i="177"/>
  <c r="O11" i="177"/>
  <c r="N11" i="177"/>
  <c r="M11" i="177"/>
  <c r="Q11" i="177"/>
  <c r="P11" i="177"/>
  <c r="H12" i="177"/>
  <c r="O12" i="177"/>
  <c r="Q12" i="177"/>
  <c r="N12" i="177"/>
  <c r="M12" i="177"/>
  <c r="P12" i="177"/>
  <c r="J14" i="177"/>
  <c r="P14" i="177"/>
  <c r="Q14" i="177"/>
  <c r="N14" i="177"/>
  <c r="M14" i="177"/>
  <c r="O14" i="177"/>
  <c r="P6" i="177"/>
  <c r="M6" i="177"/>
  <c r="O6" i="177"/>
  <c r="Q6" i="177"/>
  <c r="N6" i="177"/>
  <c r="K12" i="177"/>
  <c r="K14" i="177"/>
  <c r="I12" i="177"/>
  <c r="J12" i="177"/>
  <c r="L12" i="177"/>
  <c r="H11" i="177"/>
  <c r="H6" i="177"/>
  <c r="L14" i="177"/>
  <c r="I6" i="177"/>
  <c r="I11" i="177"/>
  <c r="L6" i="177"/>
  <c r="H14" i="177"/>
  <c r="J11" i="177"/>
  <c r="I14" i="177"/>
  <c r="K11" i="177"/>
  <c r="G11" i="193"/>
  <c r="J22" i="175"/>
  <c r="C22" i="175"/>
  <c r="I22" i="175"/>
  <c r="H22" i="175"/>
  <c r="G22" i="175"/>
  <c r="F22" i="175"/>
  <c r="L22" i="175"/>
  <c r="E22" i="175"/>
  <c r="K22" i="175"/>
  <c r="D22" i="175"/>
  <c r="G17" i="177"/>
  <c r="J6" i="177"/>
  <c r="K6" i="177"/>
  <c r="G7" i="169"/>
  <c r="G6" i="169"/>
  <c r="G5" i="169"/>
  <c r="I15" i="204"/>
  <c r="F15" i="204"/>
  <c r="C15" i="204"/>
  <c r="G10" i="168"/>
  <c r="D13" i="203"/>
  <c r="G14" i="203"/>
  <c r="D14" i="203"/>
  <c r="G13" i="203"/>
  <c r="G12" i="203"/>
  <c r="D12" i="203"/>
  <c r="G10" i="203"/>
  <c r="D10" i="203"/>
  <c r="G9" i="203"/>
  <c r="D9" i="203"/>
  <c r="G8" i="203"/>
  <c r="D8" i="203"/>
  <c r="G7" i="203"/>
  <c r="D7" i="203"/>
  <c r="I12" i="172" l="1"/>
  <c r="H7" i="168"/>
  <c r="L15" i="204"/>
  <c r="G8" i="169"/>
  <c r="M15" i="204"/>
  <c r="D15" i="204"/>
  <c r="G16" i="203"/>
  <c r="H24" i="168" s="1"/>
  <c r="C16" i="203"/>
  <c r="F16" i="203"/>
  <c r="D16" i="203"/>
  <c r="H23" i="168" s="1"/>
  <c r="H27" i="168" l="1"/>
  <c r="H21" i="168"/>
  <c r="H17" i="168" s="1"/>
  <c r="H20" i="168"/>
  <c r="H26" i="168"/>
  <c r="H16" i="168"/>
  <c r="H8" i="168" s="1"/>
  <c r="I23" i="168"/>
  <c r="I24" i="168"/>
  <c r="D7" i="197"/>
  <c r="D16" i="197"/>
  <c r="D15" i="197"/>
  <c r="D11" i="197"/>
  <c r="D10" i="197"/>
  <c r="D9" i="197"/>
  <c r="D8" i="197"/>
  <c r="G7" i="167"/>
  <c r="F7" i="167"/>
  <c r="F8" i="176" s="1"/>
  <c r="E7" i="167"/>
  <c r="E8" i="176" s="1"/>
  <c r="D7" i="167"/>
  <c r="D8" i="176" s="1"/>
  <c r="C7" i="167"/>
  <c r="C8" i="176" s="1"/>
  <c r="G6" i="192"/>
  <c r="G5" i="192"/>
  <c r="I21" i="168" l="1"/>
  <c r="I27" i="168"/>
  <c r="I26" i="168"/>
  <c r="I20" i="168"/>
  <c r="G7" i="192"/>
  <c r="H9" i="168"/>
  <c r="J23" i="168"/>
  <c r="I16" i="168"/>
  <c r="J24" i="168"/>
  <c r="I17" i="168"/>
  <c r="G8" i="176"/>
  <c r="C6" i="222" s="1"/>
  <c r="D18" i="197"/>
  <c r="C18" i="197"/>
  <c r="F6" i="192"/>
  <c r="E6" i="192"/>
  <c r="D6" i="192"/>
  <c r="C6" i="192"/>
  <c r="F5" i="192"/>
  <c r="F7" i="192" s="1"/>
  <c r="E5" i="192"/>
  <c r="D5" i="192"/>
  <c r="D7" i="192" s="1"/>
  <c r="C5" i="192"/>
  <c r="C7" i="192" s="1"/>
  <c r="L10" i="191"/>
  <c r="K10" i="191"/>
  <c r="J10" i="191"/>
  <c r="I10" i="191"/>
  <c r="H10" i="191"/>
  <c r="G6" i="191"/>
  <c r="G5" i="191"/>
  <c r="F6" i="191"/>
  <c r="F5" i="191"/>
  <c r="E6" i="191"/>
  <c r="E5" i="191"/>
  <c r="D6" i="191"/>
  <c r="D5" i="191"/>
  <c r="D5" i="206" s="1"/>
  <c r="C6" i="191"/>
  <c r="C6" i="206" s="1"/>
  <c r="C5" i="191"/>
  <c r="J21" i="168" l="1"/>
  <c r="J27" i="168"/>
  <c r="J26" i="168"/>
  <c r="J20" i="168"/>
  <c r="E7" i="192"/>
  <c r="H30" i="168"/>
  <c r="J16" i="168"/>
  <c r="K23" i="168"/>
  <c r="K24" i="168"/>
  <c r="J17" i="168"/>
  <c r="E5" i="206"/>
  <c r="E6" i="206"/>
  <c r="F5" i="206"/>
  <c r="F6" i="206"/>
  <c r="D6" i="206"/>
  <c r="D7" i="206" s="1"/>
  <c r="D6" i="176" s="1"/>
  <c r="C5" i="206"/>
  <c r="C7" i="206" s="1"/>
  <c r="C6" i="176" s="1"/>
  <c r="G5" i="206"/>
  <c r="G6" i="206"/>
  <c r="Q17" i="167"/>
  <c r="I17" i="167"/>
  <c r="N17" i="167"/>
  <c r="K17" i="167"/>
  <c r="J17" i="167"/>
  <c r="P17" i="167"/>
  <c r="H17" i="167"/>
  <c r="O17" i="167"/>
  <c r="M17" i="167"/>
  <c r="L17" i="167"/>
  <c r="E7" i="191"/>
  <c r="D7" i="191"/>
  <c r="F7" i="191"/>
  <c r="C7" i="191"/>
  <c r="G7" i="191"/>
  <c r="H11" i="185"/>
  <c r="H10" i="185"/>
  <c r="H8" i="185"/>
  <c r="K26" i="168" l="1"/>
  <c r="K20" i="168"/>
  <c r="K21" i="168"/>
  <c r="K17" i="168" s="1"/>
  <c r="K27" i="168"/>
  <c r="F5" i="167"/>
  <c r="F17" i="191"/>
  <c r="E7" i="206"/>
  <c r="E6" i="176" s="1"/>
  <c r="D17" i="191"/>
  <c r="L23" i="168"/>
  <c r="K16" i="168"/>
  <c r="G5" i="167"/>
  <c r="G17" i="191"/>
  <c r="E17" i="191"/>
  <c r="G7" i="206"/>
  <c r="G6" i="176" s="1"/>
  <c r="F7" i="206"/>
  <c r="F6" i="176" s="1"/>
  <c r="L24" i="168"/>
  <c r="H7" i="191"/>
  <c r="H9" i="185"/>
  <c r="M33" i="186" s="1"/>
  <c r="P30" i="186"/>
  <c r="N30" i="186"/>
  <c r="O30" i="186"/>
  <c r="Q30" i="186"/>
  <c r="M30" i="186"/>
  <c r="J30" i="186"/>
  <c r="I30" i="186"/>
  <c r="G30" i="186"/>
  <c r="L30" i="186"/>
  <c r="K30" i="186"/>
  <c r="H30" i="186"/>
  <c r="Q35" i="186"/>
  <c r="M35" i="186"/>
  <c r="N35" i="186"/>
  <c r="O35" i="186"/>
  <c r="P35" i="186"/>
  <c r="L35" i="186"/>
  <c r="K35" i="186"/>
  <c r="J35" i="186"/>
  <c r="I35" i="186"/>
  <c r="G35" i="186"/>
  <c r="H35" i="186"/>
  <c r="P34" i="186"/>
  <c r="Q34" i="186"/>
  <c r="M34" i="186"/>
  <c r="N34" i="186"/>
  <c r="O34" i="186"/>
  <c r="J34" i="186"/>
  <c r="I34" i="186"/>
  <c r="G34" i="186"/>
  <c r="H34" i="186"/>
  <c r="L34" i="186"/>
  <c r="K34" i="186"/>
  <c r="O31" i="186"/>
  <c r="N31" i="186"/>
  <c r="P31" i="186"/>
  <c r="Q31" i="186"/>
  <c r="M31" i="186"/>
  <c r="L31" i="186"/>
  <c r="K31" i="186"/>
  <c r="H31" i="186"/>
  <c r="G31" i="186"/>
  <c r="J31" i="186"/>
  <c r="I31" i="186"/>
  <c r="M32" i="186"/>
  <c r="P32" i="186"/>
  <c r="Q32" i="186"/>
  <c r="N32" i="186"/>
  <c r="O32" i="186"/>
  <c r="G32" i="186"/>
  <c r="I32" i="186"/>
  <c r="H32" i="186"/>
  <c r="L32" i="186"/>
  <c r="K32" i="186"/>
  <c r="J32" i="186"/>
  <c r="P10" i="167"/>
  <c r="P6" i="167" s="1"/>
  <c r="P14" i="167"/>
  <c r="P20" i="167"/>
  <c r="J20" i="167"/>
  <c r="J14" i="167"/>
  <c r="Q14" i="167"/>
  <c r="Q20" i="167"/>
  <c r="Q10" i="167"/>
  <c r="Q6" i="167" s="1"/>
  <c r="F5" i="176"/>
  <c r="F5" i="216" s="1"/>
  <c r="O20" i="167"/>
  <c r="O14" i="167"/>
  <c r="O10" i="167" s="1"/>
  <c r="O6" i="167" s="1"/>
  <c r="H14" i="167"/>
  <c r="H20" i="167"/>
  <c r="K20" i="167"/>
  <c r="K14" i="167"/>
  <c r="M14" i="167"/>
  <c r="M10" i="167" s="1"/>
  <c r="M6" i="167" s="1"/>
  <c r="M20" i="167"/>
  <c r="N14" i="167"/>
  <c r="N10" i="167" s="1"/>
  <c r="N6" i="167" s="1"/>
  <c r="N20" i="167"/>
  <c r="L20" i="167"/>
  <c r="L14" i="167"/>
  <c r="I14" i="167"/>
  <c r="I20" i="167"/>
  <c r="L19" i="182"/>
  <c r="K19" i="182"/>
  <c r="J19" i="182"/>
  <c r="I19" i="182"/>
  <c r="H19" i="182"/>
  <c r="H10" i="182" s="1"/>
  <c r="L18" i="182"/>
  <c r="K18" i="182"/>
  <c r="J18" i="182"/>
  <c r="I18" i="182"/>
  <c r="H18" i="182"/>
  <c r="H9" i="182" s="1"/>
  <c r="L17" i="182"/>
  <c r="K17" i="182"/>
  <c r="J17" i="182"/>
  <c r="I17" i="182"/>
  <c r="I8" i="182" s="1"/>
  <c r="H17" i="182"/>
  <c r="H8" i="182" s="1"/>
  <c r="L16" i="182"/>
  <c r="K16" i="182"/>
  <c r="J16" i="182"/>
  <c r="I16" i="182"/>
  <c r="I7" i="182" s="1"/>
  <c r="H16" i="182"/>
  <c r="L15" i="182"/>
  <c r="K15" i="182"/>
  <c r="J15" i="182"/>
  <c r="I15" i="182"/>
  <c r="H15" i="182"/>
  <c r="L14" i="182"/>
  <c r="K14" i="182"/>
  <c r="J14" i="182"/>
  <c r="I14" i="182"/>
  <c r="H14" i="182"/>
  <c r="G10" i="182"/>
  <c r="F10" i="182"/>
  <c r="E10" i="182"/>
  <c r="D10" i="182"/>
  <c r="C10" i="182"/>
  <c r="G9" i="182"/>
  <c r="F9" i="182"/>
  <c r="E9" i="182"/>
  <c r="D9" i="182"/>
  <c r="C9" i="182"/>
  <c r="G8" i="182"/>
  <c r="F8" i="182"/>
  <c r="E8" i="182"/>
  <c r="D8" i="182"/>
  <c r="C8" i="182"/>
  <c r="G7" i="182"/>
  <c r="F7" i="182"/>
  <c r="E7" i="182"/>
  <c r="D7" i="182"/>
  <c r="C7" i="182"/>
  <c r="J5" i="180"/>
  <c r="K5" i="180" s="1"/>
  <c r="L5" i="180" s="1"/>
  <c r="L26" i="168" l="1"/>
  <c r="L20" i="168"/>
  <c r="L21" i="168"/>
  <c r="L27" i="168"/>
  <c r="I33" i="186"/>
  <c r="I41" i="186" s="1"/>
  <c r="L33" i="186"/>
  <c r="L41" i="186" s="1"/>
  <c r="Q33" i="186"/>
  <c r="Q25" i="186" s="1"/>
  <c r="Q17" i="186" s="1"/>
  <c r="Q8" i="186" s="1"/>
  <c r="Q8" i="193" s="1"/>
  <c r="O33" i="186"/>
  <c r="C14" i="209"/>
  <c r="C5" i="222"/>
  <c r="L16" i="168"/>
  <c r="M23" i="168"/>
  <c r="M24" i="168"/>
  <c r="L17" i="168"/>
  <c r="M5" i="180"/>
  <c r="N5" i="180" s="1"/>
  <c r="C13" i="209"/>
  <c r="C12" i="209"/>
  <c r="J33" i="186"/>
  <c r="J25" i="186" s="1"/>
  <c r="G33" i="186"/>
  <c r="H33" i="186"/>
  <c r="H25" i="186" s="1"/>
  <c r="P33" i="186"/>
  <c r="K33" i="186"/>
  <c r="K25" i="186" s="1"/>
  <c r="N33" i="186"/>
  <c r="N41" i="186" s="1"/>
  <c r="H5" i="182"/>
  <c r="N27" i="186"/>
  <c r="N19" i="186" s="1"/>
  <c r="N43" i="186"/>
  <c r="K24" i="186"/>
  <c r="K40" i="186"/>
  <c r="K16" i="186"/>
  <c r="K26" i="186"/>
  <c r="K18" i="186" s="1"/>
  <c r="K42" i="186"/>
  <c r="M27" i="186"/>
  <c r="M19" i="186" s="1"/>
  <c r="M43" i="186"/>
  <c r="C10" i="214"/>
  <c r="C10" i="217"/>
  <c r="P16" i="186"/>
  <c r="P40" i="186"/>
  <c r="P24" i="186"/>
  <c r="J22" i="186"/>
  <c r="J38" i="186"/>
  <c r="J14" i="186"/>
  <c r="D10" i="217"/>
  <c r="D10" i="214"/>
  <c r="H24" i="186"/>
  <c r="H40" i="186"/>
  <c r="H16" i="186"/>
  <c r="M18" i="186"/>
  <c r="M42" i="186"/>
  <c r="M26" i="186"/>
  <c r="G7" i="217"/>
  <c r="G7" i="214"/>
  <c r="E10" i="217"/>
  <c r="E10" i="214"/>
  <c r="I40" i="186"/>
  <c r="I24" i="186"/>
  <c r="I16" i="186" s="1"/>
  <c r="I23" i="186"/>
  <c r="I39" i="186"/>
  <c r="I15" i="186"/>
  <c r="M23" i="186"/>
  <c r="M15" i="186" s="1"/>
  <c r="M39" i="186"/>
  <c r="Q26" i="186"/>
  <c r="Q18" i="186" s="1"/>
  <c r="Q42" i="186"/>
  <c r="K19" i="186"/>
  <c r="K27" i="186"/>
  <c r="K43" i="186"/>
  <c r="Q38" i="186"/>
  <c r="Q22" i="186"/>
  <c r="Q14" i="186" s="1"/>
  <c r="C7" i="217"/>
  <c r="C7" i="214"/>
  <c r="F6" i="167"/>
  <c r="N24" i="186"/>
  <c r="N16" i="186" s="1"/>
  <c r="N40" i="186"/>
  <c r="O23" i="186"/>
  <c r="O15" i="186" s="1"/>
  <c r="O39" i="186"/>
  <c r="G22" i="186"/>
  <c r="G14" i="186" s="1"/>
  <c r="G38" i="186"/>
  <c r="D7" i="217"/>
  <c r="D7" i="214"/>
  <c r="O42" i="186"/>
  <c r="O26" i="186"/>
  <c r="O18" i="186" s="1"/>
  <c r="G8" i="214"/>
  <c r="G8" i="217"/>
  <c r="L24" i="186"/>
  <c r="L16" i="186" s="1"/>
  <c r="L40" i="186"/>
  <c r="L42" i="186"/>
  <c r="L26" i="186"/>
  <c r="L18" i="186" s="1"/>
  <c r="Q27" i="186"/>
  <c r="Q19" i="186" s="1"/>
  <c r="Q43" i="186"/>
  <c r="J5" i="182"/>
  <c r="J5" i="214" s="1"/>
  <c r="O25" i="186"/>
  <c r="O17" i="186" s="1"/>
  <c r="O8" i="186" s="1"/>
  <c r="O8" i="193" s="1"/>
  <c r="O41" i="186"/>
  <c r="M24" i="186"/>
  <c r="M16" i="186" s="1"/>
  <c r="M40" i="186"/>
  <c r="M14" i="186"/>
  <c r="M22" i="186"/>
  <c r="M38" i="186"/>
  <c r="C9" i="214"/>
  <c r="C9" i="217"/>
  <c r="C7" i="219"/>
  <c r="C3" i="219"/>
  <c r="D9" i="217"/>
  <c r="D9" i="214"/>
  <c r="F10" i="217"/>
  <c r="F10" i="214"/>
  <c r="L25" i="186"/>
  <c r="J15" i="186"/>
  <c r="J23" i="186"/>
  <c r="J39" i="186"/>
  <c r="Q23" i="186"/>
  <c r="Q15" i="186" s="1"/>
  <c r="Q39" i="186"/>
  <c r="H42" i="186"/>
  <c r="H26" i="186"/>
  <c r="H18" i="186" s="1"/>
  <c r="H9" i="186" s="1"/>
  <c r="H9" i="193" s="1"/>
  <c r="P26" i="186"/>
  <c r="P18" i="186" s="1"/>
  <c r="P42" i="186"/>
  <c r="L19" i="186"/>
  <c r="L27" i="186"/>
  <c r="L43" i="186"/>
  <c r="H38" i="186"/>
  <c r="H22" i="186"/>
  <c r="H14" i="186" s="1"/>
  <c r="O22" i="186"/>
  <c r="O14" i="186" s="1"/>
  <c r="O38" i="186"/>
  <c r="G9" i="217"/>
  <c r="G9" i="214"/>
  <c r="I25" i="186"/>
  <c r="I17" i="186" s="1"/>
  <c r="I8" i="186" s="1"/>
  <c r="I8" i="193" s="1"/>
  <c r="H23" i="186"/>
  <c r="H15" i="186" s="1"/>
  <c r="H39" i="186"/>
  <c r="I43" i="186"/>
  <c r="I27" i="186"/>
  <c r="I19" i="186"/>
  <c r="M25" i="186"/>
  <c r="M17" i="186" s="1"/>
  <c r="M8" i="186" s="1"/>
  <c r="M8" i="193" s="1"/>
  <c r="M41" i="186"/>
  <c r="Q40" i="186"/>
  <c r="Q24" i="186"/>
  <c r="Q16" i="186" s="1"/>
  <c r="J43" i="186"/>
  <c r="J27" i="186"/>
  <c r="J19" i="186" s="1"/>
  <c r="N26" i="186"/>
  <c r="N18" i="186" s="1"/>
  <c r="N42" i="186"/>
  <c r="L39" i="186"/>
  <c r="L23" i="186"/>
  <c r="L15" i="186"/>
  <c r="E9" i="217"/>
  <c r="E9" i="214"/>
  <c r="G10" i="217"/>
  <c r="G10" i="214"/>
  <c r="G24" i="186"/>
  <c r="G40" i="186"/>
  <c r="G16" i="186"/>
  <c r="G7" i="186" s="1"/>
  <c r="G39" i="186"/>
  <c r="G23" i="186"/>
  <c r="G15" i="186" s="1"/>
  <c r="P23" i="186"/>
  <c r="P15" i="186" s="1"/>
  <c r="P39" i="186"/>
  <c r="G42" i="186"/>
  <c r="G26" i="186"/>
  <c r="G18" i="186" s="1"/>
  <c r="G9" i="186" s="1"/>
  <c r="H43" i="186"/>
  <c r="H27" i="186"/>
  <c r="H19" i="186" s="1"/>
  <c r="H10" i="186" s="1"/>
  <c r="H10" i="193" s="1"/>
  <c r="P43" i="186"/>
  <c r="P27" i="186"/>
  <c r="P19" i="186" s="1"/>
  <c r="K14" i="186"/>
  <c r="K38" i="186"/>
  <c r="K22" i="186"/>
  <c r="N22" i="186"/>
  <c r="N14" i="186" s="1"/>
  <c r="N38" i="186"/>
  <c r="E8" i="217"/>
  <c r="E8" i="214"/>
  <c r="J24" i="186"/>
  <c r="J40" i="186"/>
  <c r="J16" i="186"/>
  <c r="J26" i="186"/>
  <c r="J42" i="186"/>
  <c r="J18" i="186"/>
  <c r="F8" i="217"/>
  <c r="F8" i="214"/>
  <c r="G25" i="186"/>
  <c r="G41" i="186"/>
  <c r="G17" i="186"/>
  <c r="G8" i="186" s="1"/>
  <c r="K39" i="186"/>
  <c r="K23" i="186"/>
  <c r="K15" i="186" s="1"/>
  <c r="I38" i="186"/>
  <c r="I22" i="186"/>
  <c r="I14" i="186" s="1"/>
  <c r="E7" i="214"/>
  <c r="E7" i="217"/>
  <c r="Q41" i="186"/>
  <c r="F7" i="217"/>
  <c r="F7" i="214"/>
  <c r="C8" i="217"/>
  <c r="C8" i="214"/>
  <c r="D8" i="217"/>
  <c r="D8" i="214"/>
  <c r="F9" i="217"/>
  <c r="F9" i="214"/>
  <c r="O40" i="186"/>
  <c r="O24" i="186"/>
  <c r="O16" i="186" s="1"/>
  <c r="N39" i="186"/>
  <c r="N23" i="186"/>
  <c r="N15" i="186" s="1"/>
  <c r="I26" i="186"/>
  <c r="I18" i="186" s="1"/>
  <c r="I42" i="186"/>
  <c r="G27" i="186"/>
  <c r="G19" i="186" s="1"/>
  <c r="G10" i="186" s="1"/>
  <c r="G43" i="186"/>
  <c r="O43" i="186"/>
  <c r="O27" i="186"/>
  <c r="O19" i="186" s="1"/>
  <c r="L22" i="186"/>
  <c r="L38" i="186"/>
  <c r="L14" i="186"/>
  <c r="P38" i="186"/>
  <c r="P22" i="186"/>
  <c r="P14" i="186" s="1"/>
  <c r="H8" i="214"/>
  <c r="H8" i="217"/>
  <c r="I8" i="214"/>
  <c r="I8" i="217"/>
  <c r="H10" i="214"/>
  <c r="H16" i="214" s="1"/>
  <c r="H10" i="217"/>
  <c r="H9" i="214"/>
  <c r="H15" i="214" s="1"/>
  <c r="H9" i="217"/>
  <c r="C31" i="209"/>
  <c r="I5" i="182"/>
  <c r="H7" i="182"/>
  <c r="C11" i="209" s="1"/>
  <c r="L5" i="182"/>
  <c r="K5" i="182"/>
  <c r="E11" i="182"/>
  <c r="D11" i="182"/>
  <c r="G11" i="180"/>
  <c r="M26" i="168" l="1"/>
  <c r="M20" i="168"/>
  <c r="M16" i="168" s="1"/>
  <c r="M27" i="168"/>
  <c r="M21" i="168"/>
  <c r="L17" i="186"/>
  <c r="M5" i="182"/>
  <c r="M5" i="186" s="1"/>
  <c r="M5" i="193" s="1"/>
  <c r="J17" i="186"/>
  <c r="C8" i="219"/>
  <c r="C4" i="219"/>
  <c r="C13" i="219" s="1"/>
  <c r="J41" i="186"/>
  <c r="N23" i="168"/>
  <c r="M17" i="168"/>
  <c r="N24" i="168"/>
  <c r="D4" i="212"/>
  <c r="D6" i="212" s="1"/>
  <c r="D5" i="167"/>
  <c r="D6" i="167" s="1"/>
  <c r="H5" i="217"/>
  <c r="C9" i="209"/>
  <c r="E4" i="212"/>
  <c r="E6" i="212" s="1"/>
  <c r="E5" i="167"/>
  <c r="E6" i="167" s="1"/>
  <c r="H17" i="186"/>
  <c r="H8" i="186" s="1"/>
  <c r="H8" i="193" s="1"/>
  <c r="H41" i="186"/>
  <c r="N25" i="186"/>
  <c r="N17" i="186" s="1"/>
  <c r="N8" i="186" s="1"/>
  <c r="N8" i="193" s="1"/>
  <c r="P41" i="186"/>
  <c r="P25" i="186"/>
  <c r="P17" i="186" s="1"/>
  <c r="P8" i="186" s="1"/>
  <c r="P8" i="193" s="1"/>
  <c r="K17" i="186"/>
  <c r="K41" i="186"/>
  <c r="H5" i="186"/>
  <c r="H5" i="193" s="1"/>
  <c r="H5" i="214"/>
  <c r="E11" i="217"/>
  <c r="D11" i="214"/>
  <c r="J5" i="186"/>
  <c r="J5" i="217"/>
  <c r="G10" i="193"/>
  <c r="G7" i="193"/>
  <c r="G8" i="193"/>
  <c r="G9" i="193"/>
  <c r="C11" i="214"/>
  <c r="D11" i="217"/>
  <c r="O5" i="180"/>
  <c r="N5" i="182"/>
  <c r="N5" i="186" s="1"/>
  <c r="C11" i="217"/>
  <c r="I7" i="191"/>
  <c r="E11" i="214"/>
  <c r="L5" i="186"/>
  <c r="L5" i="193" s="1"/>
  <c r="L5" i="214"/>
  <c r="L5" i="217"/>
  <c r="H7" i="214"/>
  <c r="H7" i="217"/>
  <c r="K5" i="186"/>
  <c r="K5" i="193" s="1"/>
  <c r="K5" i="214"/>
  <c r="K5" i="217"/>
  <c r="I5" i="217"/>
  <c r="I5" i="214"/>
  <c r="H7" i="186"/>
  <c r="H7" i="193" s="1"/>
  <c r="I5" i="186"/>
  <c r="I5" i="193" s="1"/>
  <c r="C28" i="209"/>
  <c r="D5" i="176"/>
  <c r="E5" i="176"/>
  <c r="E5" i="216" s="1"/>
  <c r="C11" i="182"/>
  <c r="C5" i="167" s="1"/>
  <c r="N20" i="168" l="1"/>
  <c r="N26" i="168"/>
  <c r="N27" i="168"/>
  <c r="N21" i="168"/>
  <c r="M5" i="217"/>
  <c r="M5" i="214"/>
  <c r="C14" i="219"/>
  <c r="N16" i="168"/>
  <c r="O23" i="168"/>
  <c r="N17" i="168"/>
  <c r="O24" i="168"/>
  <c r="D5" i="216"/>
  <c r="J5" i="193"/>
  <c r="J7" i="191"/>
  <c r="C6" i="167"/>
  <c r="C4" i="212"/>
  <c r="C6" i="212" s="1"/>
  <c r="P5" i="180"/>
  <c r="O5" i="182"/>
  <c r="N5" i="214"/>
  <c r="N5" i="217"/>
  <c r="N5" i="193"/>
  <c r="G5" i="176"/>
  <c r="C5" i="176"/>
  <c r="C5" i="216" s="1"/>
  <c r="O27" i="168" l="1"/>
  <c r="O21" i="168"/>
  <c r="O20" i="168"/>
  <c r="O16" i="168" s="1"/>
  <c r="O26" i="168"/>
  <c r="P23" i="168"/>
  <c r="P24" i="168"/>
  <c r="O17" i="168"/>
  <c r="G5" i="216"/>
  <c r="C4" i="222"/>
  <c r="O5" i="217"/>
  <c r="O5" i="214"/>
  <c r="O5" i="186"/>
  <c r="K7" i="191"/>
  <c r="Q5" i="180"/>
  <c r="P5" i="182"/>
  <c r="G16" i="177"/>
  <c r="G25" i="177"/>
  <c r="G10" i="177"/>
  <c r="G23" i="177"/>
  <c r="G21" i="177"/>
  <c r="G27" i="177"/>
  <c r="G6" i="167"/>
  <c r="H10" i="167"/>
  <c r="H6" i="167" s="1"/>
  <c r="P21" i="168" l="1"/>
  <c r="P17" i="168" s="1"/>
  <c r="P27" i="168"/>
  <c r="P20" i="168"/>
  <c r="P16" i="168" s="1"/>
  <c r="P26" i="168"/>
  <c r="Q23" i="168"/>
  <c r="Q24" i="168"/>
  <c r="L7" i="191"/>
  <c r="P5" i="217"/>
  <c r="P5" i="214"/>
  <c r="P5" i="186"/>
  <c r="O5" i="193"/>
  <c r="Q5" i="182"/>
  <c r="L10" i="167"/>
  <c r="L6" i="167" s="1"/>
  <c r="J10" i="167"/>
  <c r="J6" i="167" s="1"/>
  <c r="K10" i="167"/>
  <c r="K6" i="167" s="1"/>
  <c r="I10" i="167"/>
  <c r="I6" i="167" s="1"/>
  <c r="G13" i="169"/>
  <c r="G12" i="169"/>
  <c r="G32" i="177"/>
  <c r="G29" i="177"/>
  <c r="G27" i="154"/>
  <c r="G38" i="154" s="1"/>
  <c r="G9" i="154"/>
  <c r="G18" i="154" s="1"/>
  <c r="G32" i="155"/>
  <c r="G7" i="155"/>
  <c r="G11" i="155" s="1"/>
  <c r="G16" i="175" l="1"/>
  <c r="G18" i="175" s="1"/>
  <c r="Q26" i="168"/>
  <c r="Q20" i="168"/>
  <c r="Q16" i="168" s="1"/>
  <c r="Q27" i="168"/>
  <c r="Q21" i="168"/>
  <c r="Q17" i="168" s="1"/>
  <c r="G15" i="155"/>
  <c r="G33" i="155" s="1"/>
  <c r="G40" i="154"/>
  <c r="G11" i="169" s="1"/>
  <c r="G14" i="169" s="1"/>
  <c r="P5" i="193"/>
  <c r="Q5" i="214"/>
  <c r="Q5" i="217"/>
  <c r="Q5" i="186"/>
  <c r="M7" i="191"/>
  <c r="G31" i="154"/>
  <c r="G34" i="154" s="1"/>
  <c r="G31" i="177"/>
  <c r="G30" i="177"/>
  <c r="C12" i="219"/>
  <c r="G39" i="154"/>
  <c r="G19" i="175" l="1"/>
  <c r="G19" i="155"/>
  <c r="G21" i="155" s="1"/>
  <c r="G23" i="155" s="1"/>
  <c r="G34" i="155" s="1"/>
  <c r="G43" i="154"/>
  <c r="G17" i="176"/>
  <c r="G45" i="154"/>
  <c r="N7" i="191"/>
  <c r="Q5" i="193"/>
  <c r="G36" i="155" l="1"/>
  <c r="G35" i="155"/>
  <c r="O7" i="191"/>
  <c r="P7" i="191" l="1"/>
  <c r="F12" i="176"/>
  <c r="C12" i="176"/>
  <c r="F5" i="177"/>
  <c r="E5" i="177"/>
  <c r="D5" i="177"/>
  <c r="F6" i="177"/>
  <c r="E6" i="177"/>
  <c r="D6" i="177"/>
  <c r="C6" i="177"/>
  <c r="C5" i="177"/>
  <c r="C32" i="178" s="1"/>
  <c r="F6" i="178" l="1"/>
  <c r="F25" i="178" s="1"/>
  <c r="C8" i="222"/>
  <c r="Q7" i="191"/>
  <c r="C31" i="178"/>
  <c r="E29" i="177" l="1"/>
  <c r="E30" i="177" s="1"/>
  <c r="D29" i="177"/>
  <c r="D30" i="177" s="1"/>
  <c r="C29" i="177"/>
  <c r="C30" i="177" s="1"/>
  <c r="E32" i="177"/>
  <c r="D32" i="177"/>
  <c r="C32" i="177"/>
  <c r="C16" i="175" s="1"/>
  <c r="F28" i="177"/>
  <c r="F15" i="175" s="1"/>
  <c r="E28" i="177"/>
  <c r="D28" i="177"/>
  <c r="D15" i="175" s="1"/>
  <c r="C28" i="177"/>
  <c r="C15" i="175" s="1"/>
  <c r="F26" i="177"/>
  <c r="F27" i="177" s="1"/>
  <c r="E26" i="177"/>
  <c r="E27" i="177" s="1"/>
  <c r="D26" i="177"/>
  <c r="D27" i="177" s="1"/>
  <c r="C26" i="177"/>
  <c r="C27" i="177" s="1"/>
  <c r="F24" i="177"/>
  <c r="F25" i="177" s="1"/>
  <c r="E24" i="177"/>
  <c r="E25" i="177" s="1"/>
  <c r="D24" i="177"/>
  <c r="D25" i="177" s="1"/>
  <c r="C24" i="177"/>
  <c r="C25" i="177" s="1"/>
  <c r="F22" i="177"/>
  <c r="F23" i="177" s="1"/>
  <c r="E22" i="177"/>
  <c r="E23" i="177" s="1"/>
  <c r="D22" i="177"/>
  <c r="D23" i="177" s="1"/>
  <c r="C22" i="177"/>
  <c r="C23" i="177" s="1"/>
  <c r="F20" i="177"/>
  <c r="E20" i="177"/>
  <c r="D20" i="177"/>
  <c r="C20" i="177"/>
  <c r="C21" i="177" s="1"/>
  <c r="F19" i="177"/>
  <c r="E19" i="177"/>
  <c r="D19" i="177"/>
  <c r="C19" i="177"/>
  <c r="F15" i="177"/>
  <c r="F16" i="177" s="1"/>
  <c r="E15" i="177"/>
  <c r="E16" i="177" s="1"/>
  <c r="D15" i="177"/>
  <c r="D16" i="177" s="1"/>
  <c r="C15" i="177"/>
  <c r="C16" i="177" s="1"/>
  <c r="E14" i="177"/>
  <c r="D14" i="177"/>
  <c r="C14" i="177"/>
  <c r="F13" i="177"/>
  <c r="E13" i="177"/>
  <c r="D13" i="177"/>
  <c r="C13" i="177"/>
  <c r="F12" i="177"/>
  <c r="E12" i="177"/>
  <c r="D12" i="177"/>
  <c r="C12" i="177"/>
  <c r="F9" i="177"/>
  <c r="F10" i="177" s="1"/>
  <c r="E9" i="177"/>
  <c r="D9" i="177"/>
  <c r="D10" i="177" s="1"/>
  <c r="C9" i="177"/>
  <c r="C10" i="177" s="1"/>
  <c r="F8" i="177"/>
  <c r="E8" i="177"/>
  <c r="D8" i="177"/>
  <c r="C8" i="177"/>
  <c r="F7" i="177"/>
  <c r="E7" i="177"/>
  <c r="D7" i="177"/>
  <c r="C7" i="177"/>
  <c r="E12" i="176"/>
  <c r="D12" i="176"/>
  <c r="D6" i="178" s="1"/>
  <c r="D25" i="178" s="1"/>
  <c r="F12" i="172"/>
  <c r="F10" i="176" s="1"/>
  <c r="C7" i="222" s="1"/>
  <c r="E12" i="172"/>
  <c r="E10" i="176" s="1"/>
  <c r="E22" i="178" s="1"/>
  <c r="D12" i="172"/>
  <c r="D10" i="176" s="1"/>
  <c r="C12" i="172"/>
  <c r="C10" i="176" s="1"/>
  <c r="B12" i="172"/>
  <c r="F11" i="172"/>
  <c r="E11" i="172"/>
  <c r="D11" i="172"/>
  <c r="C11" i="172"/>
  <c r="F7" i="169"/>
  <c r="E7" i="169"/>
  <c r="D7" i="169"/>
  <c r="C7" i="169"/>
  <c r="F6" i="169"/>
  <c r="E6" i="169"/>
  <c r="D6" i="169"/>
  <c r="C6" i="169"/>
  <c r="F5" i="169"/>
  <c r="E5" i="169"/>
  <c r="D5" i="169"/>
  <c r="C5" i="169"/>
  <c r="K10" i="177" l="1"/>
  <c r="L10" i="177"/>
  <c r="M10" i="177"/>
  <c r="N10" i="177"/>
  <c r="O10" i="177"/>
  <c r="P10" i="177"/>
  <c r="Q10" i="177"/>
  <c r="I10" i="177"/>
  <c r="J10" i="177"/>
  <c r="J23" i="177"/>
  <c r="K23" i="177"/>
  <c r="H23" i="177"/>
  <c r="N23" i="177"/>
  <c r="L23" i="177"/>
  <c r="O23" i="177"/>
  <c r="M23" i="177"/>
  <c r="P23" i="177"/>
  <c r="Q23" i="177"/>
  <c r="I23" i="177"/>
  <c r="P16" i="177"/>
  <c r="Q16" i="177"/>
  <c r="N16" i="177"/>
  <c r="I16" i="177"/>
  <c r="J16" i="177"/>
  <c r="L16" i="177"/>
  <c r="M16" i="177"/>
  <c r="O16" i="177"/>
  <c r="K16" i="177"/>
  <c r="P27" i="177"/>
  <c r="H27" i="177"/>
  <c r="Q27" i="177"/>
  <c r="I27" i="177"/>
  <c r="O27" i="177"/>
  <c r="N27" i="177"/>
  <c r="M27" i="177"/>
  <c r="J27" i="177"/>
  <c r="L27" i="177"/>
  <c r="K27" i="177"/>
  <c r="M25" i="177"/>
  <c r="N25" i="177"/>
  <c r="J25" i="177"/>
  <c r="K25" i="177"/>
  <c r="O25" i="177"/>
  <c r="Q25" i="177"/>
  <c r="P25" i="177"/>
  <c r="L25" i="177"/>
  <c r="I25" i="177"/>
  <c r="F21" i="177"/>
  <c r="D21" i="177"/>
  <c r="D18" i="178"/>
  <c r="D16" i="175"/>
  <c r="D18" i="175" s="1"/>
  <c r="E18" i="178"/>
  <c r="H16" i="177"/>
  <c r="H10" i="177"/>
  <c r="H25" i="177"/>
  <c r="O21" i="175"/>
  <c r="P21" i="175"/>
  <c r="N21" i="175"/>
  <c r="Q21" i="175"/>
  <c r="M21" i="175"/>
  <c r="E6" i="178"/>
  <c r="E25" i="178" s="1"/>
  <c r="E10" i="177"/>
  <c r="E17" i="178"/>
  <c r="E13" i="178"/>
  <c r="E11" i="178"/>
  <c r="E21" i="177"/>
  <c r="E23" i="178"/>
  <c r="E15" i="175"/>
  <c r="E16" i="175"/>
  <c r="E12" i="178"/>
  <c r="D30" i="178"/>
  <c r="C34" i="178"/>
  <c r="C18" i="175"/>
  <c r="C19" i="175"/>
  <c r="F21" i="175"/>
  <c r="L21" i="175"/>
  <c r="E21" i="175"/>
  <c r="J21" i="175"/>
  <c r="I21" i="175"/>
  <c r="K21" i="175"/>
  <c r="D21" i="175"/>
  <c r="C21" i="175"/>
  <c r="H21" i="175"/>
  <c r="G21" i="175"/>
  <c r="G24" i="175" s="1"/>
  <c r="F22" i="178"/>
  <c r="F8" i="169"/>
  <c r="C8" i="169"/>
  <c r="D8" i="169"/>
  <c r="E8" i="169"/>
  <c r="D13" i="178"/>
  <c r="C17" i="177"/>
  <c r="D12" i="178"/>
  <c r="D17" i="178"/>
  <c r="E17" i="177"/>
  <c r="F13" i="178"/>
  <c r="F12" i="178"/>
  <c r="F11" i="178"/>
  <c r="D11" i="178"/>
  <c r="D17" i="177"/>
  <c r="D23" i="178"/>
  <c r="C31" i="177"/>
  <c r="C34" i="177" s="1"/>
  <c r="F23" i="178"/>
  <c r="G22" i="178"/>
  <c r="F13" i="172"/>
  <c r="C13" i="172"/>
  <c r="D13" i="172"/>
  <c r="E13" i="172"/>
  <c r="D31" i="177"/>
  <c r="D34" i="177" s="1"/>
  <c r="E31" i="177"/>
  <c r="E34" i="177" s="1"/>
  <c r="D19" i="175" l="1"/>
  <c r="D24" i="175" s="1"/>
  <c r="L21" i="177"/>
  <c r="P21" i="177"/>
  <c r="I21" i="177"/>
  <c r="H21" i="177"/>
  <c r="J21" i="177"/>
  <c r="K21" i="177"/>
  <c r="Q21" i="177"/>
  <c r="M21" i="177"/>
  <c r="N21" i="177"/>
  <c r="O21" i="177"/>
  <c r="D14" i="178"/>
  <c r="E19" i="175"/>
  <c r="E18" i="175"/>
  <c r="C24" i="175"/>
  <c r="E14" i="178"/>
  <c r="F14" i="178"/>
  <c r="D22" i="178"/>
  <c r="E36" i="177"/>
  <c r="C36" i="177"/>
  <c r="D36" i="177"/>
  <c r="E24" i="175" l="1"/>
  <c r="C7" i="168"/>
  <c r="F10" i="168"/>
  <c r="E10" i="168"/>
  <c r="D10" i="168"/>
  <c r="C10" i="168"/>
  <c r="C8" i="168" s="1"/>
  <c r="F29" i="177"/>
  <c r="F38" i="154"/>
  <c r="F14" i="177"/>
  <c r="D45" i="154"/>
  <c r="F42" i="154"/>
  <c r="F13" i="169" s="1"/>
  <c r="F41" i="154"/>
  <c r="F12" i="169" s="1"/>
  <c r="F18" i="178" l="1"/>
  <c r="G18" i="178"/>
  <c r="F40" i="154"/>
  <c r="F11" i="169" s="1"/>
  <c r="F14" i="169" s="1"/>
  <c r="E8" i="178"/>
  <c r="F30" i="177"/>
  <c r="G7" i="168"/>
  <c r="G8" i="168" s="1"/>
  <c r="D8" i="178"/>
  <c r="F8" i="178"/>
  <c r="F17" i="177"/>
  <c r="F17" i="178"/>
  <c r="F32" i="177"/>
  <c r="F31" i="177"/>
  <c r="F39" i="154"/>
  <c r="F7" i="168"/>
  <c r="F8" i="168" s="1"/>
  <c r="D7" i="168"/>
  <c r="D8" i="168" s="1"/>
  <c r="Q30" i="177" l="1"/>
  <c r="H30" i="177"/>
  <c r="I30" i="177"/>
  <c r="P30" i="177"/>
  <c r="J30" i="177"/>
  <c r="K30" i="177"/>
  <c r="L30" i="177"/>
  <c r="M30" i="177"/>
  <c r="N30" i="177"/>
  <c r="O30" i="177"/>
  <c r="F16" i="175"/>
  <c r="F19" i="175" s="1"/>
  <c r="F16" i="178"/>
  <c r="F45" i="154"/>
  <c r="F17" i="176"/>
  <c r="F43" i="154"/>
  <c r="F34" i="177"/>
  <c r="F36" i="177" s="1"/>
  <c r="D16" i="178"/>
  <c r="F18" i="175" l="1"/>
  <c r="G16" i="178"/>
  <c r="F24" i="175"/>
  <c r="E7" i="168"/>
  <c r="E8" i="168" s="1"/>
  <c r="E16" i="178" l="1"/>
  <c r="E13" i="169" l="1"/>
  <c r="D42" i="154"/>
  <c r="D13" i="169" s="1"/>
  <c r="C13" i="169"/>
  <c r="E41" i="154"/>
  <c r="E12" i="169" s="1"/>
  <c r="D41" i="154"/>
  <c r="D12" i="169" s="1"/>
  <c r="C41" i="154"/>
  <c r="C12" i="169" s="1"/>
  <c r="E39" i="154"/>
  <c r="D39" i="154"/>
  <c r="C39" i="154"/>
  <c r="E45" i="154" l="1"/>
  <c r="P12" i="169"/>
  <c r="O12" i="169"/>
  <c r="N12" i="169"/>
  <c r="M12" i="169"/>
  <c r="Q12" i="169"/>
  <c r="P13" i="169"/>
  <c r="Q13" i="169"/>
  <c r="O13" i="169"/>
  <c r="N13" i="169"/>
  <c r="M13" i="169"/>
  <c r="L12" i="169"/>
  <c r="K12" i="169"/>
  <c r="J12" i="169"/>
  <c r="I12" i="169"/>
  <c r="H12" i="169"/>
  <c r="H13" i="169"/>
  <c r="L13" i="169"/>
  <c r="K13" i="169"/>
  <c r="I13" i="169"/>
  <c r="J13" i="169"/>
  <c r="D40" i="154"/>
  <c r="D11" i="169" s="1"/>
  <c r="D14" i="169" s="1"/>
  <c r="C40" i="154"/>
  <c r="E40" i="154"/>
  <c r="F7" i="176"/>
  <c r="F9" i="176" l="1"/>
  <c r="F9" i="216" s="1"/>
  <c r="F7" i="216" s="1"/>
  <c r="F8" i="216"/>
  <c r="F6" i="216" s="1"/>
  <c r="E7" i="176"/>
  <c r="D43" i="154"/>
  <c r="C11" i="169"/>
  <c r="C43" i="154"/>
  <c r="E11" i="169"/>
  <c r="E14" i="169" s="1"/>
  <c r="E43" i="154"/>
  <c r="C17" i="176" l="1"/>
  <c r="E17" i="176"/>
  <c r="D17" i="176"/>
  <c r="M11" i="169"/>
  <c r="N11" i="169"/>
  <c r="Q11" i="169"/>
  <c r="P11" i="169"/>
  <c r="O11" i="169"/>
  <c r="E9" i="176"/>
  <c r="E11" i="176" s="1"/>
  <c r="E8" i="216"/>
  <c r="E6" i="216" s="1"/>
  <c r="F11" i="176"/>
  <c r="F14" i="176" s="1"/>
  <c r="F5" i="178"/>
  <c r="F7" i="178" s="1"/>
  <c r="F9" i="178" s="1"/>
  <c r="F20" i="178" s="1"/>
  <c r="C14" i="169"/>
  <c r="L11" i="169"/>
  <c r="K11" i="169"/>
  <c r="I11" i="169"/>
  <c r="H11" i="169"/>
  <c r="J11" i="169"/>
  <c r="D7" i="176"/>
  <c r="C3" i="222" l="1"/>
  <c r="F24" i="178"/>
  <c r="E14" i="176"/>
  <c r="E24" i="178" s="1"/>
  <c r="J14" i="169"/>
  <c r="H14" i="169"/>
  <c r="I14" i="169"/>
  <c r="K14" i="169"/>
  <c r="L14" i="169"/>
  <c r="O14" i="169"/>
  <c r="P14" i="169"/>
  <c r="Q14" i="169"/>
  <c r="N14" i="169"/>
  <c r="M14" i="169"/>
  <c r="E9" i="216"/>
  <c r="E7" i="216" s="1"/>
  <c r="E5" i="178"/>
  <c r="E7" i="178" s="1"/>
  <c r="E9" i="178" s="1"/>
  <c r="E20" i="178" s="1"/>
  <c r="D9" i="176"/>
  <c r="D8" i="216"/>
  <c r="D6" i="216" s="1"/>
  <c r="F18" i="176"/>
  <c r="G11" i="178"/>
  <c r="G12" i="178"/>
  <c r="G7" i="176"/>
  <c r="G8" i="216" s="1"/>
  <c r="G6" i="216" s="1"/>
  <c r="E18" i="176" l="1"/>
  <c r="D11" i="176"/>
  <c r="D14" i="176" s="1"/>
  <c r="D9" i="216"/>
  <c r="D7" i="216" s="1"/>
  <c r="D5" i="178"/>
  <c r="D7" i="178" s="1"/>
  <c r="G8" i="178"/>
  <c r="G9" i="176"/>
  <c r="G13" i="178"/>
  <c r="D9" i="178" l="1"/>
  <c r="D20" i="178" s="1"/>
  <c r="D18" i="176"/>
  <c r="D24" i="178"/>
  <c r="G9" i="216"/>
  <c r="G7" i="216" s="1"/>
  <c r="G5" i="178"/>
  <c r="G7" i="178" s="1"/>
  <c r="G9" i="178" s="1"/>
  <c r="G14" i="178"/>
  <c r="G11" i="176"/>
  <c r="G14" i="176" s="1"/>
  <c r="D28" i="178" l="1"/>
  <c r="D31" i="178" s="1"/>
  <c r="D32" i="178" s="1"/>
  <c r="D34" i="178" s="1"/>
  <c r="C10" i="222"/>
  <c r="G24" i="178"/>
  <c r="G18" i="176"/>
  <c r="G25" i="178" l="1"/>
  <c r="C7" i="176" l="1"/>
  <c r="C9" i="176" l="1"/>
  <c r="C11" i="176" s="1"/>
  <c r="C14" i="176" s="1"/>
  <c r="C8" i="216"/>
  <c r="C6" i="216" s="1"/>
  <c r="G17" i="178"/>
  <c r="C18" i="176" l="1"/>
  <c r="C9" i="216"/>
  <c r="C7" i="216" s="1"/>
  <c r="G20" i="178"/>
  <c r="F28" i="178"/>
  <c r="F31" i="178" s="1"/>
  <c r="E28" i="178"/>
  <c r="E31" i="178" s="1"/>
  <c r="E30" i="178" l="1"/>
  <c r="E32" i="178" s="1"/>
  <c r="E34" i="178" s="1"/>
  <c r="F30" i="178" l="1"/>
  <c r="F32" i="178" s="1"/>
  <c r="F34" i="178" s="1"/>
  <c r="G23" i="178"/>
  <c r="G34" i="177"/>
  <c r="G30" i="178" l="1"/>
  <c r="G28" i="178"/>
  <c r="G31" i="178" l="1"/>
  <c r="G32" i="178" s="1"/>
  <c r="H30" i="178" s="1"/>
  <c r="C8" i="210"/>
  <c r="C8" i="221"/>
  <c r="G36" i="177"/>
  <c r="G34" i="178" l="1"/>
  <c r="J10" i="180"/>
  <c r="K10" i="180" s="1"/>
  <c r="L10" i="180" s="1"/>
  <c r="M10" i="180" s="1"/>
  <c r="J9" i="180"/>
  <c r="K9" i="180" s="1"/>
  <c r="L9" i="180" s="1"/>
  <c r="M9" i="180" s="1"/>
  <c r="N10" i="180" l="1"/>
  <c r="M10" i="182"/>
  <c r="N9" i="180"/>
  <c r="M9" i="182"/>
  <c r="J8" i="182"/>
  <c r="I10" i="182"/>
  <c r="J7" i="180"/>
  <c r="K7" i="180" s="1"/>
  <c r="L7" i="180" s="1"/>
  <c r="I9" i="182"/>
  <c r="I6" i="180"/>
  <c r="I6" i="182" s="1"/>
  <c r="H6" i="182"/>
  <c r="C10" i="209" s="1"/>
  <c r="H11" i="180"/>
  <c r="C9" i="219" l="1"/>
  <c r="C22" i="219" s="1"/>
  <c r="D23" i="207"/>
  <c r="M7" i="180"/>
  <c r="M7" i="182" s="1"/>
  <c r="M9" i="217"/>
  <c r="M9" i="214"/>
  <c r="M15" i="214" s="1"/>
  <c r="M9" i="186"/>
  <c r="M9" i="193" s="1"/>
  <c r="O9" i="180"/>
  <c r="N9" i="182"/>
  <c r="M10" i="214"/>
  <c r="M16" i="214" s="1"/>
  <c r="M10" i="217"/>
  <c r="M10" i="186"/>
  <c r="M10" i="193" s="1"/>
  <c r="N7" i="180"/>
  <c r="O10" i="180"/>
  <c r="N10" i="182"/>
  <c r="H6" i="214"/>
  <c r="H6" i="217"/>
  <c r="H11" i="217" s="1"/>
  <c r="I10" i="214"/>
  <c r="I16" i="214" s="1"/>
  <c r="I10" i="217"/>
  <c r="I6" i="214"/>
  <c r="I6" i="217"/>
  <c r="I9" i="214"/>
  <c r="I15" i="214" s="1"/>
  <c r="I9" i="217"/>
  <c r="I7" i="214"/>
  <c r="I7" i="217"/>
  <c r="J8" i="186"/>
  <c r="J8" i="193" s="1"/>
  <c r="J8" i="214"/>
  <c r="J8" i="217"/>
  <c r="C29" i="209"/>
  <c r="I7" i="186"/>
  <c r="I7" i="193" s="1"/>
  <c r="C30" i="209"/>
  <c r="I9" i="186"/>
  <c r="I9" i="193" s="1"/>
  <c r="C32" i="209"/>
  <c r="I10" i="186"/>
  <c r="I10" i="193" s="1"/>
  <c r="C33" i="209"/>
  <c r="I11" i="180"/>
  <c r="J6" i="180"/>
  <c r="J11" i="180" s="1"/>
  <c r="J10" i="182"/>
  <c r="J9" i="182"/>
  <c r="J7" i="182"/>
  <c r="H6" i="186"/>
  <c r="H6" i="193" s="1"/>
  <c r="H11" i="182"/>
  <c r="I6" i="186"/>
  <c r="I6" i="193" s="1"/>
  <c r="I11" i="182"/>
  <c r="L8" i="182"/>
  <c r="K8" i="182"/>
  <c r="H5" i="176" l="1"/>
  <c r="H5" i="167"/>
  <c r="I5" i="176"/>
  <c r="I5" i="167"/>
  <c r="H5" i="169"/>
  <c r="N9" i="214"/>
  <c r="N15" i="214" s="1"/>
  <c r="N9" i="217"/>
  <c r="N9" i="186"/>
  <c r="N9" i="193" s="1"/>
  <c r="N10" i="214"/>
  <c r="N16" i="214" s="1"/>
  <c r="N10" i="217"/>
  <c r="N10" i="186"/>
  <c r="N10" i="193" s="1"/>
  <c r="P9" i="180"/>
  <c r="O9" i="182"/>
  <c r="J6" i="182"/>
  <c r="K6" i="180"/>
  <c r="K11" i="180" s="1"/>
  <c r="I11" i="217"/>
  <c r="P10" i="180"/>
  <c r="O10" i="182"/>
  <c r="M7" i="214"/>
  <c r="M7" i="217"/>
  <c r="M7" i="186"/>
  <c r="M7" i="193" s="1"/>
  <c r="O7" i="180"/>
  <c r="N7" i="182"/>
  <c r="L8" i="186"/>
  <c r="L8" i="193" s="1"/>
  <c r="L8" i="217"/>
  <c r="L8" i="214"/>
  <c r="I11" i="214"/>
  <c r="I14" i="214"/>
  <c r="I17" i="214" s="1"/>
  <c r="J10" i="186"/>
  <c r="J10" i="193" s="1"/>
  <c r="J10" i="217"/>
  <c r="J10" i="214"/>
  <c r="C34" i="209"/>
  <c r="H4" i="212"/>
  <c r="C5" i="219"/>
  <c r="C25" i="219"/>
  <c r="G4" i="212"/>
  <c r="K8" i="186"/>
  <c r="K8" i="193" s="1"/>
  <c r="K8" i="214"/>
  <c r="K8" i="217"/>
  <c r="H11" i="214"/>
  <c r="H14" i="214"/>
  <c r="H17" i="214" s="1"/>
  <c r="J7" i="186"/>
  <c r="J7" i="193" s="1"/>
  <c r="J7" i="214"/>
  <c r="J7" i="217"/>
  <c r="J9" i="186"/>
  <c r="J9" i="193" s="1"/>
  <c r="J9" i="214"/>
  <c r="J15" i="214" s="1"/>
  <c r="J9" i="217"/>
  <c r="C27" i="209"/>
  <c r="C15" i="209"/>
  <c r="I11" i="186"/>
  <c r="H5" i="212" s="1"/>
  <c r="I11" i="193"/>
  <c r="H11" i="186"/>
  <c r="G5" i="212" s="1"/>
  <c r="H11" i="193"/>
  <c r="L7" i="182"/>
  <c r="K7" i="182"/>
  <c r="L9" i="182"/>
  <c r="K9" i="182"/>
  <c r="L10" i="182"/>
  <c r="K10" i="182"/>
  <c r="I5" i="169" l="1"/>
  <c r="I7" i="177" s="1"/>
  <c r="I20" i="177"/>
  <c r="I15" i="177"/>
  <c r="I29" i="177"/>
  <c r="H31" i="168"/>
  <c r="H15" i="177"/>
  <c r="H29" i="177"/>
  <c r="H20" i="177"/>
  <c r="C11" i="222"/>
  <c r="J6" i="186"/>
  <c r="J11" i="182"/>
  <c r="J5" i="167" s="1"/>
  <c r="J6" i="214"/>
  <c r="J11" i="214" s="1"/>
  <c r="G6" i="212"/>
  <c r="H6" i="212"/>
  <c r="J6" i="217"/>
  <c r="J11" i="217" s="1"/>
  <c r="O10" i="217"/>
  <c r="O10" i="214"/>
  <c r="O16" i="214" s="1"/>
  <c r="O10" i="186"/>
  <c r="O10" i="193" s="1"/>
  <c r="Q10" i="180"/>
  <c r="Q10" i="182" s="1"/>
  <c r="P10" i="182"/>
  <c r="O9" i="214"/>
  <c r="O15" i="214" s="1"/>
  <c r="O9" i="217"/>
  <c r="O9" i="186"/>
  <c r="O9" i="193" s="1"/>
  <c r="Q9" i="180"/>
  <c r="Q9" i="182" s="1"/>
  <c r="P9" i="182"/>
  <c r="N7" i="217"/>
  <c r="N7" i="214"/>
  <c r="N7" i="186"/>
  <c r="N7" i="193" s="1"/>
  <c r="L6" i="180"/>
  <c r="K6" i="182"/>
  <c r="K6" i="186" s="1"/>
  <c r="P7" i="180"/>
  <c r="O7" i="182"/>
  <c r="J16" i="214"/>
  <c r="L10" i="186"/>
  <c r="L10" i="193" s="1"/>
  <c r="L10" i="217"/>
  <c r="L10" i="214"/>
  <c r="L16" i="214" s="1"/>
  <c r="K10" i="186"/>
  <c r="K10" i="193" s="1"/>
  <c r="K10" i="217"/>
  <c r="K10" i="214"/>
  <c r="K16" i="214" s="1"/>
  <c r="K9" i="186"/>
  <c r="K9" i="193" s="1"/>
  <c r="K9" i="217"/>
  <c r="K9" i="214"/>
  <c r="C24" i="219"/>
  <c r="C23" i="219"/>
  <c r="L9" i="186"/>
  <c r="L9" i="193" s="1"/>
  <c r="L9" i="217"/>
  <c r="L9" i="214"/>
  <c r="L15" i="214" s="1"/>
  <c r="L7" i="186"/>
  <c r="L7" i="193" s="1"/>
  <c r="L7" i="214"/>
  <c r="L7" i="217"/>
  <c r="K7" i="186"/>
  <c r="K7" i="193" s="1"/>
  <c r="K7" i="214"/>
  <c r="K7" i="217"/>
  <c r="H7" i="177"/>
  <c r="H11" i="178" s="1"/>
  <c r="H5" i="216"/>
  <c r="I5" i="216"/>
  <c r="H24" i="177"/>
  <c r="H9" i="177"/>
  <c r="H17" i="178" s="1"/>
  <c r="H26" i="177"/>
  <c r="H22" i="177"/>
  <c r="I24" i="177"/>
  <c r="I9" i="177"/>
  <c r="I26" i="177"/>
  <c r="I22" i="177"/>
  <c r="H7" i="167"/>
  <c r="I7" i="167"/>
  <c r="I8" i="176" s="1"/>
  <c r="I17" i="178" l="1"/>
  <c r="H18" i="178"/>
  <c r="I18" i="178"/>
  <c r="M6" i="180"/>
  <c r="M6" i="182" s="1"/>
  <c r="L11" i="180"/>
  <c r="D24" i="207" s="1"/>
  <c r="H8" i="178"/>
  <c r="J6" i="193"/>
  <c r="J11" i="193" s="1"/>
  <c r="J11" i="186"/>
  <c r="I5" i="212" s="1"/>
  <c r="L6" i="182"/>
  <c r="L6" i="186" s="1"/>
  <c r="J14" i="214"/>
  <c r="J17" i="214" s="1"/>
  <c r="H8" i="176"/>
  <c r="C13" i="222" s="1"/>
  <c r="I4" i="212"/>
  <c r="J5" i="176"/>
  <c r="K11" i="182"/>
  <c r="K5" i="167" s="1"/>
  <c r="P10" i="214"/>
  <c r="P16" i="214" s="1"/>
  <c r="P10" i="217"/>
  <c r="P10" i="186"/>
  <c r="P10" i="193" s="1"/>
  <c r="Q10" i="217"/>
  <c r="Q10" i="214"/>
  <c r="Q16" i="214" s="1"/>
  <c r="Q10" i="186"/>
  <c r="Q10" i="193" s="1"/>
  <c r="O7" i="214"/>
  <c r="O7" i="217"/>
  <c r="O7" i="186"/>
  <c r="O7" i="193" s="1"/>
  <c r="P9" i="214"/>
  <c r="P15" i="214" s="1"/>
  <c r="P9" i="217"/>
  <c r="P9" i="186"/>
  <c r="P9" i="193" s="1"/>
  <c r="Q7" i="180"/>
  <c r="Q7" i="182" s="1"/>
  <c r="P7" i="182"/>
  <c r="Q9" i="214"/>
  <c r="Q15" i="214" s="1"/>
  <c r="Q9" i="217"/>
  <c r="Q9" i="186"/>
  <c r="Q9" i="193" s="1"/>
  <c r="K6" i="217"/>
  <c r="K11" i="217" s="1"/>
  <c r="K6" i="214"/>
  <c r="K14" i="214" s="1"/>
  <c r="I11" i="178"/>
  <c r="K15" i="214"/>
  <c r="J7" i="167"/>
  <c r="J8" i="176" s="1"/>
  <c r="J20" i="177" l="1"/>
  <c r="J29" i="177"/>
  <c r="J15" i="177"/>
  <c r="L11" i="182"/>
  <c r="L5" i="167" s="1"/>
  <c r="N6" i="180"/>
  <c r="L6" i="193"/>
  <c r="L11" i="193" s="1"/>
  <c r="L6" i="214"/>
  <c r="L11" i="214" s="1"/>
  <c r="M11" i="180"/>
  <c r="J5" i="216"/>
  <c r="L6" i="217"/>
  <c r="L11" i="217" s="1"/>
  <c r="C10" i="221"/>
  <c r="C10" i="210"/>
  <c r="I6" i="212"/>
  <c r="J9" i="177"/>
  <c r="J17" i="178" s="1"/>
  <c r="J24" i="177"/>
  <c r="J22" i="177"/>
  <c r="J26" i="177"/>
  <c r="K4" i="212"/>
  <c r="J4" i="212"/>
  <c r="K5" i="176"/>
  <c r="J5" i="169"/>
  <c r="J7" i="177" s="1"/>
  <c r="J11" i="178" s="1"/>
  <c r="K6" i="193"/>
  <c r="K11" i="193" s="1"/>
  <c r="K11" i="214"/>
  <c r="K11" i="186"/>
  <c r="J5" i="212" s="1"/>
  <c r="Q7" i="214"/>
  <c r="Q7" i="217"/>
  <c r="Q7" i="186"/>
  <c r="Q7" i="193" s="1"/>
  <c r="K17" i="214"/>
  <c r="O6" i="180"/>
  <c r="N6" i="182"/>
  <c r="N11" i="180"/>
  <c r="P7" i="217"/>
  <c r="P7" i="214"/>
  <c r="P7" i="186"/>
  <c r="P7" i="193" s="1"/>
  <c r="M6" i="214"/>
  <c r="M6" i="217"/>
  <c r="M11" i="217" s="1"/>
  <c r="M6" i="186"/>
  <c r="M11" i="182"/>
  <c r="L14" i="214"/>
  <c r="L17" i="214" s="1"/>
  <c r="K7" i="167"/>
  <c r="K8" i="176" s="1"/>
  <c r="L11" i="186"/>
  <c r="K5" i="212" s="1"/>
  <c r="L5" i="176" l="1"/>
  <c r="L26" i="177" s="1"/>
  <c r="K26" i="177"/>
  <c r="K29" i="177"/>
  <c r="K15" i="177"/>
  <c r="K20" i="177"/>
  <c r="J18" i="178"/>
  <c r="K6" i="212"/>
  <c r="M5" i="176"/>
  <c r="M5" i="167"/>
  <c r="M7" i="167" s="1"/>
  <c r="M8" i="176" s="1"/>
  <c r="K5" i="216"/>
  <c r="K9" i="177"/>
  <c r="K24" i="177"/>
  <c r="K22" i="177"/>
  <c r="J6" i="212"/>
  <c r="K5" i="169"/>
  <c r="K7" i="177" s="1"/>
  <c r="K11" i="178" s="1"/>
  <c r="N6" i="217"/>
  <c r="N11" i="217" s="1"/>
  <c r="N6" i="214"/>
  <c r="N6" i="186"/>
  <c r="N11" i="182"/>
  <c r="M14" i="214"/>
  <c r="M17" i="214" s="1"/>
  <c r="M11" i="214"/>
  <c r="P6" i="180"/>
  <c r="O6" i="182"/>
  <c r="O11" i="180"/>
  <c r="M6" i="193"/>
  <c r="M11" i="193" s="1"/>
  <c r="M11" i="186"/>
  <c r="L5" i="212" s="1"/>
  <c r="L4" i="212"/>
  <c r="L7" i="167"/>
  <c r="L8" i="176" s="1"/>
  <c r="L22" i="177" l="1"/>
  <c r="L20" i="177"/>
  <c r="L9" i="177"/>
  <c r="L24" i="177"/>
  <c r="L5" i="216"/>
  <c r="L29" i="177"/>
  <c r="L5" i="169"/>
  <c r="L7" i="177" s="1"/>
  <c r="L11" i="178" s="1"/>
  <c r="L15" i="177"/>
  <c r="K17" i="178"/>
  <c r="M5" i="169"/>
  <c r="M29" i="177"/>
  <c r="M20" i="177"/>
  <c r="M15" i="177"/>
  <c r="K18" i="178"/>
  <c r="N5" i="176"/>
  <c r="N5" i="167"/>
  <c r="N7" i="167" s="1"/>
  <c r="N8" i="176" s="1"/>
  <c r="Q6" i="180"/>
  <c r="P6" i="182"/>
  <c r="P11" i="180"/>
  <c r="M4" i="212"/>
  <c r="L6" i="212"/>
  <c r="N6" i="193"/>
  <c r="N11" i="193" s="1"/>
  <c r="N11" i="186"/>
  <c r="M5" i="212" s="1"/>
  <c r="N11" i="214"/>
  <c r="N14" i="214"/>
  <c r="N17" i="214" s="1"/>
  <c r="O6" i="214"/>
  <c r="O6" i="217"/>
  <c r="O11" i="217" s="1"/>
  <c r="O6" i="186"/>
  <c r="O11" i="182"/>
  <c r="M5" i="216"/>
  <c r="M24" i="177"/>
  <c r="M26" i="177"/>
  <c r="M22" i="177"/>
  <c r="M9" i="177"/>
  <c r="L18" i="178" l="1"/>
  <c r="L17" i="178"/>
  <c r="M17" i="178"/>
  <c r="N5" i="169"/>
  <c r="N29" i="177"/>
  <c r="N20" i="177"/>
  <c r="N15" i="177"/>
  <c r="M18" i="178"/>
  <c r="O5" i="176"/>
  <c r="O5" i="167"/>
  <c r="O7" i="167" s="1"/>
  <c r="O8" i="176" s="1"/>
  <c r="H16" i="178"/>
  <c r="M6" i="212"/>
  <c r="O11" i="214"/>
  <c r="O14" i="214"/>
  <c r="O17" i="214" s="1"/>
  <c r="N5" i="216"/>
  <c r="N22" i="177"/>
  <c r="N24" i="177"/>
  <c r="N26" i="177"/>
  <c r="N9" i="177"/>
  <c r="N17" i="178" s="1"/>
  <c r="M7" i="177"/>
  <c r="M11" i="178" s="1"/>
  <c r="N4" i="212"/>
  <c r="P6" i="214"/>
  <c r="P6" i="217"/>
  <c r="P11" i="217" s="1"/>
  <c r="P6" i="186"/>
  <c r="P11" i="182"/>
  <c r="O6" i="193"/>
  <c r="O11" i="193" s="1"/>
  <c r="O11" i="186"/>
  <c r="N5" i="212" s="1"/>
  <c r="Q6" i="182"/>
  <c r="Q11" i="182" s="1"/>
  <c r="Q5" i="167" s="1"/>
  <c r="Q11" i="180"/>
  <c r="D25" i="207" s="1"/>
  <c r="O5" i="169" l="1"/>
  <c r="O29" i="177"/>
  <c r="O20" i="177"/>
  <c r="O15" i="177"/>
  <c r="N18" i="178"/>
  <c r="P5" i="176"/>
  <c r="P5" i="167"/>
  <c r="P7" i="167" s="1"/>
  <c r="P8" i="176" s="1"/>
  <c r="C12" i="210"/>
  <c r="C12" i="221"/>
  <c r="N6" i="212"/>
  <c r="O5" i="216"/>
  <c r="O24" i="177"/>
  <c r="O26" i="177"/>
  <c r="O22" i="177"/>
  <c r="O9" i="177"/>
  <c r="O17" i="178" s="1"/>
  <c r="P6" i="193"/>
  <c r="P11" i="193" s="1"/>
  <c r="P11" i="186"/>
  <c r="O5" i="212" s="1"/>
  <c r="O4" i="212"/>
  <c r="Q6" i="214"/>
  <c r="Q6" i="217"/>
  <c r="Q11" i="217" s="1"/>
  <c r="Q6" i="186"/>
  <c r="Q5" i="176"/>
  <c r="P11" i="214"/>
  <c r="P14" i="214"/>
  <c r="P17" i="214" s="1"/>
  <c r="N7" i="177"/>
  <c r="N11" i="178" s="1"/>
  <c r="H10" i="168"/>
  <c r="I7" i="168" s="1"/>
  <c r="I8" i="168" s="1"/>
  <c r="Q29" i="177" l="1"/>
  <c r="Q15" i="177"/>
  <c r="Q20" i="177"/>
  <c r="P5" i="169"/>
  <c r="P15" i="177"/>
  <c r="P29" i="177"/>
  <c r="P20" i="177"/>
  <c r="O18" i="178"/>
  <c r="I9" i="168"/>
  <c r="O6" i="212"/>
  <c r="Q5" i="169"/>
  <c r="P4" i="212"/>
  <c r="Q7" i="167"/>
  <c r="Q8" i="176" s="1"/>
  <c r="Q6" i="193"/>
  <c r="Q11" i="193" s="1"/>
  <c r="Q11" i="186"/>
  <c r="P5" i="212" s="1"/>
  <c r="Q14" i="214"/>
  <c r="Q17" i="214" s="1"/>
  <c r="Q11" i="214"/>
  <c r="P5" i="216"/>
  <c r="P22" i="177"/>
  <c r="P26" i="177"/>
  <c r="P9" i="177"/>
  <c r="P17" i="178" s="1"/>
  <c r="P24" i="177"/>
  <c r="O7" i="177"/>
  <c r="O11" i="178" s="1"/>
  <c r="H13" i="177"/>
  <c r="P18" i="178" l="1"/>
  <c r="I31" i="168"/>
  <c r="I30" i="168"/>
  <c r="P6" i="212"/>
  <c r="P7" i="177"/>
  <c r="P11" i="178" s="1"/>
  <c r="Q5" i="216"/>
  <c r="Q22" i="177"/>
  <c r="Q24" i="177"/>
  <c r="Q26" i="177"/>
  <c r="Q9" i="177"/>
  <c r="Q17" i="178" s="1"/>
  <c r="Q18" i="178" l="1"/>
  <c r="I16" i="178"/>
  <c r="Q7" i="177"/>
  <c r="Q11" i="178" s="1"/>
  <c r="I8" i="178" l="1"/>
  <c r="I10" i="168"/>
  <c r="J7" i="168" s="1"/>
  <c r="J8" i="168" s="1"/>
  <c r="J9" i="168" l="1"/>
  <c r="I13" i="177"/>
  <c r="J30" i="168" l="1"/>
  <c r="J31" i="168"/>
  <c r="J16" i="178"/>
  <c r="J10" i="168" l="1"/>
  <c r="K7" i="168" s="1"/>
  <c r="K8" i="168" s="1"/>
  <c r="J8" i="178"/>
  <c r="K16" i="178" l="1"/>
  <c r="J13" i="177"/>
  <c r="K9" i="168" l="1"/>
  <c r="K10" i="168" l="1"/>
  <c r="L7" i="168" s="1"/>
  <c r="K30" i="168"/>
  <c r="K31" i="168"/>
  <c r="K8" i="178"/>
  <c r="L8" i="168" l="1"/>
  <c r="L9" i="168" s="1"/>
  <c r="K13" i="177"/>
  <c r="L16" i="178" l="1"/>
  <c r="L31" i="168"/>
  <c r="L30" i="168"/>
  <c r="L8" i="178"/>
  <c r="L10" i="168"/>
  <c r="M7" i="168" s="1"/>
  <c r="M8" i="168" s="1"/>
  <c r="M9" i="168" l="1"/>
  <c r="L13" i="177"/>
  <c r="M31" i="168" l="1"/>
  <c r="M30" i="168"/>
  <c r="M16" i="178"/>
  <c r="M8" i="178" l="1"/>
  <c r="M10" i="168" l="1"/>
  <c r="N7" i="168" s="1"/>
  <c r="N8" i="168" s="1"/>
  <c r="N9" i="168" l="1"/>
  <c r="M13" i="177"/>
  <c r="N30" i="168" l="1"/>
  <c r="N31" i="168"/>
  <c r="N16" i="178"/>
  <c r="N10" i="168"/>
  <c r="O7" i="168" s="1"/>
  <c r="O8" i="168" s="1"/>
  <c r="O9" i="168" l="1"/>
  <c r="N8" i="178"/>
  <c r="N13" i="177"/>
  <c r="O30" i="168" l="1"/>
  <c r="O31" i="168"/>
  <c r="O16" i="178"/>
  <c r="O10" i="168" l="1"/>
  <c r="P7" i="168" s="1"/>
  <c r="P8" i="168" s="1"/>
  <c r="O8" i="178"/>
  <c r="P9" i="168" l="1"/>
  <c r="O13" i="177"/>
  <c r="P30" i="168" l="1"/>
  <c r="P31" i="168"/>
  <c r="P16" i="178"/>
  <c r="P8" i="178" l="1"/>
  <c r="P10" i="168"/>
  <c r="Q7" i="168" s="1"/>
  <c r="Q8" i="168" s="1"/>
  <c r="Q9" i="168" l="1"/>
  <c r="P13" i="177"/>
  <c r="Q31" i="168" l="1"/>
  <c r="L7" i="203" s="1"/>
  <c r="Q30" i="168"/>
  <c r="M7" i="203" s="1"/>
  <c r="Q16" i="178"/>
  <c r="C30" i="210" s="1"/>
  <c r="Q10" i="168"/>
  <c r="Q13" i="177" s="1"/>
  <c r="Q8" i="178"/>
  <c r="H10" i="176"/>
  <c r="H22" i="178" l="1"/>
  <c r="C14" i="222"/>
  <c r="C28" i="210"/>
  <c r="C11" i="192" l="1"/>
  <c r="E11" i="192"/>
  <c r="G11" i="192"/>
  <c r="F11" i="192"/>
  <c r="D11" i="192"/>
  <c r="J11" i="192" l="1"/>
  <c r="J7" i="192" s="1"/>
  <c r="J7" i="206" s="1"/>
  <c r="J6" i="176" s="1"/>
  <c r="K11" i="192"/>
  <c r="K7" i="192" s="1"/>
  <c r="K7" i="206" s="1"/>
  <c r="K6" i="176" s="1"/>
  <c r="N11" i="192"/>
  <c r="N7" i="192" s="1"/>
  <c r="N7" i="206" s="1"/>
  <c r="N6" i="176" s="1"/>
  <c r="H11" i="192"/>
  <c r="H7" i="192" s="1"/>
  <c r="H7" i="206" s="1"/>
  <c r="H6" i="176" s="1"/>
  <c r="C12" i="222" s="1"/>
  <c r="M11" i="192" l="1"/>
  <c r="M7" i="192" s="1"/>
  <c r="M7" i="206" s="1"/>
  <c r="M6" i="176" s="1"/>
  <c r="M7" i="176" s="1"/>
  <c r="I11" i="192"/>
  <c r="I7" i="192" s="1"/>
  <c r="I7" i="206" s="1"/>
  <c r="I6" i="176" s="1"/>
  <c r="I7" i="169" s="1"/>
  <c r="I19" i="177" s="1"/>
  <c r="Q11" i="192"/>
  <c r="Q7" i="192" s="1"/>
  <c r="Q7" i="206" s="1"/>
  <c r="Q6" i="176" s="1"/>
  <c r="Q7" i="176" s="1"/>
  <c r="O11" i="192"/>
  <c r="O7" i="192" s="1"/>
  <c r="O7" i="206" s="1"/>
  <c r="O6" i="176" s="1"/>
  <c r="O6" i="169" s="1"/>
  <c r="P11" i="192"/>
  <c r="P7" i="192" s="1"/>
  <c r="P7" i="206" s="1"/>
  <c r="P6" i="176" s="1"/>
  <c r="P6" i="169" s="1"/>
  <c r="L11" i="192"/>
  <c r="L7" i="192" s="1"/>
  <c r="L7" i="206" s="1"/>
  <c r="L6" i="176" s="1"/>
  <c r="L7" i="176" s="1"/>
  <c r="N7" i="169"/>
  <c r="N19" i="177" s="1"/>
  <c r="N7" i="176"/>
  <c r="N6" i="169"/>
  <c r="H7" i="169"/>
  <c r="H19" i="177" s="1"/>
  <c r="H13" i="178" s="1"/>
  <c r="H6" i="169"/>
  <c r="H7" i="176"/>
  <c r="J6" i="169"/>
  <c r="J7" i="176"/>
  <c r="J7" i="169"/>
  <c r="J19" i="177" s="1"/>
  <c r="K7" i="176"/>
  <c r="K6" i="169"/>
  <c r="K7" i="169"/>
  <c r="K19" i="177" s="1"/>
  <c r="Q7" i="169" l="1"/>
  <c r="Q19" i="177" s="1"/>
  <c r="Q6" i="169"/>
  <c r="I6" i="169"/>
  <c r="I8" i="169" s="1"/>
  <c r="M6" i="169"/>
  <c r="M7" i="169"/>
  <c r="M19" i="177" s="1"/>
  <c r="N13" i="178" s="1"/>
  <c r="I7" i="176"/>
  <c r="I9" i="176" s="1"/>
  <c r="O7" i="176"/>
  <c r="O9" i="176" s="1"/>
  <c r="O7" i="169"/>
  <c r="O19" i="177" s="1"/>
  <c r="O13" i="178" s="1"/>
  <c r="L6" i="169"/>
  <c r="L8" i="177" s="1"/>
  <c r="L7" i="169"/>
  <c r="L19" i="177" s="1"/>
  <c r="P7" i="176"/>
  <c r="P8" i="216" s="1"/>
  <c r="P6" i="216" s="1"/>
  <c r="P7" i="169"/>
  <c r="P19" i="177" s="1"/>
  <c r="P13" i="178" s="1"/>
  <c r="P8" i="177"/>
  <c r="K8" i="216"/>
  <c r="K6" i="216" s="1"/>
  <c r="K9" i="176"/>
  <c r="M9" i="176"/>
  <c r="M8" i="216"/>
  <c r="M6" i="216" s="1"/>
  <c r="J13" i="178"/>
  <c r="N8" i="177"/>
  <c r="N8" i="169"/>
  <c r="O8" i="177"/>
  <c r="K13" i="178"/>
  <c r="J8" i="216"/>
  <c r="J6" i="216" s="1"/>
  <c r="J9" i="176"/>
  <c r="Q9" i="176"/>
  <c r="Q8" i="216"/>
  <c r="Q6" i="216" s="1"/>
  <c r="H8" i="216"/>
  <c r="H6" i="216" s="1"/>
  <c r="H9" i="176"/>
  <c r="H5" i="178" s="1"/>
  <c r="N8" i="216"/>
  <c r="N6" i="216" s="1"/>
  <c r="N9" i="176"/>
  <c r="I13" i="178"/>
  <c r="Q8" i="177"/>
  <c r="K8" i="169"/>
  <c r="K8" i="177"/>
  <c r="J8" i="177"/>
  <c r="J8" i="169"/>
  <c r="L8" i="216"/>
  <c r="L6" i="216" s="1"/>
  <c r="L9" i="176"/>
  <c r="H8" i="169"/>
  <c r="H8" i="177"/>
  <c r="H12" i="178" s="1"/>
  <c r="H14" i="178" s="1"/>
  <c r="I8" i="177" l="1"/>
  <c r="M8" i="169"/>
  <c r="Q8" i="169"/>
  <c r="M13" i="178"/>
  <c r="O8" i="169"/>
  <c r="M8" i="177"/>
  <c r="N12" i="178" s="1"/>
  <c r="N14" i="178" s="1"/>
  <c r="O8" i="216"/>
  <c r="O6" i="216" s="1"/>
  <c r="L8" i="169"/>
  <c r="L13" i="178"/>
  <c r="I8" i="216"/>
  <c r="I6" i="216" s="1"/>
  <c r="P9" i="176"/>
  <c r="P9" i="216" s="1"/>
  <c r="P7" i="216" s="1"/>
  <c r="P8" i="169"/>
  <c r="Q13" i="178"/>
  <c r="C11" i="221"/>
  <c r="C11" i="210"/>
  <c r="O12" i="178"/>
  <c r="O14" i="178" s="1"/>
  <c r="Q12" i="178"/>
  <c r="I12" i="178"/>
  <c r="I14" i="178" s="1"/>
  <c r="K12" i="178"/>
  <c r="K14" i="178" s="1"/>
  <c r="L12" i="178"/>
  <c r="O9" i="216"/>
  <c r="O7" i="216" s="1"/>
  <c r="O5" i="178"/>
  <c r="P12" i="178"/>
  <c r="P14" i="178" s="1"/>
  <c r="J12" i="178"/>
  <c r="J14" i="178" s="1"/>
  <c r="I9" i="216"/>
  <c r="I7" i="216" s="1"/>
  <c r="I5" i="178"/>
  <c r="Q9" i="216"/>
  <c r="Q7" i="216" s="1"/>
  <c r="Q5" i="178"/>
  <c r="N9" i="216"/>
  <c r="N7" i="216" s="1"/>
  <c r="N5" i="178"/>
  <c r="H9" i="216"/>
  <c r="H7" i="216" s="1"/>
  <c r="H11" i="176"/>
  <c r="J9" i="216"/>
  <c r="J7" i="216" s="1"/>
  <c r="J5" i="178"/>
  <c r="K9" i="216"/>
  <c r="K7" i="216" s="1"/>
  <c r="K5" i="178"/>
  <c r="L9" i="216"/>
  <c r="L7" i="216" s="1"/>
  <c r="L5" i="178"/>
  <c r="M9" i="216"/>
  <c r="M7" i="216" s="1"/>
  <c r="M5" i="178"/>
  <c r="M12" i="178" l="1"/>
  <c r="M14" i="178" s="1"/>
  <c r="L14" i="178"/>
  <c r="P5" i="178"/>
  <c r="P6" i="178" s="1"/>
  <c r="P7" i="178" s="1"/>
  <c r="P9" i="178" s="1"/>
  <c r="P20" i="178" s="1"/>
  <c r="Q14" i="178"/>
  <c r="C29" i="210" s="1"/>
  <c r="L6" i="178"/>
  <c r="L7" i="178" s="1"/>
  <c r="N6" i="178"/>
  <c r="N7" i="178" s="1"/>
  <c r="N9" i="178" s="1"/>
  <c r="N20" i="178" s="1"/>
  <c r="O6" i="178"/>
  <c r="O7" i="178" s="1"/>
  <c r="O9" i="178" s="1"/>
  <c r="O20" i="178" s="1"/>
  <c r="H6" i="178"/>
  <c r="H7" i="178" s="1"/>
  <c r="K6" i="178"/>
  <c r="K7" i="178" s="1"/>
  <c r="K9" i="178" s="1"/>
  <c r="K20" i="178" s="1"/>
  <c r="H12" i="176"/>
  <c r="I6" i="178"/>
  <c r="I7" i="178" s="1"/>
  <c r="I9" i="178" s="1"/>
  <c r="I20" i="178" s="1"/>
  <c r="M6" i="178"/>
  <c r="M7" i="178" s="1"/>
  <c r="M9" i="178" s="1"/>
  <c r="J6" i="178"/>
  <c r="J7" i="178" s="1"/>
  <c r="J9" i="178" s="1"/>
  <c r="J20" i="178" s="1"/>
  <c r="Q6" i="178"/>
  <c r="Q7" i="178" s="1"/>
  <c r="M20" i="178" l="1"/>
  <c r="M6" i="179" s="1"/>
  <c r="C15" i="222"/>
  <c r="H25" i="178"/>
  <c r="C9" i="221"/>
  <c r="C9" i="210"/>
  <c r="L9" i="178"/>
  <c r="L20" i="178" s="1"/>
  <c r="H14" i="176"/>
  <c r="K18" i="172"/>
  <c r="K6" i="179"/>
  <c r="O18" i="172"/>
  <c r="O6" i="179"/>
  <c r="J6" i="179"/>
  <c r="J18" i="172"/>
  <c r="P18" i="172"/>
  <c r="P6" i="179"/>
  <c r="N18" i="172"/>
  <c r="N6" i="179"/>
  <c r="I6" i="179"/>
  <c r="I18" i="172"/>
  <c r="Q9" i="178"/>
  <c r="Q20" i="178" s="1"/>
  <c r="C27" i="210"/>
  <c r="H9" i="178"/>
  <c r="H20" i="178" s="1"/>
  <c r="M18" i="172" l="1"/>
  <c r="M19" i="172" s="1"/>
  <c r="H18" i="172"/>
  <c r="L6" i="179"/>
  <c r="L18" i="172"/>
  <c r="L20" i="172" s="1"/>
  <c r="C16" i="222"/>
  <c r="N20" i="172"/>
  <c r="N19" i="172"/>
  <c r="J20" i="172"/>
  <c r="J19" i="172"/>
  <c r="O20" i="172"/>
  <c r="O19" i="172"/>
  <c r="Q18" i="172"/>
  <c r="Q6" i="179"/>
  <c r="I19" i="172"/>
  <c r="I20" i="172"/>
  <c r="P19" i="172"/>
  <c r="P20" i="172"/>
  <c r="K20" i="172"/>
  <c r="K19" i="172"/>
  <c r="M20" i="172"/>
  <c r="H6" i="179" l="1"/>
  <c r="H19" i="172"/>
  <c r="H28" i="177" s="1"/>
  <c r="H20" i="172"/>
  <c r="H32" i="177" s="1"/>
  <c r="L19" i="172"/>
  <c r="Q19" i="172"/>
  <c r="Q20" i="172"/>
  <c r="H23" i="178" l="1"/>
  <c r="I11" i="172"/>
  <c r="J12" i="172" s="1"/>
  <c r="H24" i="178"/>
  <c r="H16" i="175"/>
  <c r="C13" i="221" l="1"/>
  <c r="C13" i="210"/>
  <c r="J11" i="172"/>
  <c r="K12" i="172" s="1"/>
  <c r="I10" i="176"/>
  <c r="H15" i="175"/>
  <c r="H18" i="175" s="1"/>
  <c r="I28" i="177"/>
  <c r="H31" i="177"/>
  <c r="H34" i="177" s="1"/>
  <c r="H28" i="178" l="1"/>
  <c r="C14" i="221" s="1"/>
  <c r="I23" i="178"/>
  <c r="I22" i="178"/>
  <c r="I11" i="176"/>
  <c r="J10" i="176"/>
  <c r="K11" i="172"/>
  <c r="L12" i="172" s="1"/>
  <c r="J28" i="177"/>
  <c r="J23" i="178" s="1"/>
  <c r="I15" i="175"/>
  <c r="I31" i="177"/>
  <c r="H19" i="175"/>
  <c r="H31" i="178" l="1"/>
  <c r="H32" i="178" s="1"/>
  <c r="I30" i="178" s="1"/>
  <c r="H5" i="177"/>
  <c r="H17" i="177" s="1"/>
  <c r="H36" i="177" s="1"/>
  <c r="C14" i="210"/>
  <c r="H24" i="175"/>
  <c r="H9" i="179" s="1"/>
  <c r="H10" i="179" s="1"/>
  <c r="K10" i="176"/>
  <c r="L11" i="172"/>
  <c r="M12" i="172" s="1"/>
  <c r="J15" i="175"/>
  <c r="K28" i="177"/>
  <c r="K23" i="178" s="1"/>
  <c r="J31" i="177"/>
  <c r="J22" i="178"/>
  <c r="J11" i="176"/>
  <c r="I12" i="176"/>
  <c r="I25" i="178" s="1"/>
  <c r="H34" i="178" l="1"/>
  <c r="I14" i="176"/>
  <c r="L10" i="176"/>
  <c r="M11" i="172"/>
  <c r="N12" i="172" s="1"/>
  <c r="K15" i="175"/>
  <c r="L28" i="177"/>
  <c r="L23" i="178" s="1"/>
  <c r="K31" i="177"/>
  <c r="K22" i="178"/>
  <c r="K11" i="176"/>
  <c r="J12" i="176"/>
  <c r="J25" i="178" s="1"/>
  <c r="J14" i="176" l="1"/>
  <c r="I32" i="177"/>
  <c r="I24" i="178" s="1"/>
  <c r="I28" i="178" s="1"/>
  <c r="L15" i="175"/>
  <c r="M28" i="177"/>
  <c r="L31" i="177"/>
  <c r="N11" i="172"/>
  <c r="O12" i="172" s="1"/>
  <c r="M10" i="176"/>
  <c r="K12" i="176"/>
  <c r="K25" i="178" s="1"/>
  <c r="L22" i="178"/>
  <c r="L11" i="176"/>
  <c r="K14" i="176" l="1"/>
  <c r="M31" i="177"/>
  <c r="M23" i="178"/>
  <c r="I16" i="175"/>
  <c r="I19" i="175" s="1"/>
  <c r="J32" i="177"/>
  <c r="J34" i="177" s="1"/>
  <c r="I34" i="177"/>
  <c r="I5" i="177"/>
  <c r="I17" i="177" s="1"/>
  <c r="I31" i="178"/>
  <c r="I32" i="178" s="1"/>
  <c r="L12" i="176"/>
  <c r="L25" i="178" s="1"/>
  <c r="M22" i="178"/>
  <c r="M11" i="176"/>
  <c r="M15" i="175"/>
  <c r="N28" i="177"/>
  <c r="N23" i="178" s="1"/>
  <c r="N10" i="176"/>
  <c r="O11" i="172"/>
  <c r="P12" i="172" s="1"/>
  <c r="I36" i="177" l="1"/>
  <c r="I18" i="175"/>
  <c r="L14" i="176"/>
  <c r="J16" i="175"/>
  <c r="J24" i="178"/>
  <c r="J28" i="178" s="1"/>
  <c r="J31" i="178" s="1"/>
  <c r="K32" i="177"/>
  <c r="K34" i="177" s="1"/>
  <c r="J30" i="178"/>
  <c r="I34" i="178"/>
  <c r="O28" i="177"/>
  <c r="O23" i="178" s="1"/>
  <c r="N15" i="175"/>
  <c r="N31" i="177"/>
  <c r="O10" i="176"/>
  <c r="P11" i="172"/>
  <c r="Q12" i="172" s="1"/>
  <c r="N22" i="178"/>
  <c r="N11" i="176"/>
  <c r="M12" i="176"/>
  <c r="M25" i="178" s="1"/>
  <c r="I24" i="175" l="1"/>
  <c r="I9" i="179" s="1"/>
  <c r="I10" i="179" s="1"/>
  <c r="J32" i="178"/>
  <c r="K30" i="178" s="1"/>
  <c r="M14" i="176"/>
  <c r="K24" i="178"/>
  <c r="K28" i="178" s="1"/>
  <c r="K31" i="178" s="1"/>
  <c r="J5" i="177"/>
  <c r="L32" i="177"/>
  <c r="L24" i="178" s="1"/>
  <c r="L28" i="178" s="1"/>
  <c r="L31" i="178" s="1"/>
  <c r="K16" i="175"/>
  <c r="J18" i="175"/>
  <c r="J19" i="175"/>
  <c r="P10" i="176"/>
  <c r="Q11" i="172"/>
  <c r="Q10" i="176" s="1"/>
  <c r="N12" i="176"/>
  <c r="N25" i="178" s="1"/>
  <c r="O22" i="178"/>
  <c r="O11" i="176"/>
  <c r="O15" i="175"/>
  <c r="P28" i="177"/>
  <c r="P23" i="178" s="1"/>
  <c r="O31" i="177"/>
  <c r="J34" i="178" l="1"/>
  <c r="J17" i="177"/>
  <c r="J36" i="177" s="1"/>
  <c r="K5" i="177"/>
  <c r="K17" i="177" s="1"/>
  <c r="K36" i="177" s="1"/>
  <c r="L34" i="177"/>
  <c r="N14" i="176"/>
  <c r="K32" i="178"/>
  <c r="L16" i="175"/>
  <c r="L18" i="175" s="1"/>
  <c r="M32" i="177"/>
  <c r="M16" i="175" s="1"/>
  <c r="M19" i="175" s="1"/>
  <c r="J24" i="175"/>
  <c r="J9" i="179" s="1"/>
  <c r="J10" i="179" s="1"/>
  <c r="K19" i="175"/>
  <c r="K18" i="175"/>
  <c r="O12" i="176"/>
  <c r="O25" i="178" s="1"/>
  <c r="P15" i="175"/>
  <c r="Q28" i="177"/>
  <c r="Q23" i="178" s="1"/>
  <c r="P31" i="177"/>
  <c r="Q22" i="178"/>
  <c r="Q11" i="176"/>
  <c r="P22" i="178"/>
  <c r="P11" i="176"/>
  <c r="K24" i="175" l="1"/>
  <c r="K9" i="179" s="1"/>
  <c r="K10" i="179" s="1"/>
  <c r="M18" i="175"/>
  <c r="M24" i="175" s="1"/>
  <c r="M9" i="179" s="1"/>
  <c r="M10" i="179" s="1"/>
  <c r="L19" i="175"/>
  <c r="L24" i="175" s="1"/>
  <c r="L9" i="179" s="1"/>
  <c r="L10" i="179" s="1"/>
  <c r="M24" i="178"/>
  <c r="M28" i="178" s="1"/>
  <c r="M31" i="178" s="1"/>
  <c r="K34" i="178"/>
  <c r="L5" i="177"/>
  <c r="L17" i="177" s="1"/>
  <c r="L36" i="177" s="1"/>
  <c r="L30" i="178"/>
  <c r="L32" i="178" s="1"/>
  <c r="M30" i="178" s="1"/>
  <c r="M34" i="177"/>
  <c r="O14" i="176"/>
  <c r="N32" i="177"/>
  <c r="N16" i="175" s="1"/>
  <c r="N19" i="175" s="1"/>
  <c r="P12" i="176"/>
  <c r="P25" i="178" s="1"/>
  <c r="Q12" i="176"/>
  <c r="Q25" i="178" s="1"/>
  <c r="Q15" i="175"/>
  <c r="Q31" i="177"/>
  <c r="M5" i="177" l="1"/>
  <c r="M17" i="177" s="1"/>
  <c r="M36" i="177" s="1"/>
  <c r="M32" i="178"/>
  <c r="N30" i="178" s="1"/>
  <c r="L34" i="178"/>
  <c r="P14" i="176"/>
  <c r="N18" i="175"/>
  <c r="N24" i="175" s="1"/>
  <c r="N9" i="179" s="1"/>
  <c r="N10" i="179" s="1"/>
  <c r="O32" i="177"/>
  <c r="O24" i="178" s="1"/>
  <c r="O28" i="178" s="1"/>
  <c r="O31" i="178" s="1"/>
  <c r="Q14" i="176"/>
  <c r="N24" i="178"/>
  <c r="N28" i="178" s="1"/>
  <c r="N31" i="178" s="1"/>
  <c r="N34" i="177"/>
  <c r="M34" i="178" l="1"/>
  <c r="N32" i="178"/>
  <c r="O30" i="178" s="1"/>
  <c r="O32" i="178" s="1"/>
  <c r="P30" i="178" s="1"/>
  <c r="P32" i="177"/>
  <c r="P34" i="177" s="1"/>
  <c r="O16" i="175"/>
  <c r="O18" i="175" s="1"/>
  <c r="O34" i="177"/>
  <c r="N5" i="177"/>
  <c r="N34" i="178" l="1"/>
  <c r="P16" i="175"/>
  <c r="P19" i="175" s="1"/>
  <c r="P24" i="178"/>
  <c r="P28" i="178" s="1"/>
  <c r="P31" i="178" s="1"/>
  <c r="P32" i="178" s="1"/>
  <c r="Q30" i="178" s="1"/>
  <c r="O19" i="175"/>
  <c r="O24" i="175" s="1"/>
  <c r="O9" i="179" s="1"/>
  <c r="O10" i="179" s="1"/>
  <c r="Q32" i="177"/>
  <c r="Q34" i="177" s="1"/>
  <c r="O5" i="177"/>
  <c r="O34" i="178" s="1"/>
  <c r="N17" i="177"/>
  <c r="N36" i="177" s="1"/>
  <c r="P18" i="175" l="1"/>
  <c r="P24" i="175" s="1"/>
  <c r="P9" i="179" s="1"/>
  <c r="P10" i="179" s="1"/>
  <c r="C26" i="210"/>
  <c r="Q24" i="178"/>
  <c r="Q16" i="175"/>
  <c r="O17" i="177"/>
  <c r="O36" i="177" s="1"/>
  <c r="P5" i="177"/>
  <c r="C31" i="210" l="1"/>
  <c r="Q28" i="178"/>
  <c r="Q5" i="177" s="1"/>
  <c r="Q19" i="175"/>
  <c r="Q18" i="175"/>
  <c r="P34" i="178"/>
  <c r="P17" i="177"/>
  <c r="P36" i="177" s="1"/>
  <c r="Q24" i="175" l="1"/>
  <c r="Q9" i="179" s="1"/>
  <c r="Q7" i="179" s="1"/>
  <c r="F15" i="179" s="1"/>
  <c r="C32" i="210"/>
  <c r="Q31" i="178"/>
  <c r="Q32" i="178" s="1"/>
  <c r="Q34" i="178" s="1"/>
  <c r="Q17" i="177"/>
  <c r="Q36" i="177" s="1"/>
  <c r="Q11" i="179" l="1"/>
  <c r="F16" i="179" s="1"/>
  <c r="Q10" i="179"/>
  <c r="F14" i="179" s="1"/>
  <c r="F17" i="179" l="1"/>
  <c r="F20" i="179" s="1"/>
  <c r="F22" i="179" s="1"/>
  <c r="G16" i="179"/>
  <c r="G14" i="17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Nikola Danev</author>
  </authors>
  <commentList>
    <comment ref="F9" authorId="0" shapeId="0" xr:uid="{26E6E492-8FE4-4BAC-9C05-DC5CA9CDCD84}">
      <text>
        <r>
          <rPr>
            <b/>
            <sz val="9"/>
            <color indexed="81"/>
            <rFont val="Tahoma"/>
            <family val="2"/>
            <charset val="204"/>
          </rPr>
          <t>Nikola Danev:</t>
        </r>
        <r>
          <rPr>
            <sz val="9"/>
            <color indexed="81"/>
            <rFont val="Tahoma"/>
            <family val="2"/>
            <charset val="204"/>
          </rPr>
          <t xml:space="preserve">
From Cash Flow Statement in 2019 10-K</t>
        </r>
      </text>
    </comment>
    <comment ref="G9" authorId="0" shapeId="0" xr:uid="{6F42D515-CB48-4DC1-A0A4-EFDBD2A2E7E5}">
      <text>
        <r>
          <rPr>
            <b/>
            <sz val="9"/>
            <color indexed="81"/>
            <rFont val="Tahoma"/>
            <family val="2"/>
            <charset val="204"/>
          </rPr>
          <t>Nikola Danev:</t>
        </r>
        <r>
          <rPr>
            <sz val="9"/>
            <color indexed="81"/>
            <rFont val="Tahoma"/>
            <family val="2"/>
            <charset val="204"/>
          </rPr>
          <t xml:space="preserve">
From Cash Flow Statement in 2019 10-K</t>
        </r>
      </text>
    </comment>
  </commentList>
</comments>
</file>

<file path=xl/sharedStrings.xml><?xml version="1.0" encoding="utf-8"?>
<sst xmlns="http://schemas.openxmlformats.org/spreadsheetml/2006/main" count="1198" uniqueCount="402">
  <si>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</si>
  <si>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</si>
  <si>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</si>
  <si>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</si>
  <si>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</si>
  <si>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</si>
  <si>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</si>
  <si>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</si>
  <si>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</si>
  <si>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</si>
  <si>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</si>
  <si>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</si>
  <si>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</si>
  <si>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</si>
  <si>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</si>
  <si>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</si>
  <si>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</si>
  <si>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</si>
  <si>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</si>
  <si>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</si>
  <si>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</si>
  <si>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</si>
  <si>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</si>
  <si>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</si>
  <si>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</si>
  <si>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</si>
  <si>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</si>
  <si>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</si>
  <si>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</si>
  <si>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</si>
  <si>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</si>
  <si>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</si>
  <si>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</si>
  <si>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</si>
  <si>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</si>
  <si>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</si>
  <si>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</si>
  <si>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</si>
  <si>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</si>
  <si>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</si>
  <si>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</si>
  <si>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</si>
  <si>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</si>
  <si>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</si>
  <si>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</si>
  <si>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</si>
  <si>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</si>
  <si>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</si>
  <si>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</si>
  <si>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</si>
  <si>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</si>
  <si>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</si>
  <si>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</si>
  <si>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</si>
  <si>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</si>
  <si>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</si>
  <si>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</si>
  <si>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</si>
  <si>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</si>
  <si>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</si>
  <si>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</si>
  <si>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</si>
  <si>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</si>
  <si>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</si>
  <si>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</si>
  <si>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Other liabilities</t>
  </si>
  <si>
    <t>Input --&gt;</t>
  </si>
  <si>
    <t>Output --&gt;</t>
  </si>
  <si>
    <t>Total</t>
  </si>
  <si>
    <t>Selected case:</t>
  </si>
  <si>
    <t>Best case</t>
  </si>
  <si>
    <t>Base case</t>
  </si>
  <si>
    <t>Worst case</t>
  </si>
  <si>
    <t>Drivers</t>
  </si>
  <si>
    <t>Selected case</t>
  </si>
  <si>
    <t xml:space="preserve"> </t>
  </si>
  <si>
    <t>Gross Profit</t>
  </si>
  <si>
    <t>Opex</t>
  </si>
  <si>
    <t>Opex as a % of revenues</t>
  </si>
  <si>
    <t>Automotive revenues</t>
  </si>
  <si>
    <t>Beginning PP&amp;E</t>
  </si>
  <si>
    <t>Capex</t>
  </si>
  <si>
    <t>D&amp;A</t>
  </si>
  <si>
    <t>Ending PP&amp;E</t>
  </si>
  <si>
    <t>Capex as a % of PP&amp;E</t>
  </si>
  <si>
    <t>D&amp;A as a % of PP&amp;E</t>
  </si>
  <si>
    <t>D&amp;A as a % of revenues</t>
  </si>
  <si>
    <t>Useful life historical assets</t>
  </si>
  <si>
    <t>Useful life Capex</t>
  </si>
  <si>
    <t>Working capital</t>
  </si>
  <si>
    <t>Trade receivables</t>
  </si>
  <si>
    <t>Trade payables</t>
  </si>
  <si>
    <t>Cost of sales</t>
  </si>
  <si>
    <t>Financing</t>
  </si>
  <si>
    <t>Workings  --&gt;</t>
  </si>
  <si>
    <t>WACC</t>
  </si>
  <si>
    <t>Risk-free rate</t>
  </si>
  <si>
    <t>Market risk premium</t>
  </si>
  <si>
    <t>P&amp;L</t>
  </si>
  <si>
    <t>Taxes</t>
  </si>
  <si>
    <t>Net Income</t>
  </si>
  <si>
    <t>Revenues</t>
  </si>
  <si>
    <t>Operating expenses</t>
  </si>
  <si>
    <t>Interest expenses/income</t>
  </si>
  <si>
    <t>Corporate tax rate</t>
  </si>
  <si>
    <t>Cash</t>
  </si>
  <si>
    <t>Prepaid expenses</t>
  </si>
  <si>
    <t>Operating lease vehicles</t>
  </si>
  <si>
    <t>Solar energy systems leased</t>
  </si>
  <si>
    <t>PP&amp;E</t>
  </si>
  <si>
    <t>Long-term debt</t>
  </si>
  <si>
    <t>Intangible assets</t>
  </si>
  <si>
    <t>Total liabilities &amp; equity</t>
  </si>
  <si>
    <t>Equity</t>
  </si>
  <si>
    <t>Check</t>
  </si>
  <si>
    <t>as a % of revenues</t>
  </si>
  <si>
    <t>Stays flat</t>
  </si>
  <si>
    <t>Assumption</t>
  </si>
  <si>
    <t>PP&amp;E sheet</t>
  </si>
  <si>
    <t>Working capital sheet</t>
  </si>
  <si>
    <t>Cash flow sheet</t>
  </si>
  <si>
    <t>Grows as a % of revenues</t>
  </si>
  <si>
    <t>Financing sheet</t>
  </si>
  <si>
    <t>Interest rate</t>
  </si>
  <si>
    <t>Cash Flow</t>
  </si>
  <si>
    <t>NOPAT</t>
  </si>
  <si>
    <t>Investments in Working Capital</t>
  </si>
  <si>
    <t>Unlevered Free Cash Flow</t>
  </si>
  <si>
    <t>Interest expenses</t>
  </si>
  <si>
    <t>Delta Financial liabilities</t>
  </si>
  <si>
    <t>Net Cash Flow</t>
  </si>
  <si>
    <t>Opening cash</t>
  </si>
  <si>
    <t>Closing cash</t>
  </si>
  <si>
    <t>Other liabilties</t>
  </si>
  <si>
    <t>Restricted cash and securities</t>
  </si>
  <si>
    <t>Delta equity/Other equity movements</t>
  </si>
  <si>
    <t>Cover negative cash flows with:</t>
  </si>
  <si>
    <t>Debt</t>
  </si>
  <si>
    <t>Tax adjustment</t>
  </si>
  <si>
    <t>Add-back D&amp;A</t>
  </si>
  <si>
    <t>DCF Valuation</t>
  </si>
  <si>
    <t>g (Perpetuity growth)</t>
  </si>
  <si>
    <t>Discount factor (WACC)</t>
  </si>
  <si>
    <t>Present value of UFCF</t>
  </si>
  <si>
    <t>Perpetuity Growth Rate-Based Valuation</t>
  </si>
  <si>
    <t>Total PV of Cash Flows</t>
  </si>
  <si>
    <t>of Enterprise Value</t>
  </si>
  <si>
    <t>Continuing Value</t>
  </si>
  <si>
    <t>PV of Continuing Value</t>
  </si>
  <si>
    <t>Enterprise Value</t>
  </si>
  <si>
    <t>+Cash</t>
  </si>
  <si>
    <t>-Financial liabilities</t>
  </si>
  <si>
    <t>Equity Value</t>
  </si>
  <si>
    <t>Cost of equity</t>
  </si>
  <si>
    <t>Debt / (Debt + Equity)</t>
  </si>
  <si>
    <t>Equity / (Debt + Equity)</t>
  </si>
  <si>
    <t>Price per share</t>
  </si>
  <si>
    <t>Expected inflation</t>
  </si>
  <si>
    <t>Fixed asset roll forward</t>
  </si>
  <si>
    <t>Gross Cash Flow</t>
  </si>
  <si>
    <t>2017
Act</t>
  </si>
  <si>
    <t>P&amp;L Input</t>
  </si>
  <si>
    <t>31 Dec 
2017</t>
  </si>
  <si>
    <t>Balance Sheet Input</t>
  </si>
  <si>
    <t>Restructuring and other</t>
  </si>
  <si>
    <t>KPIs</t>
  </si>
  <si>
    <t>Vehicle</t>
  </si>
  <si>
    <t>2018 H1
Act</t>
  </si>
  <si>
    <t>Tesla Semi</t>
  </si>
  <si>
    <t>Tesla Model 3</t>
  </si>
  <si>
    <t>Tesla Model Y</t>
  </si>
  <si>
    <t>Tesla Pickup</t>
  </si>
  <si>
    <t>Tesla Roadster 2</t>
  </si>
  <si>
    <t>Average Price ($)</t>
  </si>
  <si>
    <t>Deliveries</t>
  </si>
  <si>
    <t>Tesla Model S and X</t>
  </si>
  <si>
    <t>Tesla Deliveries</t>
  </si>
  <si>
    <t>2019
Fcst</t>
  </si>
  <si>
    <t>2020
Fcst</t>
  </si>
  <si>
    <t>2021
Fcst</t>
  </si>
  <si>
    <t>2022
Fcst</t>
  </si>
  <si>
    <t>2023
Fcst</t>
  </si>
  <si>
    <t>y-o-y growth %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</si>
  <si>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</si>
  <si>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</si>
  <si>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</si>
  <si>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</si>
  <si>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</si>
  <si>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</si>
  <si>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</si>
  <si>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Comparable companies</t>
  </si>
  <si>
    <t>Average</t>
  </si>
  <si>
    <t>Comparables</t>
  </si>
  <si>
    <t>Historical</t>
  </si>
  <si>
    <t xml:space="preserve">  </t>
  </si>
  <si>
    <t>GP %
Comp. 1</t>
  </si>
  <si>
    <t>GP %
Comp. 2</t>
  </si>
  <si>
    <t>GP %
Comp. 3</t>
  </si>
  <si>
    <t>GP %</t>
  </si>
  <si>
    <t>GM, Ford, Fiat Chrysler</t>
  </si>
  <si>
    <t>BMW, Mercedes Cars, Volkswagen</t>
  </si>
  <si>
    <t>Jaguar, Porsche, Ferrari</t>
  </si>
  <si>
    <t>Scania, MAN, Paccar</t>
  </si>
  <si>
    <t>Automotive</t>
  </si>
  <si>
    <t>Tesla Gross Profit (in mln $)</t>
  </si>
  <si>
    <t>Revenue Automotive</t>
  </si>
  <si>
    <t>Total Energy and Other</t>
  </si>
  <si>
    <t>Y-o-Y %</t>
  </si>
  <si>
    <t>Gross Profit Energy &amp; Other</t>
  </si>
  <si>
    <t>Tesla Revenue Automotive (in mln $)</t>
  </si>
  <si>
    <t>GP%</t>
  </si>
  <si>
    <t>Tesla GP% Energy and Other (in mln $)</t>
  </si>
  <si>
    <t>Cost of sales automotive</t>
  </si>
  <si>
    <t>Opex %</t>
  </si>
  <si>
    <t>GM</t>
  </si>
  <si>
    <t>Ford</t>
  </si>
  <si>
    <t>Fiat Chrysler</t>
  </si>
  <si>
    <t>BMW</t>
  </si>
  <si>
    <t>Volkswagen</t>
  </si>
  <si>
    <t>Jaguar</t>
  </si>
  <si>
    <t>Porsche</t>
  </si>
  <si>
    <t>Ferrari</t>
  </si>
  <si>
    <t>Scania</t>
  </si>
  <si>
    <t>MAN</t>
  </si>
  <si>
    <t>Paccar</t>
  </si>
  <si>
    <t>Adj. Average</t>
  </si>
  <si>
    <t>Opex as a % of revenue</t>
  </si>
  <si>
    <t>Tesla Opex (in mln $)</t>
  </si>
  <si>
    <t>Tesla PP&amp;E (in mln $)</t>
  </si>
  <si>
    <t>31Dec2015
Act</t>
  </si>
  <si>
    <t>31Dec2016
Act</t>
  </si>
  <si>
    <t>31Dec2017
Act</t>
  </si>
  <si>
    <t>Energy &amp; Other</t>
  </si>
  <si>
    <t>Property, Plant &amp; Equipment</t>
  </si>
  <si>
    <t>Opex comparables</t>
  </si>
  <si>
    <t>PP&amp;E comparables</t>
  </si>
  <si>
    <t>Net trade cycle</t>
  </si>
  <si>
    <t>Tesla Working capital (in mln $)</t>
  </si>
  <si>
    <t>Cost of sales Energy &amp; Other</t>
  </si>
  <si>
    <t>Revenue Energy &amp; Other</t>
  </si>
  <si>
    <t>Income Statement items</t>
  </si>
  <si>
    <t>Tesla Financing (in mln $)</t>
  </si>
  <si>
    <t>Tesla WACC calculation (in mln $)</t>
  </si>
  <si>
    <t>Cost of debt</t>
  </si>
  <si>
    <t>Tesla Cash Flow (in mln $)</t>
  </si>
  <si>
    <t>Tesla P&amp;L (in mln $)</t>
  </si>
  <si>
    <t>Balance Sheet</t>
  </si>
  <si>
    <t>($ in million)</t>
  </si>
  <si>
    <t>Balance Sheet --&gt;</t>
  </si>
  <si>
    <t>Net income</t>
  </si>
  <si>
    <t>Minority interest</t>
  </si>
  <si>
    <t>Tesla BS (in mln $)</t>
  </si>
  <si>
    <t>Tax rate</t>
  </si>
  <si>
    <t>Assumed growth after introduction:</t>
  </si>
  <si>
    <t>2 years</t>
  </si>
  <si>
    <t>onwards</t>
  </si>
  <si>
    <t>2024
Fcst</t>
  </si>
  <si>
    <t>2025
Fcst</t>
  </si>
  <si>
    <t>2026
Fcst</t>
  </si>
  <si>
    <t>2027
Fcst</t>
  </si>
  <si>
    <t>2028
Fcst</t>
  </si>
  <si>
    <t>Deliveries comparables</t>
  </si>
  <si>
    <t>Continuing value</t>
  </si>
  <si>
    <t>Bridge Charts --&gt;</t>
  </si>
  <si>
    <t>Revenue 2019</t>
  </si>
  <si>
    <t>Revenue bridge</t>
  </si>
  <si>
    <t>Revenue 2020</t>
  </si>
  <si>
    <t>Cash Flow 2019</t>
  </si>
  <si>
    <t>Working Capital</t>
  </si>
  <si>
    <t>Other</t>
  </si>
  <si>
    <t>Cash flow bridge</t>
  </si>
  <si>
    <t>Cash Flow 2028</t>
  </si>
  <si>
    <t>Present value of CV</t>
  </si>
  <si>
    <t>31Dec2020
Fcst</t>
  </si>
  <si>
    <t>31Dec2021
Fcst</t>
  </si>
  <si>
    <t>31Dec2022
Fcst</t>
  </si>
  <si>
    <t>31Dec2023
Fcst</t>
  </si>
  <si>
    <t>31Dec2024
Fcst</t>
  </si>
  <si>
    <t>31Dec2025
Fcst</t>
  </si>
  <si>
    <t>31Dec2026
Fcst</t>
  </si>
  <si>
    <t>31Dec2027
Fcst</t>
  </si>
  <si>
    <t>31Dec2028
Fcst</t>
  </si>
  <si>
    <t>Revenue and Gross Profit automotive</t>
  </si>
  <si>
    <t>Revenue automotive</t>
  </si>
  <si>
    <t>Gross Profit automotive</t>
  </si>
  <si>
    <t>Working Capital comparables</t>
  </si>
  <si>
    <t>Other Charts --&gt;</t>
  </si>
  <si>
    <t>Types of vehicles</t>
  </si>
  <si>
    <t>Vehicle type</t>
  </si>
  <si>
    <t>Car</t>
  </si>
  <si>
    <t>Pickup</t>
  </si>
  <si>
    <t>Truck</t>
  </si>
  <si>
    <t>Revenue</t>
  </si>
  <si>
    <t>EBIT%</t>
  </si>
  <si>
    <t>Revenue by type of car</t>
  </si>
  <si>
    <t>Price - Volume - Mix analysis --&gt;</t>
  </si>
  <si>
    <t>Revenue 2018 autom.</t>
  </si>
  <si>
    <t>Average price 2018 ($ 000's)</t>
  </si>
  <si>
    <t>Average price 2019 ($ 000's)</t>
  </si>
  <si>
    <t>Deliveries 2018</t>
  </si>
  <si>
    <t>Deliveries 2019</t>
  </si>
  <si>
    <t>Δ Volume</t>
  </si>
  <si>
    <t>Δ Price</t>
  </si>
  <si>
    <t>Δ Mix</t>
  </si>
  <si>
    <t>Price-Volume-Mix Analysis Automotive</t>
  </si>
  <si>
    <t>Revenue 2019 autom.</t>
  </si>
  <si>
    <t>Expenses bridge</t>
  </si>
  <si>
    <t>Δ Revenues</t>
  </si>
  <si>
    <t>Δ Taxes</t>
  </si>
  <si>
    <t>Δ Cost of
 sales</t>
  </si>
  <si>
    <t>Δ Operating 
expenses</t>
  </si>
  <si>
    <t>Δ Interest 
expenses</t>
  </si>
  <si>
    <t>Δ Minority 
interest</t>
  </si>
  <si>
    <t>Net Inc. FY18</t>
  </si>
  <si>
    <t>Net Inc. FY19</t>
  </si>
  <si>
    <t>Tesla Revenue Energy &amp; Other (in mln $)</t>
  </si>
  <si>
    <t>Tesla Cost of sales Energy &amp; Other (in mln $)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</si>
  <si>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</si>
  <si>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</si>
  <si>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</si>
  <si>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</si>
  <si>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</si>
  <si>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</si>
  <si>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</si>
  <si>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</si>
  <si>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</si>
  <si>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</si>
  <si>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</si>
  <si>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Bond Yield as of Sep. 19</t>
  </si>
  <si>
    <t>Beta (as of 27 Sep 2018)</t>
  </si>
  <si>
    <t>Current bond Yield as of 19th Sep</t>
  </si>
  <si>
    <t>Tesla Cost of sales (in mln $)</t>
  </si>
  <si>
    <t>2019
Act</t>
  </si>
  <si>
    <t>2018
Act</t>
  </si>
  <si>
    <t>31Dec2018
Act</t>
  </si>
  <si>
    <t>31 Dec 
2018</t>
  </si>
  <si>
    <t>Operating lease right-of-use assets</t>
  </si>
  <si>
    <t>2029
Fcst</t>
  </si>
  <si>
    <t>31Dec2029
Fcst</t>
  </si>
  <si>
    <t>Model and Version</t>
  </si>
  <si>
    <t>Range</t>
  </si>
  <si>
    <t>Base price</t>
  </si>
  <si>
    <t>Fully loaded</t>
  </si>
  <si>
    <t>Model 3 Standard Range Plus</t>
  </si>
  <si>
    <t>250 miles</t>
  </si>
  <si>
    <t>Model 3 Long Range</t>
  </si>
  <si>
    <t>322 miles</t>
  </si>
  <si>
    <t>Model 3 Performance</t>
  </si>
  <si>
    <t>Model S Long Range</t>
  </si>
  <si>
    <t>373 miles</t>
  </si>
  <si>
    <t>Model S Performance</t>
  </si>
  <si>
    <t>348 miles</t>
  </si>
  <si>
    <t>Model X Long Range</t>
  </si>
  <si>
    <t>328 miles</t>
  </si>
  <si>
    <t>Model X Performance</t>
  </si>
  <si>
    <t>305 miles</t>
  </si>
  <si>
    <t>Model</t>
  </si>
  <si>
    <t>Max price</t>
  </si>
  <si>
    <t>Expected launch</t>
  </si>
  <si>
    <t>CyberTruck</t>
  </si>
  <si>
    <t>Late 2022</t>
  </si>
  <si>
    <t>Model Y</t>
  </si>
  <si>
    <t>Early 2021</t>
  </si>
  <si>
    <t>Roadster 2020</t>
  </si>
  <si>
    <t>Unclear</t>
  </si>
  <si>
    <t>Capex as a % of revenue</t>
  </si>
  <si>
    <t>Capex %</t>
  </si>
  <si>
    <t>31Dec2019
Act</t>
  </si>
  <si>
    <t>CAPEX as a % of PP&amp;E</t>
  </si>
  <si>
    <t>CAPEX as a % of revenues</t>
  </si>
  <si>
    <t>Mercedes</t>
  </si>
  <si>
    <t>Net Inc. FY20</t>
  </si>
  <si>
    <t>Deliveries 2020</t>
  </si>
  <si>
    <t>Average price 2020 ($ 000's)</t>
  </si>
  <si>
    <t>Revenue 2020 autom.</t>
  </si>
  <si>
    <t>Net Income Bridge FY18-FY20</t>
  </si>
  <si>
    <t>Cash Flow 2029</t>
  </si>
  <si>
    <t>Cash Flow 2020</t>
  </si>
  <si>
    <t>Revenue 2021</t>
  </si>
  <si>
    <t>Historic</t>
  </si>
  <si>
    <t>Semi</t>
  </si>
  <si>
    <t>Comparables - 2019</t>
  </si>
  <si>
    <t>D&amp;A as a % of</t>
  </si>
  <si>
    <t>10-year treasury yield (Sep 18 2020)</t>
  </si>
  <si>
    <t>Company beta (Sep 18 2020)</t>
  </si>
  <si>
    <t>Tesla share price (Sep 18 2020)</t>
  </si>
  <si>
    <t>Bond Yield (Sep 18 2020)</t>
  </si>
  <si>
    <t>Vehicle Sales 2015-2019 - average</t>
  </si>
  <si>
    <t>Average Price per Model</t>
  </si>
  <si>
    <t>Number of shares outstanding (as of 31 Aug 2020)</t>
  </si>
  <si>
    <t>Tesla D&amp;A as a % of</t>
  </si>
  <si>
    <t>Tesla Expected Deliveries</t>
  </si>
  <si>
    <t>Historic Average GP%</t>
  </si>
  <si>
    <t>31 Dec 
2019</t>
  </si>
  <si>
    <t>Comparables 2019</t>
  </si>
  <si>
    <t>Comparables 2015-2019</t>
  </si>
  <si>
    <t>Average prices</t>
  </si>
  <si>
    <t>Average Model S and X</t>
  </si>
  <si>
    <t>Average Model 3</t>
  </si>
  <si>
    <t>Sum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</si>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</sst>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-* #,##0.00_-;\-* #,##0.00_-;_-* &quot;-&quot;??_-;_-@_-"/>
    <numFmt numFmtId="165" formatCode="_(* #,##0.00_);_(* \(#,##0.00\);_(* &quot;-&quot;??_);_(@_)"/>
    <numFmt numFmtId="166" formatCode="_(* #,##0.0_);_(* \(#,##0.0\);_(* &quot;-&quot;??_);_(@_)"/>
    <numFmt numFmtId="167" formatCode="_(* #,##0_);_(* \(#,##0\);_(* &quot;-&quot;??_);_(@_)"/>
    <numFmt numFmtId="168" formatCode="0.0%"/>
    <numFmt numFmtId="169" formatCode="_(* #,##0.0_);_(* \(#,##0.0\);_(* &quot;-&quot;?_);_(@_)"/>
    <numFmt numFmtId="170" formatCode="0.0"/>
    <numFmt numFmtId="171" formatCode="_(* #,##0.000_);_(* \(#,##0.000\);_(* &quot;-&quot;??_);_(@_)"/>
    <numFmt numFmtId="172" formatCode="_(* #,##0.0_);_(* \(#,##0.0\);_(* &quot;-&quot;?_);@_l"/>
    <numFmt numFmtId="173" formatCode="_(* #,##0.0_);_(* \(#,##0.0\);_(* &quot;-&quot;?_);@_)"/>
    <numFmt numFmtId="174" formatCode="_(* #,##0_);_(* \(#,##0\);_(* &quot;-&quot;?_);@_)"/>
    <numFmt numFmtId="175" formatCode="#,##0_);\(#,##0\)"/>
    <numFmt numFmtId="176" formatCode="[$$-45C]#,##0"/>
  </numFmts>
  <fonts count="44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9"/>
      <color theme="0"/>
      <name val="Arial"/>
      <family val="2"/>
      <charset val="204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i/>
      <sz val="8"/>
      <name val="Arial"/>
      <family val="2"/>
      <charset val="204"/>
    </font>
    <font>
      <sz val="10"/>
      <color rgb="FF002060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b/>
      <sz val="10"/>
      <color theme="0"/>
      <name val="Arial"/>
      <family val="2"/>
      <charset val="204"/>
    </font>
    <font>
      <b/>
      <i/>
      <sz val="9"/>
      <name val="Arial"/>
      <family val="2"/>
      <charset val="204"/>
    </font>
    <font>
      <i/>
      <sz val="8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i/>
      <sz val="9"/>
      <color rgb="FF002060"/>
      <name val="Arial"/>
      <family val="2"/>
      <charset val="204"/>
    </font>
    <font>
      <b/>
      <u/>
      <sz val="13"/>
      <name val="Arial"/>
      <family val="2"/>
      <charset val="204"/>
    </font>
    <font>
      <b/>
      <sz val="9"/>
      <color rgb="FF212529"/>
      <name val="Arial"/>
      <family val="2"/>
    </font>
    <font>
      <b/>
      <u/>
      <sz val="9"/>
      <name val="Arial"/>
      <family val="2"/>
    </font>
    <font>
      <sz val="9"/>
      <color rgb="FF1D2540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b/>
      <sz val="9"/>
      <color rgb="FF1D254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theme="0"/>
      </patternFill>
    </fill>
    <fill>
      <patternFill patternType="lightGray">
        <bgColor theme="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thin">
        <color rgb="FF00206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5">
    <xf numFmtId="0" fontId="0" fillId="0" borderId="0">
      <alignment vertical="top"/>
    </xf>
    <xf numFmtId="165" fontId="1" fillId="0" borderId="0">
      <alignment vertical="top"/>
    </xf>
    <xf numFmtId="9" fontId="1" fillId="0" borderId="0">
      <alignment vertical="top"/>
    </xf>
    <xf numFmtId="0" fontId="20" fillId="0" borderId="0" applyNumberFormat="0" applyFill="0" applyBorder="0" applyAlignment="0" applyProtection="0"/>
    <xf numFmtId="0" fontId="35" fillId="0" borderId="0" applyNumberFormat="0" applyFill="0" applyBorder="0" applyAlignment="0" applyProtection="0">
      <alignment vertical="top"/>
    </xf>
  </cellStyleXfs>
  <cellXfs count="228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7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7" fillId="2" borderId="0" xfId="0" applyFont="1" applyFill="1">
      <alignment vertical="top"/>
    </xf>
    <xf numFmtId="0" fontId="3" fillId="2" borderId="0" xfId="0" applyFont="1" applyFill="1">
      <alignment vertical="top"/>
    </xf>
    <xf numFmtId="0" fontId="8" fillId="5" borderId="0" xfId="0" applyFont="1" applyFill="1">
      <alignment vertical="top"/>
    </xf>
    <xf numFmtId="167" fontId="4" fillId="2" borderId="0" xfId="1" applyNumberFormat="1" applyFont="1" applyFill="1">
      <alignment vertical="top"/>
    </xf>
    <xf numFmtId="9" fontId="4" fillId="4" borderId="0" xfId="2" applyFont="1" applyFill="1">
      <alignment vertical="top"/>
    </xf>
    <xf numFmtId="166" fontId="4" fillId="2" borderId="0" xfId="1" applyNumberFormat="1" applyFont="1" applyFill="1">
      <alignment vertical="top"/>
    </xf>
    <xf numFmtId="168" fontId="4" fillId="2" borderId="0" xfId="2" applyNumberFormat="1" applyFont="1" applyFill="1">
      <alignment vertical="top"/>
    </xf>
    <xf numFmtId="0" fontId="5" fillId="2" borderId="0" xfId="0" applyFont="1" applyFill="1" applyAlignment="1"/>
    <xf numFmtId="0" fontId="0" fillId="2" borderId="0" xfId="0" applyFill="1" applyAlignment="1"/>
    <xf numFmtId="0" fontId="10" fillId="2" borderId="0" xfId="0" applyFont="1" applyFill="1" applyAlignment="1"/>
    <xf numFmtId="0" fontId="11" fillId="2" borderId="0" xfId="0" applyFont="1" applyFill="1" applyAlignment="1"/>
    <xf numFmtId="0" fontId="12" fillId="2" borderId="0" xfId="0" applyFont="1" applyFill="1" applyAlignment="1"/>
    <xf numFmtId="0" fontId="4" fillId="2" borderId="0" xfId="0" applyFont="1" applyFill="1" applyAlignment="1"/>
    <xf numFmtId="166" fontId="10" fillId="2" borderId="0" xfId="0" applyNumberFormat="1" applyFont="1" applyFill="1" applyAlignment="1"/>
    <xf numFmtId="166" fontId="10" fillId="2" borderId="0" xfId="1" applyNumberFormat="1" applyFont="1" applyFill="1" applyAlignment="1"/>
    <xf numFmtId="0" fontId="9" fillId="2" borderId="0" xfId="0" applyFont="1" applyFill="1" applyAlignment="1"/>
    <xf numFmtId="10" fontId="10" fillId="2" borderId="0" xfId="0" applyNumberFormat="1" applyFont="1" applyFill="1" applyAlignment="1"/>
    <xf numFmtId="0" fontId="13" fillId="2" borderId="0" xfId="0" applyFont="1" applyFill="1" applyAlignment="1"/>
    <xf numFmtId="168" fontId="13" fillId="2" borderId="0" xfId="0" applyNumberFormat="1" applyFont="1" applyFill="1" applyAlignment="1"/>
    <xf numFmtId="0" fontId="13" fillId="2" borderId="1" xfId="0" applyFont="1" applyFill="1" applyBorder="1" applyAlignment="1"/>
    <xf numFmtId="171" fontId="0" fillId="2" borderId="0" xfId="0" applyNumberFormat="1" applyFill="1" applyAlignment="1"/>
    <xf numFmtId="9" fontId="4" fillId="2" borderId="0" xfId="0" applyNumberFormat="1" applyFont="1" applyFill="1">
      <alignment vertical="top"/>
    </xf>
    <xf numFmtId="0" fontId="14" fillId="2" borderId="0" xfId="0" applyFont="1" applyFill="1">
      <alignment vertical="top"/>
    </xf>
    <xf numFmtId="0" fontId="3" fillId="2" borderId="3" xfId="0" applyFont="1" applyFill="1" applyBorder="1" applyAlignment="1">
      <alignment horizontal="left" wrapText="1"/>
    </xf>
    <xf numFmtId="172" fontId="15" fillId="6" borderId="0" xfId="0" applyNumberFormat="1" applyFont="1" applyFill="1" applyAlignment="1"/>
    <xf numFmtId="173" fontId="3" fillId="2" borderId="5" xfId="0" applyNumberFormat="1" applyFont="1" applyFill="1" applyBorder="1" applyAlignment="1"/>
    <xf numFmtId="173" fontId="3" fillId="2" borderId="1" xfId="0" applyNumberFormat="1" applyFont="1" applyFill="1" applyBorder="1" applyAlignment="1"/>
    <xf numFmtId="172" fontId="10" fillId="2" borderId="0" xfId="0" applyNumberFormat="1" applyFont="1" applyFill="1" applyAlignment="1"/>
    <xf numFmtId="172" fontId="9" fillId="2" borderId="0" xfId="0" applyNumberFormat="1" applyFont="1" applyFill="1" applyAlignment="1"/>
    <xf numFmtId="173" fontId="8" fillId="5" borderId="2" xfId="0" applyNumberFormat="1" applyFont="1" applyFill="1" applyBorder="1" applyAlignment="1"/>
    <xf numFmtId="172" fontId="4" fillId="2" borderId="0" xfId="0" applyNumberFormat="1" applyFont="1" applyFill="1" applyAlignment="1"/>
    <xf numFmtId="168" fontId="10" fillId="2" borderId="0" xfId="0" applyNumberFormat="1" applyFont="1" applyFill="1" applyAlignment="1">
      <alignment horizontal="right"/>
    </xf>
    <xf numFmtId="168" fontId="10" fillId="2" borderId="0" xfId="0" applyNumberFormat="1" applyFont="1" applyFill="1" applyAlignment="1"/>
    <xf numFmtId="9" fontId="10" fillId="2" borderId="0" xfId="0" applyNumberFormat="1" applyFont="1" applyFill="1" applyAlignment="1"/>
    <xf numFmtId="166" fontId="13" fillId="2" borderId="0" xfId="1" applyNumberFormat="1" applyFont="1" applyFill="1" applyAlignment="1"/>
    <xf numFmtId="173" fontId="17" fillId="2" borderId="0" xfId="0" applyNumberFormat="1" applyFont="1" applyFill="1" applyAlignment="1"/>
    <xf numFmtId="173" fontId="6" fillId="2" borderId="0" xfId="0" applyNumberFormat="1" applyFont="1" applyFill="1" applyAlignment="1"/>
    <xf numFmtId="173" fontId="18" fillId="2" borderId="0" xfId="0" applyNumberFormat="1" applyFont="1" applyFill="1" applyAlignment="1"/>
    <xf numFmtId="9" fontId="19" fillId="7" borderId="6" xfId="0" applyNumberFormat="1" applyFont="1" applyFill="1" applyBorder="1" applyAlignment="1">
      <alignment horizontal="center"/>
    </xf>
    <xf numFmtId="174" fontId="6" fillId="8" borderId="0" xfId="0" applyNumberFormat="1" applyFont="1" applyFill="1" applyAlignment="1"/>
    <xf numFmtId="173" fontId="18" fillId="2" borderId="5" xfId="0" applyNumberFormat="1" applyFont="1" applyFill="1" applyBorder="1" applyAlignment="1"/>
    <xf numFmtId="174" fontId="6" fillId="2" borderId="0" xfId="0" applyNumberFormat="1" applyFont="1" applyFill="1" applyAlignment="1"/>
    <xf numFmtId="174" fontId="18" fillId="2" borderId="5" xfId="0" applyNumberFormat="1" applyFont="1" applyFill="1" applyBorder="1" applyAlignment="1"/>
    <xf numFmtId="173" fontId="6" fillId="2" borderId="0" xfId="0" quotePrefix="1" applyNumberFormat="1" applyFont="1" applyFill="1" applyAlignment="1"/>
    <xf numFmtId="173" fontId="18" fillId="2" borderId="1" xfId="0" applyNumberFormat="1" applyFont="1" applyFill="1" applyBorder="1" applyAlignment="1"/>
    <xf numFmtId="174" fontId="6" fillId="8" borderId="1" xfId="0" applyNumberFormat="1" applyFont="1" applyFill="1" applyBorder="1" applyAlignment="1"/>
    <xf numFmtId="165" fontId="10" fillId="2" borderId="0" xfId="0" applyNumberFormat="1" applyFont="1" applyFill="1" applyAlignment="1"/>
    <xf numFmtId="168" fontId="6" fillId="2" borderId="0" xfId="2" applyNumberFormat="1" applyFont="1" applyFill="1" applyAlignment="1"/>
    <xf numFmtId="173" fontId="8" fillId="5" borderId="0" xfId="0" applyNumberFormat="1" applyFont="1" applyFill="1" applyAlignment="1"/>
    <xf numFmtId="0" fontId="3" fillId="2" borderId="3" xfId="0" applyFont="1" applyFill="1" applyBorder="1" applyAlignment="1">
      <alignment horizontal="right" wrapText="1"/>
    </xf>
    <xf numFmtId="167" fontId="4" fillId="2" borderId="0" xfId="0" applyNumberFormat="1" applyFont="1" applyFill="1">
      <alignment vertical="top"/>
    </xf>
    <xf numFmtId="0" fontId="3" fillId="10" borderId="3" xfId="0" applyFont="1" applyFill="1" applyBorder="1" applyAlignment="1">
      <alignment horizontal="right" wrapText="1"/>
    </xf>
    <xf numFmtId="0" fontId="23" fillId="3" borderId="0" xfId="0" applyFont="1" applyFill="1" applyAlignment="1"/>
    <xf numFmtId="2" fontId="23" fillId="3" borderId="0" xfId="0" applyNumberFormat="1" applyFont="1" applyFill="1" applyAlignment="1"/>
    <xf numFmtId="0" fontId="24" fillId="3" borderId="0" xfId="0" applyFont="1" applyFill="1" applyAlignment="1"/>
    <xf numFmtId="0" fontId="15" fillId="3" borderId="0" xfId="0" applyFont="1" applyFill="1" applyAlignment="1"/>
    <xf numFmtId="0" fontId="25" fillId="3" borderId="0" xfId="0" applyFont="1" applyFill="1" applyAlignment="1"/>
    <xf numFmtId="174" fontId="4" fillId="2" borderId="0" xfId="0" applyNumberFormat="1" applyFont="1" applyFill="1" applyAlignment="1">
      <alignment horizontal="right" vertical="top"/>
    </xf>
    <xf numFmtId="174" fontId="4" fillId="10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 applyAlignment="1">
      <alignment horizontal="right" vertical="top"/>
    </xf>
    <xf numFmtId="174" fontId="3" fillId="10" borderId="1" xfId="0" applyNumberFormat="1" applyFont="1" applyFill="1" applyBorder="1" applyAlignment="1">
      <alignment horizontal="right" vertical="top"/>
    </xf>
    <xf numFmtId="174" fontId="3" fillId="2" borderId="2" xfId="0" applyNumberFormat="1" applyFont="1" applyFill="1" applyBorder="1" applyAlignment="1">
      <alignment horizontal="right" vertical="top"/>
    </xf>
    <xf numFmtId="9" fontId="14" fillId="3" borderId="0" xfId="2" applyFont="1" applyFill="1">
      <alignment vertical="top"/>
    </xf>
    <xf numFmtId="174" fontId="4" fillId="2" borderId="0" xfId="1" applyNumberFormat="1" applyFont="1" applyFill="1" applyAlignment="1">
      <alignment horizontal="right" vertical="top"/>
    </xf>
    <xf numFmtId="174" fontId="3" fillId="2" borderId="1" xfId="1" applyNumberFormat="1" applyFont="1" applyFill="1" applyBorder="1" applyAlignment="1">
      <alignment horizontal="right" vertical="top"/>
    </xf>
    <xf numFmtId="174" fontId="3" fillId="2" borderId="2" xfId="1" applyNumberFormat="1" applyFont="1" applyFill="1" applyBorder="1" applyAlignment="1">
      <alignment horizontal="right" vertical="top"/>
    </xf>
    <xf numFmtId="174" fontId="3" fillId="2" borderId="0" xfId="1" applyNumberFormat="1" applyFont="1" applyFill="1" applyAlignment="1">
      <alignment horizontal="right" vertical="top"/>
    </xf>
    <xf numFmtId="174" fontId="4" fillId="2" borderId="0" xfId="1" applyNumberFormat="1" applyFont="1" applyFill="1">
      <alignment vertical="top"/>
    </xf>
    <xf numFmtId="174" fontId="4" fillId="2" borderId="0" xfId="0" applyNumberFormat="1" applyFont="1" applyFill="1">
      <alignment vertical="top"/>
    </xf>
    <xf numFmtId="174" fontId="4" fillId="10" borderId="0" xfId="0" applyNumberFormat="1" applyFont="1" applyFill="1">
      <alignment vertical="top"/>
    </xf>
    <xf numFmtId="0" fontId="26" fillId="3" borderId="0" xfId="0" applyFont="1" applyFill="1">
      <alignment vertical="top"/>
    </xf>
    <xf numFmtId="0" fontId="14" fillId="3" borderId="0" xfId="0" applyFont="1" applyFill="1">
      <alignment vertical="top"/>
    </xf>
    <xf numFmtId="9" fontId="14" fillId="3" borderId="0" xfId="0" applyNumberFormat="1" applyFont="1" applyFill="1">
      <alignment vertical="top"/>
    </xf>
    <xf numFmtId="9" fontId="14" fillId="3" borderId="0" xfId="2" applyFont="1" applyFill="1" applyAlignment="1">
      <alignment horizontal="right" vertical="top"/>
    </xf>
    <xf numFmtId="0" fontId="14" fillId="3" borderId="0" xfId="0" applyFont="1" applyFill="1" applyAlignment="1">
      <alignment horizontal="right" vertical="top"/>
    </xf>
    <xf numFmtId="174" fontId="3" fillId="2" borderId="2" xfId="1" applyNumberFormat="1" applyFont="1" applyFill="1" applyBorder="1">
      <alignment vertical="top"/>
    </xf>
    <xf numFmtId="9" fontId="14" fillId="3" borderId="0" xfId="0" applyNumberFormat="1" applyFont="1" applyFill="1" applyAlignment="1">
      <alignment horizontal="right" vertical="top"/>
    </xf>
    <xf numFmtId="0" fontId="3" fillId="10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27" fillId="2" borderId="0" xfId="0" applyFont="1" applyFill="1">
      <alignment vertical="top"/>
    </xf>
    <xf numFmtId="0" fontId="28" fillId="2" borderId="0" xfId="0" applyFont="1" applyFill="1">
      <alignment vertical="top"/>
    </xf>
    <xf numFmtId="168" fontId="4" fillId="2" borderId="0" xfId="0" applyNumberFormat="1" applyFont="1" applyFill="1">
      <alignment vertical="top"/>
    </xf>
    <xf numFmtId="168" fontId="4" fillId="2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>
      <alignment vertical="top"/>
    </xf>
    <xf numFmtId="174" fontId="3" fillId="10" borderId="1" xfId="0" applyNumberFormat="1" applyFont="1" applyFill="1" applyBorder="1">
      <alignment vertical="top"/>
    </xf>
    <xf numFmtId="0" fontId="31" fillId="3" borderId="0" xfId="0" applyFont="1" applyFill="1">
      <alignment vertical="top"/>
    </xf>
    <xf numFmtId="9" fontId="4" fillId="3" borderId="0" xfId="2" applyFont="1" applyFill="1">
      <alignment vertical="top"/>
    </xf>
    <xf numFmtId="9" fontId="4" fillId="0" borderId="0" xfId="2" applyFont="1">
      <alignment vertical="top"/>
    </xf>
    <xf numFmtId="168" fontId="4" fillId="10" borderId="0" xfId="2" applyNumberFormat="1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9" fontId="4" fillId="3" borderId="0" xfId="0" applyNumberFormat="1" applyFont="1" applyFill="1" applyAlignment="1">
      <alignment horizontal="right" vertical="top"/>
    </xf>
    <xf numFmtId="9" fontId="3" fillId="2" borderId="1" xfId="0" applyNumberFormat="1" applyFont="1" applyFill="1" applyBorder="1">
      <alignment vertical="top"/>
    </xf>
    <xf numFmtId="0" fontId="3" fillId="2" borderId="4" xfId="0" applyFont="1" applyFill="1" applyBorder="1" applyAlignment="1"/>
    <xf numFmtId="168" fontId="14" fillId="3" borderId="0" xfId="2" applyNumberFormat="1" applyFont="1" applyFill="1">
      <alignment vertical="top"/>
    </xf>
    <xf numFmtId="0" fontId="32" fillId="5" borderId="0" xfId="0" applyFont="1" applyFill="1" applyAlignment="1"/>
    <xf numFmtId="0" fontId="33" fillId="2" borderId="0" xfId="0" applyFont="1" applyFill="1" applyAlignment="1"/>
    <xf numFmtId="0" fontId="32" fillId="2" borderId="0" xfId="0" applyFont="1" applyFill="1" applyAlignment="1"/>
    <xf numFmtId="167" fontId="10" fillId="2" borderId="0" xfId="1" applyNumberFormat="1" applyFont="1" applyFill="1" applyAlignment="1"/>
    <xf numFmtId="167" fontId="4" fillId="10" borderId="0" xfId="0" applyNumberFormat="1" applyFont="1" applyFill="1" applyAlignment="1">
      <alignment horizontal="right" vertical="top"/>
    </xf>
    <xf numFmtId="167" fontId="3" fillId="2" borderId="4" xfId="0" applyNumberFormat="1" applyFont="1" applyFill="1" applyBorder="1" applyAlignment="1"/>
    <xf numFmtId="9" fontId="3" fillId="2" borderId="1" xfId="0" applyNumberFormat="1" applyFont="1" applyFill="1" applyBorder="1" applyAlignment="1">
      <alignment horizontal="right" vertical="top"/>
    </xf>
    <xf numFmtId="0" fontId="4" fillId="3" borderId="0" xfId="0" applyFont="1" applyFill="1">
      <alignment vertical="top"/>
    </xf>
    <xf numFmtId="166" fontId="14" fillId="3" borderId="0" xfId="1" applyNumberFormat="1" applyFont="1" applyFill="1">
      <alignment vertical="top"/>
    </xf>
    <xf numFmtId="175" fontId="4" fillId="2" borderId="0" xfId="0" applyNumberFormat="1" applyFont="1" applyFill="1">
      <alignment vertical="top"/>
    </xf>
    <xf numFmtId="175" fontId="4" fillId="10" borderId="0" xfId="1" applyNumberFormat="1" applyFont="1" applyFill="1">
      <alignment vertical="top"/>
    </xf>
    <xf numFmtId="166" fontId="4" fillId="0" borderId="0" xfId="1" applyNumberFormat="1" applyFont="1">
      <alignment vertical="top"/>
    </xf>
    <xf numFmtId="165" fontId="4" fillId="10" borderId="0" xfId="1" applyFont="1" applyFill="1">
      <alignment vertical="top"/>
    </xf>
    <xf numFmtId="165" fontId="3" fillId="10" borderId="1" xfId="1" applyFont="1" applyFill="1" applyBorder="1">
      <alignment vertical="top"/>
    </xf>
    <xf numFmtId="166" fontId="4" fillId="3" borderId="0" xfId="1" applyNumberFormat="1" applyFont="1" applyFill="1">
      <alignment vertical="top"/>
    </xf>
    <xf numFmtId="166" fontId="4" fillId="2" borderId="0" xfId="0" applyNumberFormat="1" applyFont="1" applyFill="1" applyAlignment="1">
      <alignment horizontal="right" vertical="top"/>
    </xf>
    <xf numFmtId="165" fontId="4" fillId="10" borderId="0" xfId="0" applyNumberFormat="1" applyFont="1" applyFill="1">
      <alignment vertical="top"/>
    </xf>
    <xf numFmtId="0" fontId="4" fillId="3" borderId="0" xfId="0" applyFont="1" applyFill="1" applyAlignment="1"/>
    <xf numFmtId="166" fontId="3" fillId="2" borderId="1" xfId="1" applyNumberFormat="1" applyFont="1" applyFill="1" applyBorder="1">
      <alignment vertical="top"/>
    </xf>
    <xf numFmtId="9" fontId="8" fillId="5" borderId="0" xfId="0" applyNumberFormat="1" applyFont="1" applyFill="1" applyAlignment="1"/>
    <xf numFmtId="168" fontId="10" fillId="10" borderId="0" xfId="0" applyNumberFormat="1" applyFont="1" applyFill="1" applyAlignment="1">
      <alignment horizontal="right"/>
    </xf>
    <xf numFmtId="168" fontId="10" fillId="10" borderId="0" xfId="0" applyNumberFormat="1" applyFont="1" applyFill="1" applyAlignment="1"/>
    <xf numFmtId="0" fontId="10" fillId="10" borderId="0" xfId="0" applyFont="1" applyFill="1" applyAlignment="1"/>
    <xf numFmtId="165" fontId="10" fillId="10" borderId="0" xfId="0" applyNumberFormat="1" applyFont="1" applyFill="1" applyAlignment="1"/>
    <xf numFmtId="174" fontId="6" fillId="10" borderId="0" xfId="0" applyNumberFormat="1" applyFont="1" applyFill="1" applyAlignment="1"/>
    <xf numFmtId="173" fontId="6" fillId="10" borderId="0" xfId="0" applyNumberFormat="1" applyFont="1" applyFill="1" applyAlignment="1"/>
    <xf numFmtId="168" fontId="6" fillId="10" borderId="0" xfId="1" applyNumberFormat="1" applyFont="1" applyFill="1" applyAlignment="1"/>
    <xf numFmtId="174" fontId="22" fillId="10" borderId="1" xfId="0" applyNumberFormat="1" applyFont="1" applyFill="1" applyBorder="1" applyAlignment="1"/>
    <xf numFmtId="166" fontId="10" fillId="2" borderId="0" xfId="1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173" fontId="3" fillId="2" borderId="5" xfId="0" applyNumberFormat="1" applyFont="1" applyFill="1" applyBorder="1" applyAlignment="1">
      <alignment horizontal="right"/>
    </xf>
    <xf numFmtId="173" fontId="3" fillId="2" borderId="1" xfId="0" applyNumberFormat="1" applyFont="1" applyFill="1" applyBorder="1" applyAlignment="1">
      <alignment horizontal="right"/>
    </xf>
    <xf numFmtId="166" fontId="16" fillId="5" borderId="2" xfId="0" applyNumberFormat="1" applyFont="1" applyFill="1" applyBorder="1" applyAlignment="1">
      <alignment horizontal="right"/>
    </xf>
    <xf numFmtId="166" fontId="8" fillId="5" borderId="2" xfId="0" applyNumberFormat="1" applyFont="1" applyFill="1" applyBorder="1" applyAlignment="1">
      <alignment horizontal="right"/>
    </xf>
    <xf numFmtId="166" fontId="4" fillId="2" borderId="0" xfId="0" applyNumberFormat="1" applyFont="1" applyFill="1" applyAlignment="1">
      <alignment horizontal="right"/>
    </xf>
    <xf numFmtId="167" fontId="4" fillId="10" borderId="0" xfId="1" applyNumberFormat="1" applyFont="1" applyFill="1">
      <alignment vertical="top"/>
    </xf>
    <xf numFmtId="167" fontId="13" fillId="2" borderId="1" xfId="1" applyNumberFormat="1" applyFont="1" applyFill="1" applyBorder="1" applyAlignment="1"/>
    <xf numFmtId="167" fontId="3" fillId="10" borderId="1" xfId="1" applyNumberFormat="1" applyFont="1" applyFill="1" applyBorder="1">
      <alignment vertical="top"/>
    </xf>
    <xf numFmtId="167" fontId="13" fillId="2" borderId="1" xfId="0" applyNumberFormat="1" applyFont="1" applyFill="1" applyBorder="1" applyAlignment="1"/>
    <xf numFmtId="167" fontId="10" fillId="10" borderId="0" xfId="1" applyNumberFormat="1" applyFont="1" applyFill="1" applyAlignment="1"/>
    <xf numFmtId="174" fontId="4" fillId="2" borderId="0" xfId="0" applyNumberFormat="1" applyFont="1" applyFill="1" applyAlignment="1">
      <alignment horizontal="right" vertical="center"/>
    </xf>
    <xf numFmtId="0" fontId="14" fillId="6" borderId="0" xfId="0" applyFont="1" applyFill="1" applyAlignment="1"/>
    <xf numFmtId="0" fontId="31" fillId="6" borderId="0" xfId="0" applyFont="1" applyFill="1" applyAlignment="1"/>
    <xf numFmtId="167" fontId="4" fillId="10" borderId="0" xfId="1" applyNumberFormat="1" applyFont="1" applyFill="1" applyAlignment="1">
      <alignment horizontal="right" vertical="top"/>
    </xf>
    <xf numFmtId="167" fontId="4" fillId="2" borderId="0" xfId="0" applyNumberFormat="1" applyFont="1" applyFill="1" applyAlignment="1">
      <alignment horizontal="right" vertical="top"/>
    </xf>
    <xf numFmtId="175" fontId="4" fillId="2" borderId="0" xfId="1" applyNumberFormat="1" applyFont="1" applyFill="1">
      <alignment vertical="top"/>
    </xf>
    <xf numFmtId="167" fontId="3" fillId="2" borderId="1" xfId="1" applyNumberFormat="1" applyFont="1" applyFill="1" applyBorder="1">
      <alignment vertical="top"/>
    </xf>
    <xf numFmtId="170" fontId="4" fillId="2" borderId="0" xfId="0" applyNumberFormat="1" applyFont="1" applyFill="1">
      <alignment vertical="top"/>
    </xf>
    <xf numFmtId="169" fontId="4" fillId="2" borderId="0" xfId="0" applyNumberFormat="1" applyFont="1" applyFill="1">
      <alignment vertical="top"/>
    </xf>
    <xf numFmtId="1" fontId="14" fillId="6" borderId="0" xfId="0" applyNumberFormat="1" applyFont="1" applyFill="1" applyAlignment="1"/>
    <xf numFmtId="167" fontId="14" fillId="6" borderId="0" xfId="0" applyNumberFormat="1" applyFont="1" applyFill="1" applyAlignment="1"/>
    <xf numFmtId="174" fontId="14" fillId="2" borderId="0" xfId="0" applyNumberFormat="1" applyFont="1" applyFill="1">
      <alignment vertical="top"/>
    </xf>
    <xf numFmtId="167" fontId="10" fillId="2" borderId="0" xfId="1" applyNumberFormat="1" applyFont="1" applyFill="1" applyAlignment="1">
      <alignment horizontal="right"/>
    </xf>
    <xf numFmtId="167" fontId="3" fillId="2" borderId="5" xfId="0" applyNumberFormat="1" applyFont="1" applyFill="1" applyBorder="1" applyAlignment="1">
      <alignment horizontal="right"/>
    </xf>
    <xf numFmtId="167" fontId="3" fillId="2" borderId="5" xfId="0" applyNumberFormat="1" applyFont="1" applyFill="1" applyBorder="1" applyAlignment="1"/>
    <xf numFmtId="167" fontId="3" fillId="10" borderId="5" xfId="0" applyNumberFormat="1" applyFont="1" applyFill="1" applyBorder="1" applyAlignment="1"/>
    <xf numFmtId="167" fontId="3" fillId="2" borderId="1" xfId="0" applyNumberFormat="1" applyFont="1" applyFill="1" applyBorder="1" applyAlignment="1">
      <alignment horizontal="right"/>
    </xf>
    <xf numFmtId="167" fontId="3" fillId="2" borderId="1" xfId="0" applyNumberFormat="1" applyFont="1" applyFill="1" applyBorder="1" applyAlignment="1"/>
    <xf numFmtId="167" fontId="3" fillId="10" borderId="1" xfId="0" applyNumberFormat="1" applyFont="1" applyFill="1" applyBorder="1" applyAlignment="1"/>
    <xf numFmtId="167" fontId="4" fillId="2" borderId="0" xfId="0" applyNumberFormat="1" applyFont="1" applyFill="1" applyAlignment="1">
      <alignment horizontal="right"/>
    </xf>
    <xf numFmtId="167" fontId="4" fillId="2" borderId="0" xfId="0" applyNumberFormat="1" applyFont="1" applyFill="1" applyAlignment="1"/>
    <xf numFmtId="167" fontId="4" fillId="10" borderId="0" xfId="0" applyNumberFormat="1" applyFont="1" applyFill="1" applyAlignment="1"/>
    <xf numFmtId="167" fontId="8" fillId="5" borderId="2" xfId="0" applyNumberFormat="1" applyFont="1" applyFill="1" applyBorder="1" applyAlignment="1">
      <alignment horizontal="right"/>
    </xf>
    <xf numFmtId="167" fontId="16" fillId="5" borderId="2" xfId="0" applyNumberFormat="1" applyFont="1" applyFill="1" applyBorder="1" applyAlignment="1">
      <alignment horizontal="right"/>
    </xf>
    <xf numFmtId="167" fontId="8" fillId="5" borderId="2" xfId="0" applyNumberFormat="1" applyFont="1" applyFill="1" applyBorder="1" applyAlignment="1"/>
    <xf numFmtId="0" fontId="34" fillId="2" borderId="0" xfId="0" applyFont="1" applyFill="1">
      <alignment vertical="top"/>
    </xf>
    <xf numFmtId="168" fontId="34" fillId="2" borderId="0" xfId="2" applyNumberFormat="1" applyFont="1" applyFill="1">
      <alignment vertical="top"/>
    </xf>
    <xf numFmtId="168" fontId="34" fillId="10" borderId="0" xfId="1" applyNumberFormat="1" applyFont="1" applyFill="1">
      <alignment vertical="top"/>
    </xf>
    <xf numFmtId="166" fontId="13" fillId="10" borderId="0" xfId="1" applyNumberFormat="1" applyFont="1" applyFill="1" applyAlignment="1">
      <alignment horizontal="right"/>
    </xf>
    <xf numFmtId="166" fontId="10" fillId="10" borderId="0" xfId="0" applyNumberFormat="1" applyFont="1" applyFill="1" applyAlignment="1">
      <alignment horizontal="right"/>
    </xf>
    <xf numFmtId="166" fontId="10" fillId="10" borderId="0" xfId="1" applyNumberFormat="1" applyFont="1" applyFill="1" applyAlignment="1">
      <alignment horizontal="right"/>
    </xf>
    <xf numFmtId="167" fontId="3" fillId="2" borderId="0" xfId="0" applyNumberFormat="1" applyFont="1" applyFill="1">
      <alignment vertical="top"/>
    </xf>
    <xf numFmtId="167" fontId="3" fillId="10" borderId="0" xfId="1" applyNumberFormat="1" applyFont="1" applyFill="1">
      <alignment vertical="top"/>
    </xf>
    <xf numFmtId="1" fontId="4" fillId="2" borderId="0" xfId="0" applyNumberFormat="1" applyFont="1" applyFill="1" applyAlignment="1">
      <alignment horizontal="right"/>
    </xf>
    <xf numFmtId="9" fontId="10" fillId="10" borderId="0" xfId="0" applyNumberFormat="1" applyFont="1" applyFill="1" applyAlignment="1"/>
    <xf numFmtId="168" fontId="3" fillId="2" borderId="4" xfId="0" applyNumberFormat="1" applyFont="1" applyFill="1" applyBorder="1" applyAlignment="1"/>
    <xf numFmtId="2" fontId="4" fillId="3" borderId="0" xfId="0" applyNumberFormat="1" applyFont="1" applyFill="1" applyAlignment="1">
      <alignment horizontal="right" vertical="top"/>
    </xf>
    <xf numFmtId="2" fontId="4" fillId="2" borderId="0" xfId="0" applyNumberFormat="1" applyFont="1" applyFill="1">
      <alignment vertical="top"/>
    </xf>
    <xf numFmtId="2" fontId="3" fillId="2" borderId="1" xfId="0" applyNumberFormat="1" applyFont="1" applyFill="1" applyBorder="1" applyAlignment="1">
      <alignment horizontal="right" vertical="top"/>
    </xf>
    <xf numFmtId="0" fontId="35" fillId="2" borderId="0" xfId="4" applyFill="1">
      <alignment vertical="top"/>
    </xf>
    <xf numFmtId="172" fontId="23" fillId="6" borderId="0" xfId="0" applyNumberFormat="1" applyFont="1" applyFill="1" applyAlignment="1"/>
    <xf numFmtId="9" fontId="34" fillId="2" borderId="0" xfId="2" applyFont="1" applyFill="1">
      <alignment vertical="top"/>
    </xf>
    <xf numFmtId="167" fontId="4" fillId="10" borderId="0" xfId="0" applyNumberFormat="1" applyFont="1" applyFill="1">
      <alignment vertical="top"/>
    </xf>
    <xf numFmtId="168" fontId="34" fillId="2" borderId="0" xfId="0" applyNumberFormat="1" applyFont="1" applyFill="1">
      <alignment vertical="top"/>
    </xf>
    <xf numFmtId="168" fontId="34" fillId="10" borderId="0" xfId="0" applyNumberFormat="1" applyFont="1" applyFill="1">
      <alignment vertical="top"/>
    </xf>
    <xf numFmtId="0" fontId="10" fillId="2" borderId="0" xfId="0" applyFont="1" applyFill="1" applyAlignment="1">
      <alignment wrapText="1"/>
    </xf>
    <xf numFmtId="0" fontId="36" fillId="2" borderId="0" xfId="0" applyFont="1" applyFill="1">
      <alignment vertical="top"/>
    </xf>
    <xf numFmtId="9" fontId="34" fillId="10" borderId="0" xfId="0" applyNumberFormat="1" applyFont="1" applyFill="1">
      <alignment vertical="top"/>
    </xf>
    <xf numFmtId="2" fontId="23" fillId="3" borderId="0" xfId="0" applyNumberFormat="1" applyFont="1" applyFill="1" applyAlignment="1">
      <alignment horizontal="right"/>
    </xf>
    <xf numFmtId="0" fontId="35" fillId="0" borderId="0" xfId="4">
      <alignment vertical="top"/>
    </xf>
    <xf numFmtId="174" fontId="0" fillId="2" borderId="0" xfId="0" applyNumberFormat="1" applyFill="1">
      <alignment vertical="top"/>
    </xf>
    <xf numFmtId="0" fontId="3" fillId="2" borderId="3" xfId="0" applyFont="1" applyFill="1" applyBorder="1" applyAlignment="1">
      <alignment horizontal="left"/>
    </xf>
    <xf numFmtId="168" fontId="1" fillId="0" borderId="0" xfId="2" applyNumberFormat="1">
      <alignment vertical="top"/>
    </xf>
    <xf numFmtId="164" fontId="0" fillId="2" borderId="0" xfId="0" applyNumberFormat="1" applyFill="1" applyAlignment="1"/>
    <xf numFmtId="168" fontId="4" fillId="11" borderId="0" xfId="0" applyNumberFormat="1" applyFont="1" applyFill="1">
      <alignment vertical="top"/>
    </xf>
    <xf numFmtId="9" fontId="4" fillId="3" borderId="0" xfId="0" applyNumberFormat="1" applyFont="1" applyFill="1">
      <alignment vertical="top"/>
    </xf>
    <xf numFmtId="167" fontId="4" fillId="2" borderId="0" xfId="1" applyNumberFormat="1" applyFont="1" applyFill="1" applyAlignment="1"/>
    <xf numFmtId="0" fontId="37" fillId="2" borderId="0" xfId="0" applyFont="1" applyFill="1">
      <alignment vertical="top"/>
    </xf>
    <xf numFmtId="0" fontId="40" fillId="2" borderId="0" xfId="0" applyFont="1" applyFill="1">
      <alignment vertical="top"/>
    </xf>
    <xf numFmtId="0" fontId="40" fillId="2" borderId="0" xfId="0" applyFont="1" applyFill="1" applyAlignment="1">
      <alignment horizontal="right" vertical="top" wrapText="1"/>
    </xf>
    <xf numFmtId="176" fontId="40" fillId="2" borderId="0" xfId="0" applyNumberFormat="1" applyFont="1" applyFill="1" applyAlignment="1">
      <alignment horizontal="right" vertical="top" wrapText="1"/>
    </xf>
    <xf numFmtId="0" fontId="39" fillId="2" borderId="0" xfId="0" applyFont="1" applyFill="1" applyAlignment="1">
      <alignment horizontal="right" vertical="top"/>
    </xf>
    <xf numFmtId="0" fontId="41" fillId="2" borderId="0" xfId="0" applyFont="1" applyFill="1">
      <alignment vertical="top"/>
    </xf>
    <xf numFmtId="0" fontId="39" fillId="2" borderId="0" xfId="0" applyFont="1" applyFill="1">
      <alignment vertical="top"/>
    </xf>
    <xf numFmtId="176" fontId="40" fillId="2" borderId="0" xfId="0" applyNumberFormat="1" applyFont="1" applyFill="1" applyAlignment="1">
      <alignment vertical="top" wrapText="1"/>
    </xf>
    <xf numFmtId="0" fontId="40" fillId="2" borderId="0" xfId="0" applyFont="1" applyFill="1" applyAlignment="1">
      <alignment vertical="top" wrapText="1"/>
    </xf>
    <xf numFmtId="176" fontId="39" fillId="2" borderId="0" xfId="0" applyNumberFormat="1" applyFont="1" applyFill="1">
      <alignment vertical="top"/>
    </xf>
    <xf numFmtId="0" fontId="39" fillId="2" borderId="0" xfId="0" applyFont="1" applyFill="1" applyAlignment="1"/>
    <xf numFmtId="0" fontId="22" fillId="2" borderId="0" xfId="0" applyFont="1" applyFill="1">
      <alignment vertical="top"/>
    </xf>
    <xf numFmtId="168" fontId="41" fillId="2" borderId="0" xfId="2" applyNumberFormat="1" applyFont="1" applyFill="1">
      <alignment vertical="top"/>
    </xf>
    <xf numFmtId="0" fontId="42" fillId="2" borderId="0" xfId="0" applyFont="1" applyFill="1">
      <alignment vertical="top"/>
    </xf>
    <xf numFmtId="0" fontId="42" fillId="2" borderId="0" xfId="0" applyFont="1" applyFill="1" applyAlignment="1">
      <alignment horizontal="left" vertical="top" indent="3"/>
    </xf>
    <xf numFmtId="0" fontId="38" fillId="2" borderId="3" xfId="0" applyFont="1" applyFill="1" applyBorder="1" applyAlignment="1">
      <alignment horizontal="left" vertical="center"/>
    </xf>
    <xf numFmtId="0" fontId="38" fillId="2" borderId="3" xfId="0" applyFont="1" applyFill="1" applyBorder="1" applyAlignment="1">
      <alignment horizontal="right" vertical="center" wrapText="1"/>
    </xf>
    <xf numFmtId="176" fontId="39" fillId="2" borderId="3" xfId="0" applyNumberFormat="1" applyFont="1" applyFill="1" applyBorder="1" applyAlignment="1">
      <alignment horizontal="right" vertical="center" wrapText="1"/>
    </xf>
    <xf numFmtId="0" fontId="38" fillId="2" borderId="3" xfId="0" applyFont="1" applyFill="1" applyBorder="1" applyAlignment="1">
      <alignment horizontal="left"/>
    </xf>
    <xf numFmtId="0" fontId="38" fillId="2" borderId="3" xfId="0" applyFont="1" applyFill="1" applyBorder="1" applyAlignment="1">
      <alignment horizontal="center" wrapText="1"/>
    </xf>
    <xf numFmtId="0" fontId="38" fillId="2" borderId="3" xfId="0" applyFont="1" applyFill="1" applyBorder="1" applyAlignment="1">
      <alignment horizontal="center"/>
    </xf>
    <xf numFmtId="0" fontId="39" fillId="2" borderId="3" xfId="0" applyFont="1" applyFill="1" applyBorder="1">
      <alignment vertical="top"/>
    </xf>
    <xf numFmtId="0" fontId="22" fillId="4" borderId="1" xfId="0" applyFont="1" applyFill="1" applyBorder="1">
      <alignment vertical="top"/>
    </xf>
    <xf numFmtId="176" fontId="43" fillId="4" borderId="1" xfId="0" applyNumberFormat="1" applyFont="1" applyFill="1" applyBorder="1" applyAlignment="1">
      <alignment horizontal="right" vertical="top" wrapText="1"/>
    </xf>
    <xf numFmtId="0" fontId="8" fillId="5" borderId="0" xfId="0" applyFont="1" applyFill="1" applyAlignment="1">
      <alignment horizontal="center" vertical="top"/>
    </xf>
    <xf numFmtId="0" fontId="21" fillId="9" borderId="0" xfId="3" applyNumberFormat="1" applyFont="1" applyFill="1" applyBorder="1" applyAlignment="1">
      <alignment horizontal="center"/>
    </xf>
  </cellXfs>
  <cellStyles count="5">
    <cellStyle name="Comma" xfId="1" builtinId="3"/>
    <cellStyle name="Hyperlink" xfId="4" builtinId="8"/>
    <cellStyle name="Normal" xfId="0" builtinId="0"/>
    <cellStyle name="Normal_Project Accel Valuation v56" xfId="3" xr:uid="{00000000-0005-0000-0000-000002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Tesla vehicle</a:t>
            </a:r>
            <a:r>
              <a:rPr lang="en-US" sz="1400" b="1" baseline="0">
                <a:solidFill>
                  <a:srgbClr val="002060"/>
                </a:solidFill>
              </a:rPr>
              <a:t> deliveries 2015-2029 (actuals and forecasts)</a:t>
            </a:r>
            <a:endParaRPr lang="en-US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0621780083541838E-2"/>
          <c:y val="2.0921471574044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9941694014521E-2"/>
          <c:y val="0.11001056524035922"/>
          <c:w val="0.89789168805756225"/>
          <c:h val="0.7392804405788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Deliveries!$B$5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Deliveries!$C$4:$Q$4</c:f>
              <c:strCache>
                <c:ptCount val="15"/>
                <c:pt idx="0">
                  <c:v>2015
Act</c:v>
                </c:pt>
                <c:pt idx="1">
                  <c:v>2016
Act</c:v>
                </c:pt>
                <c:pt idx="2">
                  <c:v>2017
Act</c:v>
                </c:pt>
                <c:pt idx="3">
                  <c:v>2018
Act</c:v>
                </c:pt>
                <c:pt idx="4">
                  <c:v>2019
Act</c:v>
                </c:pt>
                <c:pt idx="5">
                  <c:v>2020
Fcst</c:v>
                </c:pt>
                <c:pt idx="6">
                  <c:v>2021
Fcst</c:v>
                </c:pt>
                <c:pt idx="7">
                  <c:v>2022
Fcst</c:v>
                </c:pt>
                <c:pt idx="8">
                  <c:v>2023
Fcst</c:v>
                </c:pt>
                <c:pt idx="9">
                  <c:v>2024
Fcst</c:v>
                </c:pt>
                <c:pt idx="10">
                  <c:v>2025
Fcst</c:v>
                </c:pt>
                <c:pt idx="11">
                  <c:v>2026
Fcst</c:v>
                </c:pt>
                <c:pt idx="12">
                  <c:v>2027
Fcst</c:v>
                </c:pt>
                <c:pt idx="13">
                  <c:v>2028
Fcst</c:v>
                </c:pt>
                <c:pt idx="14">
                  <c:v>2029
Fcst</c:v>
                </c:pt>
              </c:strCache>
            </c:strRef>
          </c:cat>
          <c:val>
            <c:numRef>
              <c:f>Deliveries!$C$5:$Q$5</c:f>
              <c:numCache>
                <c:formatCode>_(* #,##0_);_(* \(#,##0\);_(* "-"?_);@_)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1764</c:v>
                </c:pt>
                <c:pt idx="3">
                  <c:v>146055</c:v>
                </c:pt>
                <c:pt idx="4">
                  <c:v>300815</c:v>
                </c:pt>
                <c:pt idx="5">
                  <c:v>481304</c:v>
                </c:pt>
                <c:pt idx="6">
                  <c:v>529434.4</c:v>
                </c:pt>
                <c:pt idx="7">
                  <c:v>582377.84000000008</c:v>
                </c:pt>
                <c:pt idx="8">
                  <c:v>628968.06720000017</c:v>
                </c:pt>
                <c:pt idx="9">
                  <c:v>679285.51257600018</c:v>
                </c:pt>
                <c:pt idx="10">
                  <c:v>706456.93307904026</c:v>
                </c:pt>
                <c:pt idx="11">
                  <c:v>734715.21040220186</c:v>
                </c:pt>
                <c:pt idx="12">
                  <c:v>764103.81881829002</c:v>
                </c:pt>
                <c:pt idx="13">
                  <c:v>794667.9715710216</c:v>
                </c:pt>
                <c:pt idx="14">
                  <c:v>826454.6904338625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4DB6-9889-2037335EE607}"/>
            </c:ext>
          </c:extLst>
        </c:ser>
        <c:ser>
          <c:idx val="1"/>
          <c:order val="1"/>
          <c:tx>
            <c:strRef>
              <c:f>Deliveries!$B$6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Deliveries!$C$4:$Q$4</c:f>
              <c:strCache>
                <c:ptCount val="15"/>
                <c:pt idx="0">
                  <c:v>2015
Act</c:v>
                </c:pt>
                <c:pt idx="1">
                  <c:v>2016
Act</c:v>
                </c:pt>
                <c:pt idx="2">
                  <c:v>2017
Act</c:v>
                </c:pt>
                <c:pt idx="3">
                  <c:v>2018
Act</c:v>
                </c:pt>
                <c:pt idx="4">
                  <c:v>2019
Act</c:v>
                </c:pt>
                <c:pt idx="5">
                  <c:v>2020
Fcst</c:v>
                </c:pt>
                <c:pt idx="6">
                  <c:v>2021
Fcst</c:v>
                </c:pt>
                <c:pt idx="7">
                  <c:v>2022
Fcst</c:v>
                </c:pt>
                <c:pt idx="8">
                  <c:v>2023
Fcst</c:v>
                </c:pt>
                <c:pt idx="9">
                  <c:v>2024
Fcst</c:v>
                </c:pt>
                <c:pt idx="10">
                  <c:v>2025
Fcst</c:v>
                </c:pt>
                <c:pt idx="11">
                  <c:v>2026
Fcst</c:v>
                </c:pt>
                <c:pt idx="12">
                  <c:v>2027
Fcst</c:v>
                </c:pt>
                <c:pt idx="13">
                  <c:v>2028
Fcst</c:v>
                </c:pt>
                <c:pt idx="14">
                  <c:v>2029
Fcst</c:v>
                </c:pt>
              </c:strCache>
            </c:strRef>
          </c:cat>
          <c:val>
            <c:numRef>
              <c:f>Deliveries!$C$6:$Q$6</c:f>
              <c:numCache>
                <c:formatCode>_(* #,##0_);_(* \(#,##0\);_(* "-"?_);@_)</c:formatCode>
                <c:ptCount val="15"/>
                <c:pt idx="0">
                  <c:v>50580</c:v>
                </c:pt>
                <c:pt idx="1">
                  <c:v>76230</c:v>
                </c:pt>
                <c:pt idx="2">
                  <c:v>101312</c:v>
                </c:pt>
                <c:pt idx="3">
                  <c:v>98865</c:v>
                </c:pt>
                <c:pt idx="4">
                  <c:v>66385</c:v>
                </c:pt>
                <c:pt idx="5">
                  <c:v>69040.400000000009</c:v>
                </c:pt>
                <c:pt idx="6">
                  <c:v>71802.016000000018</c:v>
                </c:pt>
                <c:pt idx="7">
                  <c:v>74674.096640000018</c:v>
                </c:pt>
                <c:pt idx="8">
                  <c:v>77661.06050560002</c:v>
                </c:pt>
                <c:pt idx="9">
                  <c:v>80767.502925824025</c:v>
                </c:pt>
                <c:pt idx="10">
                  <c:v>83998.203042856985</c:v>
                </c:pt>
                <c:pt idx="11">
                  <c:v>87358.13116457127</c:v>
                </c:pt>
                <c:pt idx="12">
                  <c:v>90852.456411154126</c:v>
                </c:pt>
                <c:pt idx="13">
                  <c:v>94486.5546676003</c:v>
                </c:pt>
                <c:pt idx="14">
                  <c:v>98266.016854304311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0-4DB6-9889-2037335EE607}"/>
            </c:ext>
          </c:extLst>
        </c:ser>
        <c:ser>
          <c:idx val="2"/>
          <c:order val="2"/>
          <c:tx>
            <c:strRef>
              <c:f>Deliveries!$B$7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Deliveries!$C$4:$Q$4</c:f>
              <c:strCache>
                <c:ptCount val="15"/>
                <c:pt idx="0">
                  <c:v>2015
Act</c:v>
                </c:pt>
                <c:pt idx="1">
                  <c:v>2016
Act</c:v>
                </c:pt>
                <c:pt idx="2">
                  <c:v>2017
Act</c:v>
                </c:pt>
                <c:pt idx="3">
                  <c:v>2018
Act</c:v>
                </c:pt>
                <c:pt idx="4">
                  <c:v>2019
Act</c:v>
                </c:pt>
                <c:pt idx="5">
                  <c:v>2020
Fcst</c:v>
                </c:pt>
                <c:pt idx="6">
                  <c:v>2021
Fcst</c:v>
                </c:pt>
                <c:pt idx="7">
                  <c:v>2022
Fcst</c:v>
                </c:pt>
                <c:pt idx="8">
                  <c:v>2023
Fcst</c:v>
                </c:pt>
                <c:pt idx="9">
                  <c:v>2024
Fcst</c:v>
                </c:pt>
                <c:pt idx="10">
                  <c:v>2025
Fcst</c:v>
                </c:pt>
                <c:pt idx="11">
                  <c:v>2026
Fcst</c:v>
                </c:pt>
                <c:pt idx="12">
                  <c:v>2027
Fcst</c:v>
                </c:pt>
                <c:pt idx="13">
                  <c:v>2028
Fcst</c:v>
                </c:pt>
                <c:pt idx="14">
                  <c:v>2029
Fcst</c:v>
                </c:pt>
              </c:strCache>
            </c:strRef>
          </c:cat>
          <c:val>
            <c:numRef>
              <c:f>Deliveries!$C$7:$Q$7</c:f>
              <c:numCache>
                <c:formatCode>_(* #,##0_);_(* \(#,##0\);_(* "-"?_);@_)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1764</c:v>
                </c:pt>
                <c:pt idx="6">
                  <c:v>146055</c:v>
                </c:pt>
                <c:pt idx="7">
                  <c:v>300815</c:v>
                </c:pt>
                <c:pt idx="8">
                  <c:v>481304</c:v>
                </c:pt>
                <c:pt idx="9">
                  <c:v>529434.4</c:v>
                </c:pt>
                <c:pt idx="10">
                  <c:v>582377.84000000008</c:v>
                </c:pt>
                <c:pt idx="11">
                  <c:v>628968.06720000017</c:v>
                </c:pt>
                <c:pt idx="12">
                  <c:v>679285.51257600018</c:v>
                </c:pt>
                <c:pt idx="13">
                  <c:v>706456.93307904026</c:v>
                </c:pt>
                <c:pt idx="14">
                  <c:v>734715.21040220186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0-4DB6-9889-2037335EE607}"/>
            </c:ext>
          </c:extLst>
        </c:ser>
        <c:ser>
          <c:idx val="3"/>
          <c:order val="3"/>
          <c:tx>
            <c:strRef>
              <c:f>Deliveries!$B$8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Deliveries!$C$4:$Q$4</c:f>
              <c:strCache>
                <c:ptCount val="15"/>
                <c:pt idx="0">
                  <c:v>2015
Act</c:v>
                </c:pt>
                <c:pt idx="1">
                  <c:v>2016
Act</c:v>
                </c:pt>
                <c:pt idx="2">
                  <c:v>2017
Act</c:v>
                </c:pt>
                <c:pt idx="3">
                  <c:v>2018
Act</c:v>
                </c:pt>
                <c:pt idx="4">
                  <c:v>2019
Act</c:v>
                </c:pt>
                <c:pt idx="5">
                  <c:v>2020
Fcst</c:v>
                </c:pt>
                <c:pt idx="6">
                  <c:v>2021
Fcst</c:v>
                </c:pt>
                <c:pt idx="7">
                  <c:v>2022
Fcst</c:v>
                </c:pt>
                <c:pt idx="8">
                  <c:v>2023
Fcst</c:v>
                </c:pt>
                <c:pt idx="9">
                  <c:v>2024
Fcst</c:v>
                </c:pt>
                <c:pt idx="10">
                  <c:v>2025
Fcst</c:v>
                </c:pt>
                <c:pt idx="11">
                  <c:v>2026
Fcst</c:v>
                </c:pt>
                <c:pt idx="12">
                  <c:v>2027
Fcst</c:v>
                </c:pt>
                <c:pt idx="13">
                  <c:v>2028
Fcst</c:v>
                </c:pt>
                <c:pt idx="14">
                  <c:v>2029
Fcst</c:v>
                </c:pt>
              </c:strCache>
            </c:strRef>
          </c:cat>
          <c:val>
            <c:numRef>
              <c:f>Deliveries!$C$8:$Q$8</c:f>
              <c:numCache>
                <c:formatCode>_(* #,##0_);_(* \(#,##0\);_(* "-"?_);@_)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500</c:v>
                </c:pt>
                <c:pt idx="8">
                  <c:v>750</c:v>
                </c:pt>
                <c:pt idx="9">
                  <c:v>825.00000000000011</c:v>
                </c:pt>
                <c:pt idx="10">
                  <c:v>907.50000000000023</c:v>
                </c:pt>
                <c:pt idx="11">
                  <c:v>980.10000000000036</c:v>
                </c:pt>
                <c:pt idx="12">
                  <c:v>1058.5080000000005</c:v>
                </c:pt>
                <c:pt idx="13">
                  <c:v>1100.8483200000005</c:v>
                </c:pt>
                <c:pt idx="14">
                  <c:v>1144.8822528000005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0-4DB6-9889-2037335EE607}"/>
            </c:ext>
          </c:extLst>
        </c:ser>
        <c:ser>
          <c:idx val="4"/>
          <c:order val="4"/>
          <c:tx>
            <c:strRef>
              <c:f>Deliveries!$B$9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Deliveries!$C$4:$Q$4</c:f>
              <c:strCache>
                <c:ptCount val="15"/>
                <c:pt idx="0">
                  <c:v>2015
Act</c:v>
                </c:pt>
                <c:pt idx="1">
                  <c:v>2016
Act</c:v>
                </c:pt>
                <c:pt idx="2">
                  <c:v>2017
Act</c:v>
                </c:pt>
                <c:pt idx="3">
                  <c:v>2018
Act</c:v>
                </c:pt>
                <c:pt idx="4">
                  <c:v>2019
Act</c:v>
                </c:pt>
                <c:pt idx="5">
                  <c:v>2020
Fcst</c:v>
                </c:pt>
                <c:pt idx="6">
                  <c:v>2021
Fcst</c:v>
                </c:pt>
                <c:pt idx="7">
                  <c:v>2022
Fcst</c:v>
                </c:pt>
                <c:pt idx="8">
                  <c:v>2023
Fcst</c:v>
                </c:pt>
                <c:pt idx="9">
                  <c:v>2024
Fcst</c:v>
                </c:pt>
                <c:pt idx="10">
                  <c:v>2025
Fcst</c:v>
                </c:pt>
                <c:pt idx="11">
                  <c:v>2026
Fcst</c:v>
                </c:pt>
                <c:pt idx="12">
                  <c:v>2027
Fcst</c:v>
                </c:pt>
                <c:pt idx="13">
                  <c:v>2028
Fcst</c:v>
                </c:pt>
                <c:pt idx="14">
                  <c:v>2029
Fcst</c:v>
                </c:pt>
              </c:strCache>
            </c:strRef>
          </c:cat>
          <c:val>
            <c:numRef>
              <c:f>Deliveries!$C$9:$Q$9</c:f>
              <c:numCache>
                <c:formatCode>_(* #,##0_);_(* \(#,##0\);_(* "-"?_);@_)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250</c:v>
                </c:pt>
                <c:pt idx="7">
                  <c:v>20699.404761904763</c:v>
                </c:pt>
                <c:pt idx="8">
                  <c:v>42632.511337868491</c:v>
                </c:pt>
                <c:pt idx="9">
                  <c:v>68212.018140589586</c:v>
                </c:pt>
                <c:pt idx="10">
                  <c:v>75033.21995464855</c:v>
                </c:pt>
                <c:pt idx="11">
                  <c:v>82536.541950113417</c:v>
                </c:pt>
                <c:pt idx="12">
                  <c:v>89139.465306122496</c:v>
                </c:pt>
                <c:pt idx="13">
                  <c:v>96270.622530612309</c:v>
                </c:pt>
                <c:pt idx="14">
                  <c:v>100121.4474318368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0-4DB6-9889-2037335EE607}"/>
            </c:ext>
          </c:extLst>
        </c:ser>
        <c:ser>
          <c:idx val="5"/>
          <c:order val="5"/>
          <c:tx>
            <c:strRef>
              <c:f>Deliveries!$B$10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10-4DB6-9889-2037335EE6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10-4DB6-9889-2037335EE607}"/>
                </c:ext>
              </c:extLst>
            </c:dLbl>
            <c:dLbl>
              <c:idx val="6"/>
              <c:layout>
                <c:manualLayout>
                  <c:x val="-8.4058328966294317E-17"/>
                  <c:y val="-1.32065504490227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10-4DB6-9889-2037335EE60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Deliveries!$C$4:$Q$4</c:f>
              <c:strCache>
                <c:ptCount val="15"/>
                <c:pt idx="0">
                  <c:v>2015
Act</c:v>
                </c:pt>
                <c:pt idx="1">
                  <c:v>2016
Act</c:v>
                </c:pt>
                <c:pt idx="2">
                  <c:v>2017
Act</c:v>
                </c:pt>
                <c:pt idx="3">
                  <c:v>2018
Act</c:v>
                </c:pt>
                <c:pt idx="4">
                  <c:v>2019
Act</c:v>
                </c:pt>
                <c:pt idx="5">
                  <c:v>2020
Fcst</c:v>
                </c:pt>
                <c:pt idx="6">
                  <c:v>2021
Fcst</c:v>
                </c:pt>
                <c:pt idx="7">
                  <c:v>2022
Fcst</c:v>
                </c:pt>
                <c:pt idx="8">
                  <c:v>2023
Fcst</c:v>
                </c:pt>
                <c:pt idx="9">
                  <c:v>2024
Fcst</c:v>
                </c:pt>
                <c:pt idx="10">
                  <c:v>2025
Fcst</c:v>
                </c:pt>
                <c:pt idx="11">
                  <c:v>2026
Fcst</c:v>
                </c:pt>
                <c:pt idx="12">
                  <c:v>2027
Fcst</c:v>
                </c:pt>
                <c:pt idx="13">
                  <c:v>2028
Fcst</c:v>
                </c:pt>
                <c:pt idx="14">
                  <c:v>2029
Fcst</c:v>
                </c:pt>
              </c:strCache>
            </c:strRef>
          </c:cat>
          <c:val>
            <c:numRef>
              <c:f>Deliveries!$C$10:$Q$10</c:f>
              <c:numCache>
                <c:formatCode>_(* #,##0_);_(* \(#,##0\);_(* "-"?_);@_)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250</c:v>
                </c:pt>
                <c:pt idx="7">
                  <c:v>20699.404761904763</c:v>
                </c:pt>
                <c:pt idx="8">
                  <c:v>42632.511337868491</c:v>
                </c:pt>
                <c:pt idx="9">
                  <c:v>68212.018140589586</c:v>
                </c:pt>
                <c:pt idx="10">
                  <c:v>75033.21995464855</c:v>
                </c:pt>
                <c:pt idx="11">
                  <c:v>82536.541950113417</c:v>
                </c:pt>
                <c:pt idx="12">
                  <c:v>89139.465306122496</c:v>
                </c:pt>
                <c:pt idx="13">
                  <c:v>96270.622530612309</c:v>
                </c:pt>
                <c:pt idx="14">
                  <c:v>100121.4474318368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0-4DB6-9889-2037335E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1046368"/>
        <c:axId val="601044072"/>
      </c:barChart>
      <c:catAx>
        <c:axId val="6010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4072"/>
        <c:crosses val="autoZero"/>
        <c:auto val="1"/>
        <c:lblAlgn val="ctr"/>
        <c:lblOffset val="100"/>
        <c:noMultiLvlLbl val="0"/>
      </c:catAx>
      <c:valAx>
        <c:axId val="60104407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636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 and Gross Profit automotive</a:t>
            </a:r>
          </a:p>
        </c:rich>
      </c:tx>
      <c:layout>
        <c:manualLayout>
          <c:xMode val="edge"/>
          <c:yMode val="edge"/>
          <c:x val="1.8189188329924437E-2"/>
          <c:y val="2.2779043280182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39833547051577E-2"/>
          <c:y val="0.11548974943052394"/>
          <c:w val="0.89667412031100424"/>
          <c:h val="0.67086315235652494"/>
        </c:manualLayout>
      </c:layout>
      <c:areaChart>
        <c:grouping val="standard"/>
        <c:varyColors val="0"/>
        <c:ser>
          <c:idx val="0"/>
          <c:order val="0"/>
          <c:tx>
            <c:strRef>
              <c:f>'Revenue &amp; GP autom'!$B$4</c:f>
              <c:strCache>
                <c:ptCount val="1"/>
                <c:pt idx="0">
                  <c:v>Revenue automotive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'Revenue &amp; GP autom'!$C$3:$P$3</c:f>
              <c:strCache>
                <c:ptCount val="14"/>
                <c:pt idx="0">
                  <c:v>2016
Act</c:v>
                </c:pt>
                <c:pt idx="1">
                  <c:v>2017
Act</c:v>
                </c:pt>
                <c:pt idx="2">
                  <c:v>2018
Act</c:v>
                </c:pt>
                <c:pt idx="3">
                  <c:v>2019
Act</c:v>
                </c:pt>
                <c:pt idx="4">
                  <c:v>2020
Fcst</c:v>
                </c:pt>
                <c:pt idx="5">
                  <c:v>2021
Fcst</c:v>
                </c:pt>
                <c:pt idx="6">
                  <c:v>2022
Fcst</c:v>
                </c:pt>
                <c:pt idx="7">
                  <c:v>2023
Fcst</c:v>
                </c:pt>
                <c:pt idx="8">
                  <c:v>2024
Fcst</c:v>
                </c:pt>
                <c:pt idx="9">
                  <c:v>2025
Fcst</c:v>
                </c:pt>
                <c:pt idx="10">
                  <c:v>2026
Fcst</c:v>
                </c:pt>
                <c:pt idx="11">
                  <c:v>2027
Fcst</c:v>
                </c:pt>
                <c:pt idx="12">
                  <c:v>2028
Fcst</c:v>
                </c:pt>
                <c:pt idx="13">
                  <c:v>2029
Fcst</c:v>
                </c:pt>
              </c:strCache>
            </c:strRef>
          </c:cat>
          <c:val>
            <c:numRef>
              <c:f>'Revenue &amp; GP autom'!$C$4:$P$4</c:f>
              <c:numCache>
                <c:formatCode>_(* #,##0_);_(* \(#,##0\);_(* "-"?_);@_)</c:formatCode>
                <c:ptCount val="14"/>
                <c:pt idx="0">
                  <c:v>3740.973</c:v>
                </c:pt>
                <c:pt idx="1">
                  <c:v>6350.7659999999996</c:v>
                </c:pt>
                <c:pt idx="2">
                  <c:v>9641.3000000000011</c:v>
                </c:pt>
                <c:pt idx="3">
                  <c:v>18514.983</c:v>
                </c:pt>
                <c:pt idx="4">
                  <c:v>33883.553108619999</c:v>
                </c:pt>
                <c:pt idx="5">
                  <c:v>45867.036211716804</c:v>
                </c:pt>
                <c:pt idx="6">
                  <c:v>63702.852411189822</c:v>
                </c:pt>
                <c:pt idx="7">
                  <c:v>83096.38231249094</c:v>
                </c:pt>
                <c:pt idx="8">
                  <c:v>95300.816564474007</c:v>
                </c:pt>
                <c:pt idx="9">
                  <c:v>102075.03990321465</c:v>
                </c:pt>
                <c:pt idx="10">
                  <c:v>108687.57483402501</c:v>
                </c:pt>
                <c:pt idx="11">
                  <c:v>115395.42324979257</c:v>
                </c:pt>
                <c:pt idx="12">
                  <c:v>120860.09034884421</c:v>
                </c:pt>
                <c:pt idx="13">
                  <c:v>125694.49396279798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8-45C8-9C4E-140E5D1152B1}"/>
            </c:ext>
          </c:extLst>
        </c:ser>
        <c:ser>
          <c:idx val="1"/>
          <c:order val="1"/>
          <c:tx>
            <c:strRef>
              <c:f>'Revenue &amp; GP autom'!$B$5</c:f>
              <c:strCache>
                <c:ptCount val="1"/>
                <c:pt idx="0">
                  <c:v>Gross Profit automotive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'Revenue &amp; GP autom'!$C$3:$P$3</c:f>
              <c:strCache>
                <c:ptCount val="14"/>
                <c:pt idx="0">
                  <c:v>2016
Act</c:v>
                </c:pt>
                <c:pt idx="1">
                  <c:v>2017
Act</c:v>
                </c:pt>
                <c:pt idx="2">
                  <c:v>2018
Act</c:v>
                </c:pt>
                <c:pt idx="3">
                  <c:v>2019
Act</c:v>
                </c:pt>
                <c:pt idx="4">
                  <c:v>2020
Fcst</c:v>
                </c:pt>
                <c:pt idx="5">
                  <c:v>2021
Fcst</c:v>
                </c:pt>
                <c:pt idx="6">
                  <c:v>2022
Fcst</c:v>
                </c:pt>
                <c:pt idx="7">
                  <c:v>2023
Fcst</c:v>
                </c:pt>
                <c:pt idx="8">
                  <c:v>2024
Fcst</c:v>
                </c:pt>
                <c:pt idx="9">
                  <c:v>2025
Fcst</c:v>
                </c:pt>
                <c:pt idx="10">
                  <c:v>2026
Fcst</c:v>
                </c:pt>
                <c:pt idx="11">
                  <c:v>2027
Fcst</c:v>
                </c:pt>
                <c:pt idx="12">
                  <c:v>2028
Fcst</c:v>
                </c:pt>
                <c:pt idx="13">
                  <c:v>2029
Fcst</c:v>
                </c:pt>
              </c:strCache>
            </c:strRef>
          </c:cat>
          <c:val>
            <c:numRef>
              <c:f>'Revenue &amp; GP autom'!$C$5:$P$5</c:f>
              <c:numCache>
                <c:formatCode>_(* #,##0_);_(* \(#,##0\);_(* "-"?_);@_)</c:formatCode>
                <c:ptCount val="14"/>
                <c:pt idx="0">
                  <c:v>917.67100000000005</c:v>
                </c:pt>
                <c:pt idx="1">
                  <c:v>1600.6849999999999</c:v>
                </c:pt>
                <c:pt idx="2">
                  <c:v>2208.596</c:v>
                </c:pt>
                <c:pt idx="3">
                  <c:v>4340.9859999999999</c:v>
                </c:pt>
                <c:pt idx="4">
                  <c:v>8071.9691543670451</c:v>
                </c:pt>
                <c:pt idx="5">
                  <c:v>10325.640809051743</c:v>
                </c:pt>
                <c:pt idx="6">
                  <c:v>13798.657408930816</c:v>
                </c:pt>
                <c:pt idx="7">
                  <c:v>17511.75571043785</c:v>
                </c:pt>
                <c:pt idx="8">
                  <c:v>20025.510802976172</c:v>
                </c:pt>
                <c:pt idx="9">
                  <c:v>21370.944326833724</c:v>
                </c:pt>
                <c:pt idx="10">
                  <c:v>22698.510671949785</c:v>
                </c:pt>
                <c:pt idx="11">
                  <c:v>24040.565959675383</c:v>
                </c:pt>
                <c:pt idx="12">
                  <c:v>25176.806314190737</c:v>
                </c:pt>
                <c:pt idx="13">
                  <c:v>26183.878566758365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2664"/>
        <c:axId val="435013320"/>
      </c:areaChart>
      <c:lineChart>
        <c:grouping val="standard"/>
        <c:varyColors val="0"/>
        <c:ser>
          <c:idx val="2"/>
          <c:order val="2"/>
          <c:tx>
            <c:strRef>
              <c:f>'Revenue &amp; GP autom'!$B$6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'Revenue &amp; GP autom'!$C$3:$P$3</c:f>
              <c:strCache>
                <c:ptCount val="14"/>
                <c:pt idx="0">
                  <c:v>2016
Act</c:v>
                </c:pt>
                <c:pt idx="1">
                  <c:v>2017
Act</c:v>
                </c:pt>
                <c:pt idx="2">
                  <c:v>2018
Act</c:v>
                </c:pt>
                <c:pt idx="3">
                  <c:v>2019
Act</c:v>
                </c:pt>
                <c:pt idx="4">
                  <c:v>2020
Fcst</c:v>
                </c:pt>
                <c:pt idx="5">
                  <c:v>2021
Fcst</c:v>
                </c:pt>
                <c:pt idx="6">
                  <c:v>2022
Fcst</c:v>
                </c:pt>
                <c:pt idx="7">
                  <c:v>2023
Fcst</c:v>
                </c:pt>
                <c:pt idx="8">
                  <c:v>2024
Fcst</c:v>
                </c:pt>
                <c:pt idx="9">
                  <c:v>2025
Fcst</c:v>
                </c:pt>
                <c:pt idx="10">
                  <c:v>2026
Fcst</c:v>
                </c:pt>
                <c:pt idx="11">
                  <c:v>2027
Fcst</c:v>
                </c:pt>
                <c:pt idx="12">
                  <c:v>2028
Fcst</c:v>
                </c:pt>
                <c:pt idx="13">
                  <c:v>2029
Fcst</c:v>
                </c:pt>
              </c:strCache>
            </c:strRef>
          </c:cat>
          <c:val>
            <c:numRef>
              <c:f>'Revenue &amp; GP autom'!$C$6:$P$6</c:f>
              <c:numCache>
                <c:formatCode>0%</c:formatCode>
                <c:ptCount val="14"/>
                <c:pt idx="0">
                  <c:v>0.24530275946926108</c:v>
                </c:pt>
                <c:pt idx="1">
                  <c:v>0.25204597366679865</c:v>
                </c:pt>
                <c:pt idx="2">
                  <c:v>0.22907657681018118</c:v>
                </c:pt>
                <c:pt idx="3">
                  <c:v>0.23445800625363791</c:v>
                </c:pt>
                <c:pt idx="4">
                  <c:v>0.23822676236139859</c:v>
                </c:pt>
                <c:pt idx="5">
                  <c:v>0.22512116896739978</c:v>
                </c:pt>
                <c:pt idx="6">
                  <c:v>0.21660972604276965</c:v>
                </c:pt>
                <c:pt idx="7">
                  <c:v>0.21074029004756692</c:v>
                </c:pt>
                <c:pt idx="8">
                  <c:v>0.21012947763598944</c:v>
                </c:pt>
                <c:pt idx="9">
                  <c:v>0.20936503524365205</c:v>
                </c:pt>
                <c:pt idx="10">
                  <c:v>0.2088418175362943</c:v>
                </c:pt>
                <c:pt idx="11">
                  <c:v>0.20833205756900414</c:v>
                </c:pt>
                <c:pt idx="12">
                  <c:v>0.20831364796701479</c:v>
                </c:pt>
                <c:pt idx="13">
                  <c:v>0.20831364796701479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41440"/>
        <c:axId val="614241112"/>
      </c:lineChart>
      <c:catAx>
        <c:axId val="43501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3320"/>
        <c:crosses val="autoZero"/>
        <c:auto val="1"/>
        <c:lblAlgn val="ctr"/>
        <c:lblOffset val="100"/>
        <c:noMultiLvlLbl val="0"/>
      </c:catAx>
      <c:valAx>
        <c:axId val="4350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2664"/>
        <c:crosses val="autoZero"/>
        <c:crossBetween val="between"/>
      </c:valAx>
      <c:valAx>
        <c:axId val="6142411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1440"/>
        <c:crosses val="max"/>
        <c:crossBetween val="between"/>
      </c:valAx>
      <c:catAx>
        <c:axId val="61424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241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Working Capital development (2018-2028)</a:t>
            </a:r>
          </a:p>
        </c:rich>
      </c:tx>
      <c:layout>
        <c:manualLayout>
          <c:xMode val="edge"/>
          <c:yMode val="edge"/>
          <c:x val="2.3804024496937887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52213288804621E-2"/>
          <c:y val="0.11560170394036209"/>
          <c:w val="0.92260769688498956"/>
          <c:h val="0.7398971095066792"/>
        </c:manualLayout>
      </c:layout>
      <c:lineChart>
        <c:grouping val="stacked"/>
        <c:varyColors val="0"/>
        <c:ser>
          <c:idx val="0"/>
          <c:order val="0"/>
          <c:tx>
            <c:strRef>
              <c:f>'Working capital'!$B$5</c:f>
              <c:strCache>
                <c:ptCount val="1"/>
                <c:pt idx="0">
                  <c:v>Trade receivables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capital'!$H$4:$Q$4</c:f>
              <c:strCache>
                <c:ptCount val="10"/>
                <c:pt idx="0">
                  <c:v>31Dec2020
Fcst</c:v>
                </c:pt>
                <c:pt idx="1">
                  <c:v>31Dec2021
Fcst</c:v>
                </c:pt>
                <c:pt idx="2">
                  <c:v>31Dec2022
Fcst</c:v>
                </c:pt>
                <c:pt idx="3">
                  <c:v>31Dec2023
Fcst</c:v>
                </c:pt>
                <c:pt idx="4">
                  <c:v>31Dec2024
Fcst</c:v>
                </c:pt>
                <c:pt idx="5">
                  <c:v>31Dec2025
Fcst</c:v>
                </c:pt>
                <c:pt idx="6">
                  <c:v>31Dec2026
Fcst</c:v>
                </c:pt>
                <c:pt idx="7">
                  <c:v>31Dec2027
Fcst</c:v>
                </c:pt>
                <c:pt idx="8">
                  <c:v>31Dec2028
Fcst</c:v>
                </c:pt>
                <c:pt idx="9">
                  <c:v>31Dec2029
Fcst</c:v>
                </c:pt>
              </c:strCache>
            </c:strRef>
          </c:cat>
          <c:val>
            <c:numRef>
              <c:f>'Working capital'!$H$5:$Q$5</c:f>
              <c:numCache>
                <c:formatCode>#,##0_);\(#,##0\)</c:formatCode>
                <c:ptCount val="10"/>
                <c:pt idx="0">
                  <c:v>1751.0557775791181</c:v>
                </c:pt>
                <c:pt idx="1">
                  <c:v>2326.4099837632552</c:v>
                </c:pt>
                <c:pt idx="2">
                  <c:v>3163.3425914357417</c:v>
                </c:pt>
                <c:pt idx="3">
                  <c:v>4068.5094814068998</c:v>
                </c:pt>
                <c:pt idx="4">
                  <c:v>4647.4322321503168</c:v>
                </c:pt>
                <c:pt idx="5">
                  <c:v>4980.4655443669935</c:v>
                </c:pt>
                <c:pt idx="6">
                  <c:v>5308.0491492177407</c:v>
                </c:pt>
                <c:pt idx="7">
                  <c:v>5642.058886647389</c:v>
                </c:pt>
                <c:pt idx="8">
                  <c:v>5921.6123617190015</c:v>
                </c:pt>
                <c:pt idx="9">
                  <c:v>6174.8443533974159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BD-4570-A0C3-AD4E7E71C308}"/>
            </c:ext>
          </c:extLst>
        </c:ser>
        <c:ser>
          <c:idx val="1"/>
          <c:order val="1"/>
          <c:tx>
            <c:strRef>
              <c:f>'Working capital'!$B$6</c:f>
              <c:strCache>
                <c:ptCount val="1"/>
                <c:pt idx="0">
                  <c:v>Inventory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capital'!$H$4:$Q$4</c:f>
              <c:strCache>
                <c:ptCount val="10"/>
                <c:pt idx="0">
                  <c:v>31Dec2020
Fcst</c:v>
                </c:pt>
                <c:pt idx="1">
                  <c:v>31Dec2021
Fcst</c:v>
                </c:pt>
                <c:pt idx="2">
                  <c:v>31Dec2022
Fcst</c:v>
                </c:pt>
                <c:pt idx="3">
                  <c:v>31Dec2023
Fcst</c:v>
                </c:pt>
                <c:pt idx="4">
                  <c:v>31Dec2024
Fcst</c:v>
                </c:pt>
                <c:pt idx="5">
                  <c:v>31Dec2025
Fcst</c:v>
                </c:pt>
                <c:pt idx="6">
                  <c:v>31Dec2026
Fcst</c:v>
                </c:pt>
                <c:pt idx="7">
                  <c:v>31Dec2027
Fcst</c:v>
                </c:pt>
                <c:pt idx="8">
                  <c:v>31Dec2028
Fcst</c:v>
                </c:pt>
                <c:pt idx="9">
                  <c:v>31Dec2029
Fcst</c:v>
                </c:pt>
              </c:strCache>
            </c:strRef>
          </c:cat>
          <c:val>
            <c:numRef>
              <c:f>'Working capital'!$H$6:$Q$6</c:f>
              <c:numCache>
                <c:formatCode>#,##0_);\(#,##0\)</c:formatCode>
                <c:ptCount val="10"/>
                <c:pt idx="0">
                  <c:v>7827.8631416870594</c:v>
                </c:pt>
                <c:pt idx="1">
                  <c:v>10507.521419943452</c:v>
                </c:pt>
                <c:pt idx="2">
                  <c:v>14357.123274336753</c:v>
                </c:pt>
                <c:pt idx="3">
                  <c:v>18532.26848858919</c:v>
                </c:pt>
                <c:pt idx="4">
                  <c:v>21165.578498859359</c:v>
                </c:pt>
                <c:pt idx="5">
                  <c:v>22705.209565658301</c:v>
                </c:pt>
                <c:pt idx="6">
                  <c:v>24218.308625352031</c:v>
                </c:pt>
                <c:pt idx="7">
                  <c:v>25763.903386684378</c:v>
                </c:pt>
                <c:pt idx="8">
                  <c:v>27053.369099271451</c:v>
                </c:pt>
                <c:pt idx="9">
                  <c:v>28226.569871116342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3BD-4570-A0C3-AD4E7E71C308}"/>
            </c:ext>
          </c:extLst>
        </c:ser>
        <c:ser>
          <c:idx val="2"/>
          <c:order val="2"/>
          <c:tx>
            <c:strRef>
              <c:f>'Working capital'!$B$7</c:f>
              <c:strCache>
                <c:ptCount val="1"/>
                <c:pt idx="0">
                  <c:v>Trade payables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capital'!$H$4:$Q$4</c:f>
              <c:strCache>
                <c:ptCount val="10"/>
                <c:pt idx="0">
                  <c:v>31Dec2020
Fcst</c:v>
                </c:pt>
                <c:pt idx="1">
                  <c:v>31Dec2021
Fcst</c:v>
                </c:pt>
                <c:pt idx="2">
                  <c:v>31Dec2022
Fcst</c:v>
                </c:pt>
                <c:pt idx="3">
                  <c:v>31Dec2023
Fcst</c:v>
                </c:pt>
                <c:pt idx="4">
                  <c:v>31Dec2024
Fcst</c:v>
                </c:pt>
                <c:pt idx="5">
                  <c:v>31Dec2025
Fcst</c:v>
                </c:pt>
                <c:pt idx="6">
                  <c:v>31Dec2026
Fcst</c:v>
                </c:pt>
                <c:pt idx="7">
                  <c:v>31Dec2027
Fcst</c:v>
                </c:pt>
                <c:pt idx="8">
                  <c:v>31Dec2028
Fcst</c:v>
                </c:pt>
                <c:pt idx="9">
                  <c:v>31Dec2029
Fcst</c:v>
                </c:pt>
              </c:strCache>
            </c:strRef>
          </c:cat>
          <c:val>
            <c:numRef>
              <c:f>'Working capital'!$H$7:$Q$7</c:f>
              <c:numCache>
                <c:formatCode>#,##0_);\(#,##0\)</c:formatCode>
                <c:ptCount val="10"/>
                <c:pt idx="0">
                  <c:v>7109.3116498347044</c:v>
                </c:pt>
                <c:pt idx="1">
                  <c:v>9542.9931629581461</c:v>
                </c:pt>
                <c:pt idx="2">
                  <c:v>13039.224358533857</c:v>
                </c:pt>
                <c:pt idx="3">
                  <c:v>16831.115960900235</c:v>
                </c:pt>
                <c:pt idx="4">
                  <c:v>19222.703702635496</c:v>
                </c:pt>
                <c:pt idx="5">
                  <c:v>20621.005752827212</c:v>
                </c:pt>
                <c:pt idx="6">
                  <c:v>21995.211277084269</c:v>
                </c:pt>
                <c:pt idx="7">
                  <c:v>23398.929589959036</c:v>
                </c:pt>
                <c:pt idx="8">
                  <c:v>24570.029984361434</c:v>
                </c:pt>
                <c:pt idx="9">
                  <c:v>25635.537871239791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3BD-4570-A0C3-AD4E7E71C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996184"/>
        <c:axId val="427997496"/>
      </c:lineChart>
      <c:catAx>
        <c:axId val="42799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7496"/>
        <c:crosses val="autoZero"/>
        <c:auto val="1"/>
        <c:lblAlgn val="ctr"/>
        <c:lblOffset val="100"/>
        <c:noMultiLvlLbl val="0"/>
      </c:catAx>
      <c:valAx>
        <c:axId val="42799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</a:t>
                </a:r>
                <a:r>
                  <a:rPr lang="en-US" baseline="0"/>
                  <a:t> million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</a:t>
            </a:r>
            <a:r>
              <a:rPr lang="en-US" b="1" baseline="0">
                <a:solidFill>
                  <a:srgbClr val="002060"/>
                </a:solidFill>
              </a:rPr>
              <a:t> from different t</a:t>
            </a:r>
            <a:r>
              <a:rPr lang="en-US" b="1">
                <a:solidFill>
                  <a:srgbClr val="002060"/>
                </a:solidFill>
              </a:rPr>
              <a:t>ypes of vehicles sold:</a:t>
            </a:r>
            <a:r>
              <a:rPr lang="en-US" b="1" baseline="0">
                <a:solidFill>
                  <a:srgbClr val="002060"/>
                </a:solidFill>
              </a:rPr>
              <a:t> 2020 - 2029</a:t>
            </a:r>
            <a:endParaRPr lang="en-US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2.6386962552011076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040364117909397E-2"/>
          <c:y val="0.12679738562091503"/>
          <c:w val="0.81597186052132586"/>
          <c:h val="0.752872986464927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'Revenue by type of car'!$B$5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by type of car'!$H$4:$Q$4</c:f>
              <c:strCache>
                <c:ptCount val="10"/>
                <c:pt idx="0">
                  <c:v>2020
Fcst</c:v>
                </c:pt>
                <c:pt idx="1">
                  <c:v>2021
Fcst</c:v>
                </c:pt>
                <c:pt idx="2">
                  <c:v>2022
Fcst</c:v>
                </c:pt>
                <c:pt idx="3">
                  <c:v>2023
Fcst</c:v>
                </c:pt>
                <c:pt idx="4">
                  <c:v>2024
Fcst</c:v>
                </c:pt>
                <c:pt idx="5">
                  <c:v>2025
Fcst</c:v>
                </c:pt>
                <c:pt idx="6">
                  <c:v>2026
Fcst</c:v>
                </c:pt>
                <c:pt idx="7">
                  <c:v>2027
Fcst</c:v>
                </c:pt>
                <c:pt idx="8">
                  <c:v>2028
Fcst</c:v>
                </c:pt>
                <c:pt idx="9">
                  <c:v>2029
Fcst</c:v>
                </c:pt>
              </c:strCache>
            </c:strRef>
          </c:cat>
          <c:val>
            <c:numRef>
              <c:f>'Revenue by type of car'!$H$5:$Q$5</c:f>
              <c:numCache>
                <c:formatCode>_(* #,##0_);_(* \(#,##0\);_(* "-"?_);@_)</c:formatCode>
                <c:ptCount val="10"/>
                <c:pt idx="0">
                  <c:v>26587.1366992</c:v>
                </c:pt>
                <c:pt idx="1">
                  <c:v>29245.850369120002</c:v>
                </c:pt>
                <c:pt idx="2">
                  <c:v>32170.435406032004</c:v>
                </c:pt>
                <c:pt idx="3">
                  <c:v>34744.070238514563</c:v>
                </c:pt>
                <c:pt idx="4">
                  <c:v>37523.595857595734</c:v>
                </c:pt>
                <c:pt idx="5">
                  <c:v>39024.539691899576</c:v>
                </c:pt>
                <c:pt idx="6">
                  <c:v>40585.521279575543</c:v>
                </c:pt>
                <c:pt idx="7">
                  <c:v>42208.942130758573</c:v>
                </c:pt>
                <c:pt idx="8">
                  <c:v>43897.299815988925</c:v>
                </c:pt>
                <c:pt idx="9">
                  <c:v>45653.191808628479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B-4B2F-88EA-096539302D83}"/>
            </c:ext>
          </c:extLst>
        </c:ser>
        <c:ser>
          <c:idx val="1"/>
          <c:order val="1"/>
          <c:tx>
            <c:strRef>
              <c:f>'Revenue by type of car'!$B$6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by type of car'!$H$4:$Q$4</c:f>
              <c:strCache>
                <c:ptCount val="10"/>
                <c:pt idx="0">
                  <c:v>2020
Fcst</c:v>
                </c:pt>
                <c:pt idx="1">
                  <c:v>2021
Fcst</c:v>
                </c:pt>
                <c:pt idx="2">
                  <c:v>2022
Fcst</c:v>
                </c:pt>
                <c:pt idx="3">
                  <c:v>2023
Fcst</c:v>
                </c:pt>
                <c:pt idx="4">
                  <c:v>2024
Fcst</c:v>
                </c:pt>
                <c:pt idx="5">
                  <c:v>2025
Fcst</c:v>
                </c:pt>
                <c:pt idx="6">
                  <c:v>2026
Fcst</c:v>
                </c:pt>
                <c:pt idx="7">
                  <c:v>2027
Fcst</c:v>
                </c:pt>
                <c:pt idx="8">
                  <c:v>2028
Fcst</c:v>
                </c:pt>
                <c:pt idx="9">
                  <c:v>2029
Fcst</c:v>
                </c:pt>
              </c:strCache>
            </c:strRef>
          </c:cat>
          <c:val>
            <c:numRef>
              <c:f>'Revenue by type of car'!$H$6:$Q$6</c:f>
              <c:numCache>
                <c:formatCode>_(* #,##0_);_(* \(#,##0\);_(* "-"?_);@_)</c:formatCode>
                <c:ptCount val="10"/>
                <c:pt idx="0">
                  <c:v>7186.6603294200013</c:v>
                </c:pt>
                <c:pt idx="1">
                  <c:v>7474.1267425968017</c:v>
                </c:pt>
                <c:pt idx="2">
                  <c:v>7773.0918123006732</c:v>
                </c:pt>
                <c:pt idx="3">
                  <c:v>8084.0154847927015</c:v>
                </c:pt>
                <c:pt idx="4">
                  <c:v>8407.37610418441</c:v>
                </c:pt>
                <c:pt idx="5">
                  <c:v>8743.6711483517865</c:v>
                </c:pt>
                <c:pt idx="6">
                  <c:v>9093.4179942858573</c:v>
                </c:pt>
                <c:pt idx="7">
                  <c:v>9457.1547140572929</c:v>
                </c:pt>
                <c:pt idx="8">
                  <c:v>9835.4409026195844</c:v>
                </c:pt>
                <c:pt idx="9">
                  <c:v>10228.858538724369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B-4B2F-88EA-096539302D83}"/>
            </c:ext>
          </c:extLst>
        </c:ser>
        <c:ser>
          <c:idx val="2"/>
          <c:order val="2"/>
          <c:tx>
            <c:strRef>
              <c:f>'Revenue by type of car'!$B$7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74B-4B2F-88EA-096539302D8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74B-4B2F-88EA-096539302D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by type of car'!$H$4:$Q$4</c:f>
              <c:strCache>
                <c:ptCount val="10"/>
                <c:pt idx="0">
                  <c:v>2020
Fcst</c:v>
                </c:pt>
                <c:pt idx="1">
                  <c:v>2021
Fcst</c:v>
                </c:pt>
                <c:pt idx="2">
                  <c:v>2022
Fcst</c:v>
                </c:pt>
                <c:pt idx="3">
                  <c:v>2023
Fcst</c:v>
                </c:pt>
                <c:pt idx="4">
                  <c:v>2024
Fcst</c:v>
                </c:pt>
                <c:pt idx="5">
                  <c:v>2025
Fcst</c:v>
                </c:pt>
                <c:pt idx="6">
                  <c:v>2026
Fcst</c:v>
                </c:pt>
                <c:pt idx="7">
                  <c:v>2027
Fcst</c:v>
                </c:pt>
                <c:pt idx="8">
                  <c:v>2028
Fcst</c:v>
                </c:pt>
                <c:pt idx="9">
                  <c:v>2029
Fcst</c:v>
                </c:pt>
              </c:strCache>
            </c:strRef>
          </c:cat>
          <c:val>
            <c:numRef>
              <c:f>'Revenue by type of car'!$H$7:$Q$7</c:f>
              <c:numCache>
                <c:formatCode>_(* #,##0_);_(* \(#,##0\);_(* "-"?_);@_)</c:formatCode>
                <c:ptCount val="10"/>
                <c:pt idx="0">
                  <c:v>109.75608</c:v>
                </c:pt>
                <c:pt idx="1">
                  <c:v>9087.5421000000006</c:v>
                </c:pt>
                <c:pt idx="2">
                  <c:v>18716.709299999999</c:v>
                </c:pt>
                <c:pt idx="3">
                  <c:v>29946.73488</c:v>
                </c:pt>
                <c:pt idx="4">
                  <c:v>32941.408367999997</c:v>
                </c:pt>
                <c:pt idx="5">
                  <c:v>36235.549204800009</c:v>
                </c:pt>
                <c:pt idx="6">
                  <c:v>39134.393141184017</c:v>
                </c:pt>
                <c:pt idx="7">
                  <c:v>42265.144592478726</c:v>
                </c:pt>
                <c:pt idx="8">
                  <c:v>43955.750376177886</c:v>
                </c:pt>
                <c:pt idx="9">
                  <c:v>45713.980391225006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B-4B2F-88EA-096539302D83}"/>
            </c:ext>
          </c:extLst>
        </c:ser>
        <c:ser>
          <c:idx val="3"/>
          <c:order val="3"/>
          <c:tx>
            <c:strRef>
              <c:f>'Revenue by type of car'!$B$8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strRef>
              <c:f>'Revenue by type of car'!$H$4:$Q$4</c:f>
              <c:strCache>
                <c:ptCount val="10"/>
                <c:pt idx="0">
                  <c:v>2020
Fcst</c:v>
                </c:pt>
                <c:pt idx="1">
                  <c:v>2021
Fcst</c:v>
                </c:pt>
                <c:pt idx="2">
                  <c:v>2022
Fcst</c:v>
                </c:pt>
                <c:pt idx="3">
                  <c:v>2023
Fcst</c:v>
                </c:pt>
                <c:pt idx="4">
                  <c:v>2024
Fcst</c:v>
                </c:pt>
                <c:pt idx="5">
                  <c:v>2025
Fcst</c:v>
                </c:pt>
                <c:pt idx="6">
                  <c:v>2026
Fcst</c:v>
                </c:pt>
                <c:pt idx="7">
                  <c:v>2027
Fcst</c:v>
                </c:pt>
                <c:pt idx="8">
                  <c:v>2028
Fcst</c:v>
                </c:pt>
                <c:pt idx="9">
                  <c:v>2029
Fcst</c:v>
                </c:pt>
              </c:strCache>
            </c:strRef>
          </c:cat>
          <c:val>
            <c:numRef>
              <c:f>'Revenue by type of car'!$H$8:$Q$8</c:f>
              <c:numCache>
                <c:formatCode>_(* #,##0_);_(* \(#,##0\);_(* "-"?_);@_)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114.75</c:v>
                </c:pt>
                <c:pt idx="3">
                  <c:v>172.125</c:v>
                </c:pt>
                <c:pt idx="4">
                  <c:v>189.33750000000003</c:v>
                </c:pt>
                <c:pt idx="5">
                  <c:v>208.27125000000007</c:v>
                </c:pt>
                <c:pt idx="6">
                  <c:v>224.93295000000009</c:v>
                </c:pt>
                <c:pt idx="7">
                  <c:v>242.92758600000013</c:v>
                </c:pt>
                <c:pt idx="8">
                  <c:v>252.64468944000012</c:v>
                </c:pt>
                <c:pt idx="9">
                  <c:v>262.75047701760013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B-4B2F-88EA-096539302D83}"/>
            </c:ext>
          </c:extLst>
        </c:ser>
        <c:ser>
          <c:idx val="4"/>
          <c:order val="4"/>
          <c:tx>
            <c:strRef>
              <c:f>'Revenue by type of car'!$B$9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DE-4EC1-966D-E5710818D85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DE-4EC1-966D-E5710818D85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DE-4EC1-966D-E5710818D8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by type of car'!$H$4:$Q$4</c:f>
              <c:strCache>
                <c:ptCount val="10"/>
                <c:pt idx="0">
                  <c:v>2020
Fcst</c:v>
                </c:pt>
                <c:pt idx="1">
                  <c:v>2021
Fcst</c:v>
                </c:pt>
                <c:pt idx="2">
                  <c:v>2022
Fcst</c:v>
                </c:pt>
                <c:pt idx="3">
                  <c:v>2023
Fcst</c:v>
                </c:pt>
                <c:pt idx="4">
                  <c:v>2024
Fcst</c:v>
                </c:pt>
                <c:pt idx="5">
                  <c:v>2025
Fcst</c:v>
                </c:pt>
                <c:pt idx="6">
                  <c:v>2026
Fcst</c:v>
                </c:pt>
                <c:pt idx="7">
                  <c:v>2027
Fcst</c:v>
                </c:pt>
                <c:pt idx="8">
                  <c:v>2028
Fcst</c:v>
                </c:pt>
                <c:pt idx="9">
                  <c:v>2029
Fcst</c:v>
                </c:pt>
              </c:strCache>
            </c:strRef>
          </c:cat>
          <c:val>
            <c:numRef>
              <c:f>'Revenue by type of car'!$H$9:$Q$9</c:f>
              <c:numCache>
                <c:formatCode>_(* #,##0_);_(* \(#,##0\);_(* "-"?_);@_)</c:formatCode>
                <c:ptCount val="10"/>
                <c:pt idx="0">
                  <c:v>0</c:v>
                </c:pt>
                <c:pt idx="1">
                  <c:v>14.891999999999999</c:v>
                </c:pt>
                <c:pt idx="2">
                  <c:v>1233.0221428571429</c:v>
                </c:pt>
                <c:pt idx="3">
                  <c:v>2539.5334353741505</c:v>
                </c:pt>
                <c:pt idx="4">
                  <c:v>4063.2534965986406</c:v>
                </c:pt>
                <c:pt idx="5">
                  <c:v>4469.5788462585051</c:v>
                </c:pt>
                <c:pt idx="6">
                  <c:v>4916.5367308843552</c:v>
                </c:pt>
                <c:pt idx="7">
                  <c:v>5309.8596693551053</c:v>
                </c:pt>
                <c:pt idx="8">
                  <c:v>5734.6484429035136</c:v>
                </c:pt>
                <c:pt idx="9">
                  <c:v>5964.0343806196543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B-4B2F-88EA-096539302D83}"/>
            </c:ext>
          </c:extLst>
        </c:ser>
        <c:ser>
          <c:idx val="5"/>
          <c:order val="5"/>
          <c:tx>
            <c:strRef>
              <c:f>'Revenue by type of car'!$B$10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74B-4B2F-88EA-096539302D8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74B-4B2F-88EA-096539302D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by type of car'!$H$4:$Q$4</c:f>
              <c:strCache>
                <c:ptCount val="10"/>
                <c:pt idx="0">
                  <c:v>2020
Fcst</c:v>
                </c:pt>
                <c:pt idx="1">
                  <c:v>2021
Fcst</c:v>
                </c:pt>
                <c:pt idx="2">
                  <c:v>2022
Fcst</c:v>
                </c:pt>
                <c:pt idx="3">
                  <c:v>2023
Fcst</c:v>
                </c:pt>
                <c:pt idx="4">
                  <c:v>2024
Fcst</c:v>
                </c:pt>
                <c:pt idx="5">
                  <c:v>2025
Fcst</c:v>
                </c:pt>
                <c:pt idx="6">
                  <c:v>2026
Fcst</c:v>
                </c:pt>
                <c:pt idx="7">
                  <c:v>2027
Fcst</c:v>
                </c:pt>
                <c:pt idx="8">
                  <c:v>2028
Fcst</c:v>
                </c:pt>
                <c:pt idx="9">
                  <c:v>2029
Fcst</c:v>
                </c:pt>
              </c:strCache>
            </c:strRef>
          </c:cat>
          <c:val>
            <c:numRef>
              <c:f>'Revenue by type of car'!$H$10:$Q$10</c:f>
              <c:numCache>
                <c:formatCode>_(* #,##0_);_(* \(#,##0\);_(* "-"?_);@_)</c:formatCode>
                <c:ptCount val="10"/>
                <c:pt idx="0">
                  <c:v>0</c:v>
                </c:pt>
                <c:pt idx="1">
                  <c:v>44.625</c:v>
                </c:pt>
                <c:pt idx="2">
                  <c:v>3694.84375</c:v>
                </c:pt>
                <c:pt idx="3">
                  <c:v>7609.9032738095257</c:v>
                </c:pt>
                <c:pt idx="4">
                  <c:v>12175.845238095242</c:v>
                </c:pt>
                <c:pt idx="5">
                  <c:v>13393.429761904767</c:v>
                </c:pt>
                <c:pt idx="6">
                  <c:v>14732.772738095246</c:v>
                </c:pt>
                <c:pt idx="7">
                  <c:v>15911.394557142865</c:v>
                </c:pt>
                <c:pt idx="8">
                  <c:v>17184.306121714297</c:v>
                </c:pt>
                <c:pt idx="9">
                  <c:v>17871.67836658287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B-4B2F-88EA-096539302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4243080"/>
        <c:axId val="614247016"/>
      </c:barChart>
      <c:catAx>
        <c:axId val="61424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7016"/>
        <c:crosses val="autoZero"/>
        <c:auto val="1"/>
        <c:lblAlgn val="ctr"/>
        <c:lblOffset val="100"/>
        <c:noMultiLvlLbl val="0"/>
      </c:catAx>
      <c:valAx>
        <c:axId val="61424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in million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3080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</a:t>
            </a:r>
            <a:r>
              <a:rPr lang="en-US" b="1" baseline="0">
                <a:solidFill>
                  <a:srgbClr val="002060"/>
                </a:solidFill>
              </a:rPr>
              <a:t> from different t</a:t>
            </a:r>
            <a:r>
              <a:rPr lang="en-US" b="1">
                <a:solidFill>
                  <a:srgbClr val="002060"/>
                </a:solidFill>
              </a:rPr>
              <a:t>ypes of vehicles sold:</a:t>
            </a:r>
            <a:r>
              <a:rPr lang="en-US" b="1" baseline="0">
                <a:solidFill>
                  <a:srgbClr val="002060"/>
                </a:solidFill>
              </a:rPr>
              <a:t> 2020 - 2029</a:t>
            </a:r>
            <a:endParaRPr lang="en-US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2.6386962552011076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'Types of vehicles'!$B$14</c:f>
              <c:strCache>
                <c:ptCount val="1"/>
                <c:pt idx="0">
                  <c:v>Car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cat>
            <c:strRef>
              <c:f>'Types of vehicles'!$H$13:$Q$13</c:f>
              <c:strCache>
                <c:ptCount val="10"/>
                <c:pt idx="0">
                  <c:v>2020
Fcst</c:v>
                </c:pt>
                <c:pt idx="1">
                  <c:v>2021
Fcst</c:v>
                </c:pt>
                <c:pt idx="2">
                  <c:v>2022
Fcst</c:v>
                </c:pt>
                <c:pt idx="3">
                  <c:v>2023
Fcst</c:v>
                </c:pt>
                <c:pt idx="4">
                  <c:v>2024
Fcst</c:v>
                </c:pt>
                <c:pt idx="5">
                  <c:v>2025
Fcst</c:v>
                </c:pt>
                <c:pt idx="6">
                  <c:v>2026
Fcst</c:v>
                </c:pt>
                <c:pt idx="7">
                  <c:v>2027
Fcst</c:v>
                </c:pt>
                <c:pt idx="8">
                  <c:v>2028
Fcst</c:v>
                </c:pt>
                <c:pt idx="9">
                  <c:v>2029
Fcst</c:v>
                </c:pt>
              </c:strCache>
            </c:strRef>
          </c:cat>
          <c:val>
            <c:numRef>
              <c:f>'Types of vehicles'!$H$14:$Q$14</c:f>
              <c:numCache>
                <c:formatCode>_(* #,##0_);_(* \(#,##0\);_(* "-"?_);@_)</c:formatCode>
                <c:ptCount val="10"/>
                <c:pt idx="0">
                  <c:v>33883.553108619999</c:v>
                </c:pt>
                <c:pt idx="1">
                  <c:v>45807.519211716804</c:v>
                </c:pt>
                <c:pt idx="2">
                  <c:v>58774.986518332676</c:v>
                </c:pt>
                <c:pt idx="3">
                  <c:v>72946.945603307264</c:v>
                </c:pt>
                <c:pt idx="4">
                  <c:v>79061.717829780129</c:v>
                </c:pt>
                <c:pt idx="5">
                  <c:v>84212.031295051376</c:v>
                </c:pt>
                <c:pt idx="6">
                  <c:v>89038.265365045416</c:v>
                </c:pt>
                <c:pt idx="7">
                  <c:v>94174.169023294598</c:v>
                </c:pt>
                <c:pt idx="8">
                  <c:v>97941.135784226397</c:v>
                </c:pt>
                <c:pt idx="9">
                  <c:v>101858.78121559546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3-4B07-8B65-A759A9F3A214}"/>
            </c:ext>
          </c:extLst>
        </c:ser>
        <c:ser>
          <c:idx val="1"/>
          <c:order val="1"/>
          <c:tx>
            <c:strRef>
              <c:f>'Types of vehicles'!$B$15</c:f>
              <c:strCache>
                <c:ptCount val="1"/>
                <c:pt idx="0">
                  <c:v>Pickup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'Types of vehicles'!$H$13:$Q$13</c:f>
              <c:strCache>
                <c:ptCount val="10"/>
                <c:pt idx="0">
                  <c:v>2020
Fcst</c:v>
                </c:pt>
                <c:pt idx="1">
                  <c:v>2021
Fcst</c:v>
                </c:pt>
                <c:pt idx="2">
                  <c:v>2022
Fcst</c:v>
                </c:pt>
                <c:pt idx="3">
                  <c:v>2023
Fcst</c:v>
                </c:pt>
                <c:pt idx="4">
                  <c:v>2024
Fcst</c:v>
                </c:pt>
                <c:pt idx="5">
                  <c:v>2025
Fcst</c:v>
                </c:pt>
                <c:pt idx="6">
                  <c:v>2026
Fcst</c:v>
                </c:pt>
                <c:pt idx="7">
                  <c:v>2027
Fcst</c:v>
                </c:pt>
                <c:pt idx="8">
                  <c:v>2028
Fcst</c:v>
                </c:pt>
                <c:pt idx="9">
                  <c:v>2029
Fcst</c:v>
                </c:pt>
              </c:strCache>
            </c:strRef>
          </c:cat>
          <c:val>
            <c:numRef>
              <c:f>'Types of vehicles'!$H$15:$Q$15</c:f>
              <c:numCache>
                <c:formatCode>_(* #,##0_);_(* \(#,##0\);_(* "-"?_);@_)</c:formatCode>
                <c:ptCount val="10"/>
                <c:pt idx="0">
                  <c:v>0</c:v>
                </c:pt>
                <c:pt idx="1">
                  <c:v>14.891999999999999</c:v>
                </c:pt>
                <c:pt idx="2">
                  <c:v>1233.0221428571429</c:v>
                </c:pt>
                <c:pt idx="3">
                  <c:v>2539.5334353741505</c:v>
                </c:pt>
                <c:pt idx="4">
                  <c:v>4063.2534965986406</c:v>
                </c:pt>
                <c:pt idx="5">
                  <c:v>4469.5788462585051</c:v>
                </c:pt>
                <c:pt idx="6">
                  <c:v>4916.5367308843552</c:v>
                </c:pt>
                <c:pt idx="7">
                  <c:v>5309.8596693551053</c:v>
                </c:pt>
                <c:pt idx="8">
                  <c:v>5734.6484429035136</c:v>
                </c:pt>
                <c:pt idx="9">
                  <c:v>5964.0343806196543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33-4B07-8B65-A759A9F3A214}"/>
            </c:ext>
          </c:extLst>
        </c:ser>
        <c:ser>
          <c:idx val="2"/>
          <c:order val="2"/>
          <c:tx>
            <c:strRef>
              <c:f>'Types of vehicles'!$B$16</c:f>
              <c:strCache>
                <c:ptCount val="1"/>
                <c:pt idx="0">
                  <c:v>Truck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'Types of vehicles'!$H$13:$Q$13</c:f>
              <c:strCache>
                <c:ptCount val="10"/>
                <c:pt idx="0">
                  <c:v>2020
Fcst</c:v>
                </c:pt>
                <c:pt idx="1">
                  <c:v>2021
Fcst</c:v>
                </c:pt>
                <c:pt idx="2">
                  <c:v>2022
Fcst</c:v>
                </c:pt>
                <c:pt idx="3">
                  <c:v>2023
Fcst</c:v>
                </c:pt>
                <c:pt idx="4">
                  <c:v>2024
Fcst</c:v>
                </c:pt>
                <c:pt idx="5">
                  <c:v>2025
Fcst</c:v>
                </c:pt>
                <c:pt idx="6">
                  <c:v>2026
Fcst</c:v>
                </c:pt>
                <c:pt idx="7">
                  <c:v>2027
Fcst</c:v>
                </c:pt>
                <c:pt idx="8">
                  <c:v>2028
Fcst</c:v>
                </c:pt>
                <c:pt idx="9">
                  <c:v>2029
Fcst</c:v>
                </c:pt>
              </c:strCache>
            </c:strRef>
          </c:cat>
          <c:val>
            <c:numRef>
              <c:f>'Types of vehicles'!$H$16:$Q$16</c:f>
              <c:numCache>
                <c:formatCode>_(* #,##0_);_(* \(#,##0\);_(* "-"?_);@_)</c:formatCode>
                <c:ptCount val="10"/>
                <c:pt idx="0">
                  <c:v>0</c:v>
                </c:pt>
                <c:pt idx="1">
                  <c:v>44.625</c:v>
                </c:pt>
                <c:pt idx="2">
                  <c:v>3694.84375</c:v>
                </c:pt>
                <c:pt idx="3">
                  <c:v>7609.9032738095257</c:v>
                </c:pt>
                <c:pt idx="4">
                  <c:v>12175.845238095242</c:v>
                </c:pt>
                <c:pt idx="5">
                  <c:v>13393.429761904767</c:v>
                </c:pt>
                <c:pt idx="6">
                  <c:v>14732.772738095246</c:v>
                </c:pt>
                <c:pt idx="7">
                  <c:v>15911.394557142865</c:v>
                </c:pt>
                <c:pt idx="8">
                  <c:v>17184.306121714297</c:v>
                </c:pt>
                <c:pt idx="9">
                  <c:v>17871.67836658287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33-4B07-8B65-A759A9F3A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243080"/>
        <c:axId val="614247016"/>
      </c:areaChart>
      <c:catAx>
        <c:axId val="61424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7016"/>
        <c:crosses val="autoZero"/>
        <c:auto val="1"/>
        <c:lblAlgn val="ctr"/>
        <c:lblOffset val="100"/>
        <c:noMultiLvlLbl val="0"/>
      </c:catAx>
      <c:valAx>
        <c:axId val="61424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in million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3080"/>
        <c:crosses val="autoZero"/>
        <c:crossBetween val="midCat"/>
        <c:majorUnit val="2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>
                <a:solidFill>
                  <a:srgbClr val="002060"/>
                </a:solidFill>
              </a:rPr>
              <a:t>Tesla</a:t>
            </a:r>
            <a:r>
              <a:rPr lang="en-US" sz="1000" b="1" baseline="0">
                <a:solidFill>
                  <a:srgbClr val="002060"/>
                </a:solidFill>
              </a:rPr>
              <a:t> profitability: 2015-2029</a:t>
            </a:r>
            <a:endParaRPr lang="en-US" sz="10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4057017543859644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428378401712948E-2"/>
          <c:y val="0.17824074074074073"/>
          <c:w val="0.86747964584196713"/>
          <c:h val="0.588878317293671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Profitability!$B$5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Profitability!$C$4:$Q$4</c:f>
              <c:strCache>
                <c:ptCount val="15"/>
                <c:pt idx="0">
                  <c:v>2015
Act</c:v>
                </c:pt>
                <c:pt idx="1">
                  <c:v>2016
Act</c:v>
                </c:pt>
                <c:pt idx="2">
                  <c:v>2017
Act</c:v>
                </c:pt>
                <c:pt idx="3">
                  <c:v>2018
Act</c:v>
                </c:pt>
                <c:pt idx="4">
                  <c:v>2019
Act</c:v>
                </c:pt>
                <c:pt idx="5">
                  <c:v>2020
Fcst</c:v>
                </c:pt>
                <c:pt idx="6">
                  <c:v>2021
Fcst</c:v>
                </c:pt>
                <c:pt idx="7">
                  <c:v>2022
Fcst</c:v>
                </c:pt>
                <c:pt idx="8">
                  <c:v>2023
Fcst</c:v>
                </c:pt>
                <c:pt idx="9">
                  <c:v>2024
Fcst</c:v>
                </c:pt>
                <c:pt idx="10">
                  <c:v>2025
Fcst</c:v>
                </c:pt>
                <c:pt idx="11">
                  <c:v>2026
Fcst</c:v>
                </c:pt>
                <c:pt idx="12">
                  <c:v>2027
Fcst</c:v>
                </c:pt>
                <c:pt idx="13">
                  <c:v>2028
Fcst</c:v>
                </c:pt>
                <c:pt idx="14">
                  <c:v>2029
Fcst</c:v>
                </c:pt>
              </c:strCache>
            </c:strRef>
          </c:cat>
          <c:val>
            <c:numRef>
              <c:f>Profitability!$C$5:$Q$5</c:f>
              <c:numCache>
                <c:formatCode>_(* #,##0_);_(* \(#,##0\);_(* "-"??_);_(@_)</c:formatCode>
                <c:ptCount val="15"/>
                <c:pt idx="0">
                  <c:v>4046.0250000000001</c:v>
                </c:pt>
                <c:pt idx="1">
                  <c:v>7000.1319999999996</c:v>
                </c:pt>
                <c:pt idx="2">
                  <c:v>11758.751</c:v>
                </c:pt>
                <c:pt idx="3">
                  <c:v>21461.268</c:v>
                </c:pt>
                <c:pt idx="4">
                  <c:v>24578</c:v>
                </c:pt>
                <c:pt idx="5">
                  <c:v>38391.95310862</c:v>
                </c:pt>
                <c:pt idx="6">
                  <c:v>51006.612211716805</c:v>
                </c:pt>
                <c:pt idx="7">
                  <c:v>69356.386011189825</c:v>
                </c:pt>
                <c:pt idx="8">
                  <c:v>89202.198600490941</c:v>
                </c:pt>
                <c:pt idx="9">
                  <c:v>101895.098155514</c:v>
                </c:pt>
                <c:pt idx="10">
                  <c:v>109196.86402153785</c:v>
                </c:pt>
                <c:pt idx="11">
                  <c:v>116379.14488181408</c:v>
                </c:pt>
                <c:pt idx="12">
                  <c:v>123702.31890140475</c:v>
                </c:pt>
                <c:pt idx="13">
                  <c:v>129831.53765258536</c:v>
                </c:pt>
                <c:pt idx="14">
                  <c:v>135383.65705083843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0-4766-AE82-D6428E53E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439181288"/>
        <c:axId val="614219792"/>
      </c:barChart>
      <c:lineChart>
        <c:grouping val="standard"/>
        <c:varyColors val="0"/>
        <c:ser>
          <c:idx val="1"/>
          <c:order val="1"/>
          <c:tx>
            <c:strRef>
              <c:f>Profitability!$B$6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4"/>
              <c:layout>
                <c:manualLayout>
                  <c:x val="-1.7817982456140351E-2"/>
                  <c:y val="9.259259259259217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F1-4978-90E2-423C850A09AC}"/>
                </c:ext>
              </c:extLst>
            </c:dLbl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Profitability!$C$6:$Q$6</c:f>
              <c:numCache>
                <c:formatCode>0.0%</c:formatCode>
                <c:ptCount val="15"/>
                <c:pt idx="0">
                  <c:v>0.22824945471172328</c:v>
                </c:pt>
                <c:pt idx="1">
                  <c:v>0.22846097759299391</c:v>
                </c:pt>
                <c:pt idx="2">
                  <c:v>0.18900706376042839</c:v>
                </c:pt>
                <c:pt idx="3">
                  <c:v>0.18834026954977687</c:v>
                </c:pt>
                <c:pt idx="4">
                  <c:v>0.1655545609895028</c:v>
                </c:pt>
                <c:pt idx="5">
                  <c:v>0.2126002063837287</c:v>
                </c:pt>
                <c:pt idx="6">
                  <c:v>0.20445255775399668</c:v>
                </c:pt>
                <c:pt idx="7">
                  <c:v>0.20058323221579524</c:v>
                </c:pt>
                <c:pt idx="8">
                  <c:v>0.19768427586829454</c:v>
                </c:pt>
                <c:pt idx="9">
                  <c:v>0.19782498667435802</c:v>
                </c:pt>
                <c:pt idx="10">
                  <c:v>0.19701463958669099</c:v>
                </c:pt>
                <c:pt idx="11">
                  <c:v>0.1963611443967275</c:v>
                </c:pt>
                <c:pt idx="12">
                  <c:v>0.19568512609695929</c:v>
                </c:pt>
                <c:pt idx="13">
                  <c:v>0.19530104717788987</c:v>
                </c:pt>
                <c:pt idx="14">
                  <c:v>0.19483638131162317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D90-4766-AE82-D6428E53EC50}"/>
            </c:ext>
          </c:extLst>
        </c:ser>
        <c:ser>
          <c:idx val="2"/>
          <c:order val="2"/>
          <c:tx>
            <c:strRef>
              <c:f>Profitability!$B$7</c:f>
              <c:strCache>
                <c:ptCount val="1"/>
                <c:pt idx="0">
                  <c:v>EBIT%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4"/>
              <c:layout>
                <c:manualLayout>
                  <c:x val="-1.5076754385965114E-2"/>
                  <c:y val="1.8226888305628463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223684210526315E-2"/>
                      <c:h val="5.645851560221638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9F1-4978-90E2-423C850A09AC}"/>
                </c:ext>
              </c:extLst>
            </c:dLbl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Profitability!$C$7:$Q$7</c:f>
              <c:numCache>
                <c:formatCode>0.0%</c:formatCode>
                <c:ptCount val="15"/>
                <c:pt idx="0">
                  <c:v>-0.17711927138364195</c:v>
                </c:pt>
                <c:pt idx="1">
                  <c:v>-9.5332488015940367E-2</c:v>
                </c:pt>
                <c:pt idx="2">
                  <c:v>-0.13879756446921945</c:v>
                </c:pt>
                <c:pt idx="3">
                  <c:v>-1.8082482358451488E-2</c:v>
                </c:pt>
                <c:pt idx="4">
                  <c:v>-2.8073887216209618E-3</c:v>
                </c:pt>
                <c:pt idx="5">
                  <c:v>9.5895460575105215E-2</c:v>
                </c:pt>
                <c:pt idx="6">
                  <c:v>8.7747811945373191E-2</c:v>
                </c:pt>
                <c:pt idx="7">
                  <c:v>8.3878486407171757E-2</c:v>
                </c:pt>
                <c:pt idx="8">
                  <c:v>8.0979530059671068E-2</c:v>
                </c:pt>
                <c:pt idx="9">
                  <c:v>8.1120240865734522E-2</c:v>
                </c:pt>
                <c:pt idx="10">
                  <c:v>8.0309893778067507E-2</c:v>
                </c:pt>
                <c:pt idx="11">
                  <c:v>7.9656398588104027E-2</c:v>
                </c:pt>
                <c:pt idx="12">
                  <c:v>7.8980380288335789E-2</c:v>
                </c:pt>
                <c:pt idx="13">
                  <c:v>7.8596301369266375E-2</c:v>
                </c:pt>
                <c:pt idx="14">
                  <c:v>7.8131635502999702E-2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D90-4766-AE82-D6428E53E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35208"/>
        <c:axId val="614236192"/>
      </c:lineChart>
      <c:catAx>
        <c:axId val="439181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19792"/>
        <c:crosses val="autoZero"/>
        <c:auto val="1"/>
        <c:lblAlgn val="ctr"/>
        <c:lblOffset val="100"/>
        <c:noMultiLvlLbl val="0"/>
      </c:catAx>
      <c:valAx>
        <c:axId val="614219792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9181288"/>
        <c:crosses val="autoZero"/>
        <c:crossBetween val="between"/>
        <c:majorUnit val="20000"/>
      </c:valAx>
      <c:valAx>
        <c:axId val="614236192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35208"/>
        <c:crosses val="max"/>
        <c:crossBetween val="between"/>
        <c:majorUnit val="0.1"/>
      </c:valAx>
      <c:catAx>
        <c:axId val="614235208"/>
        <c:scaling>
          <c:orientation val="minMax"/>
        </c:scaling>
        <c:delete val="1"/>
        <c:axPos val="b"/>
        <c:majorTickMark val="out"/>
        <c:minorTickMark val="none"/>
        <c:tickLblPos val="nextTo"/>
        <c:crossAx val="614236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Tesla: Revenue bridge 2019-2020</cx:v>
        </cx:txData>
      </cx:tx>
      <cx:txPr>
        <a:bodyPr vertOverflow="overflow" horzOverflow="overflow" wrap="square" lIns="0" tIns="0" rIns="0" bIns="0"/>
        <a:lstStyle/>
        <a:p>
          <a:pPr algn="ctr" rtl="0">
            <a:defRPr sz="800" b="0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Tesla: Revenue bridge 2019-2020</a:t>
          </a:r>
        </a:p>
      </cx:txPr>
    </cx:title>
    <cx:plotArea>
      <cx:plotAreaRegion>
        <cx:series layoutId="waterfall" uniqueId="{6DEB2625-9DBE-4B1B-97AC-B30528C36DCF}">
          <cx:dataPt idx="0">
            <cx:spPr>
              <a:solidFill>
                <a:srgbClr val="5B9BD5">
                  <a:lumMod val="50000"/>
                </a:srgbClr>
              </a:solidFill>
            </cx:spPr>
          </cx:dataPt>
          <cx:dataPt idx="7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7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txData>
              <cx:v>$ in million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$ in million</a:t>
              </a:r>
            </a:p>
          </cx:txPr>
        </cx:title>
        <cx:majorGridlines>
          <cx:spPr>
            <a:ln>
              <a:solidFill>
                <a:schemeClr val="accent1">
                  <a:alpha val="1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Tesla: Revenue bridge 2020-2021</cx:v>
        </cx:txData>
      </cx:tx>
      <cx:txPr>
        <a:bodyPr vertOverflow="overflow" horzOverflow="overflow" wrap="square" lIns="0" tIns="0" rIns="0" bIns="0"/>
        <a:lstStyle/>
        <a:p>
          <a:pPr algn="ctr" rtl="0">
            <a:defRPr sz="800" b="0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Tesla: Revenue bridge 2020-2021</a:t>
          </a:r>
        </a:p>
      </cx:txPr>
    </cx:title>
    <cx:plotArea>
      <cx:plotAreaRegion>
        <cx:series layoutId="waterfall" uniqueId="{6DEB2625-9DBE-4B1B-97AC-B30528C36DCF}">
          <cx:dataPt idx="0">
            <cx:spPr>
              <a:solidFill>
                <a:srgbClr val="5B9BD5">
                  <a:lumMod val="50000"/>
                </a:srgbClr>
              </a:solidFill>
            </cx:spPr>
          </cx:dataPt>
          <cx:dataPt idx="7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7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txData>
              <cx:v>$ in million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$ in million</a:t>
              </a:r>
            </a:p>
          </cx:txPr>
        </cx:title>
        <cx:majorGridlines>
          <cx:spPr>
            <a:ln>
              <a:solidFill>
                <a:schemeClr val="accent1">
                  <a:alpha val="1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txData>
          <cx:v>Tesla: Cash flow bridge 2019-2020</cx:v>
        </cx:txData>
      </cx:tx>
      <cx:txPr>
        <a:bodyPr vertOverflow="overflow" horzOverflow="overflow" wrap="square" lIns="0" tIns="0" rIns="0" bIns="0"/>
        <a:lstStyle/>
        <a:p>
          <a:pPr algn="ctr" rtl="0">
            <a:defRPr sz="800" b="0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Tesla: Cash flow bridge 2019-2020</a:t>
          </a:r>
        </a:p>
      </cx:txPr>
    </cx:title>
    <cx:plotArea>
      <cx:plotAreaRegion>
        <cx:series layoutId="waterfall" uniqueId="{6DEB2625-9DBE-4B1B-97AC-B30528C36DCF}">
          <cx:dataPt idx="0">
            <cx:spPr>
              <a:solidFill>
                <a:srgbClr val="002060"/>
              </a:solidFill>
            </cx:spPr>
          </cx:dataPt>
          <cx:dataPt idx="2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5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6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6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txData>
              <cx:v>$ in million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$ in million</a:t>
              </a:r>
            </a:p>
          </cx:txPr>
        </cx:title>
        <cx:majorGridlines>
          <cx:spPr>
            <a:ln>
              <a:solidFill>
                <a:schemeClr val="accent1">
                  <a:alpha val="1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txData>
          <cx:v>Tesla: Cash flow bridge 2028-2029</cx:v>
        </cx:txData>
      </cx:tx>
      <cx:txPr>
        <a:bodyPr vertOverflow="overflow" horzOverflow="overflow" wrap="square" lIns="0" tIns="0" rIns="0" bIns="0"/>
        <a:lstStyle/>
        <a:p>
          <a:pPr algn="ctr" rtl="0">
            <a:defRPr sz="800" b="0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Tesla: Cash flow bridge 2028-2029</a:t>
          </a:r>
        </a:p>
      </cx:txPr>
    </cx:title>
    <cx:plotArea>
      <cx:plotAreaRegion>
        <cx:series layoutId="waterfall" uniqueId="{6DEB2625-9DBE-4B1B-97AC-B30528C36DCF}">
          <cx:dataPt idx="0">
            <cx:spPr>
              <a:solidFill>
                <a:srgbClr val="002060"/>
              </a:solidFill>
            </cx:spPr>
          </cx:dataPt>
          <cx:dataPt idx="3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4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6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6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txData>
              <cx:v>$ in million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$ in million</a:t>
              </a:r>
            </a:p>
          </cx:txPr>
        </cx:title>
        <cx:majorGridlines>
          <cx:spPr>
            <a:ln>
              <a:solidFill>
                <a:schemeClr val="accent1">
                  <a:alpha val="1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title pos="t" align="ctr" overlay="0">
      <cx:tx>
        <cx:txData>
          <cx:v>Tesla: Cash flow bridge 2019-2020</cx:v>
        </cx:txData>
      </cx:tx>
      <cx:txPr>
        <a:bodyPr vertOverflow="overflow" horzOverflow="overflow" wrap="square" lIns="0" tIns="0" rIns="0" bIns="0"/>
        <a:lstStyle/>
        <a:p>
          <a:pPr algn="ctr" rtl="0">
            <a:defRPr sz="800" b="0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Tesla: Cash flow bridge 2019-2020</a:t>
          </a:r>
        </a:p>
      </cx:txPr>
    </cx:title>
    <cx:plotArea>
      <cx:plotAreaRegion>
        <cx:series layoutId="waterfall" uniqueId="{6DEB2625-9DBE-4B1B-97AC-B30528C36DCF}">
          <cx:dataPt idx="0">
            <cx:spPr>
              <a:solidFill>
                <a:srgbClr val="002060"/>
              </a:solidFill>
            </cx:spPr>
          </cx:dataPt>
          <cx:dataPt idx="2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5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6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6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txData>
              <cx:v>$ in million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$ in million</a:t>
              </a:r>
            </a:p>
          </cx:txPr>
        </cx:title>
        <cx:majorGridlines>
          <cx:spPr>
            <a:ln>
              <a:solidFill>
                <a:schemeClr val="accent1">
                  <a:alpha val="1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_xlchart.v1.11</cx:f>
      </cx:numDim>
    </cx:data>
  </cx:chartData>
  <cx:chart>
    <cx:title pos="t" align="ctr" overlay="0">
      <cx:tx>
        <cx:rich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Tesla Inc. - Net Income bridge FY1</a:t>
            </a:r>
            <a:r>
              <a:rPr lang="bg-BG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8</a:t>
            </a: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-FY</a:t>
            </a:r>
            <a:r>
              <a:rPr lang="bg-BG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20</a:t>
            </a:r>
            <a:endPara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rich>
      </cx:tx>
    </cx:title>
    <cx:plotArea>
      <cx:plotAreaRegion>
        <cx:series layoutId="waterfall" uniqueId="{CB559398-49B7-4531-BCA7-5A242B7AD24B}">
          <cx:dataPt idx="0">
            <cx:spPr>
              <a:solidFill>
                <a:srgbClr val="002060"/>
              </a:solidFill>
            </cx:spPr>
          </cx:dataPt>
          <cx:dataPt idx="2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3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4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5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6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7">
            <cx:spPr>
              <a:solidFill>
                <a:srgbClr val="002060"/>
              </a:solidFill>
            </cx:spPr>
          </cx:dataPt>
          <cx:dataPt idx="9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10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11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12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13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subtotals>
              <cx:idx val="0"/>
              <cx:idx val="7"/>
              <cx:idx val="13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bg-BG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$   </a:t>
                </a:r>
                <a:r>
                  <a:rPr lang="en-GB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in million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>
          <cx:spPr>
            <a:ln>
              <a:solidFill>
                <a:schemeClr val="bg1">
                  <a:lumMod val="50000"/>
                  <a:alpha val="1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_xlchart.v1.13</cx:f>
      </cx:numDim>
    </cx:data>
  </cx:chartData>
  <cx:chart>
    <cx:title pos="t" align="ctr" overlay="0">
      <cx:tx>
        <cx:txData>
          <cx:v>Automotive revenue: Price - Volume - Mix Analysis 2018-2019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Automotive revenue: Price - Volume - Mix Analysis 2018-2019</a:t>
          </a:r>
        </a:p>
      </cx:txPr>
    </cx:title>
    <cx:plotArea>
      <cx:plotAreaRegion>
        <cx:series layoutId="waterfall" uniqueId="{8B76356B-CFB7-4987-B7BD-3584810D5857}">
          <cx:dataPt idx="0">
            <cx:spPr>
              <a:solidFill>
                <a:srgbClr val="002060"/>
              </a:solidFill>
            </cx:spPr>
          </cx:dataPt>
          <cx:dataPt idx="1">
            <cx:spPr>
              <a:solidFill>
                <a:srgbClr val="0070C0"/>
              </a:solidFill>
            </cx:spPr>
          </cx:dataPt>
          <cx:dataPt idx="2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3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4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4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800"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GB" sz="8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$ in million</a:t>
                </a:r>
                <a:endParaRPr lang="en-US" sz="8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x:rich>
          </cx:tx>
        </cx:title>
        <cx:majorGridlines>
          <cx:spPr>
            <a:ln>
              <a:solidFill>
                <a:schemeClr val="accent1">
                  <a:alpha val="2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_xlchart.v1.15</cx:f>
      </cx:numDim>
    </cx:data>
  </cx:chartData>
  <cx:chart>
    <cx:title pos="t" align="ctr" overlay="0">
      <cx:tx>
        <cx:txData>
          <cx:v>Automotive revenue: Price - Volume - Mix Analysis 2019-2020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8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Automotive revenue: Price - Volume - Mix Analysis 2019-2020</a:t>
          </a:r>
        </a:p>
      </cx:txPr>
    </cx:title>
    <cx:plotArea>
      <cx:plotAreaRegion>
        <cx:series layoutId="waterfall" uniqueId="{8B76356B-CFB7-4987-B7BD-3584810D5857}">
          <cx:dataPt idx="0">
            <cx:spPr>
              <a:solidFill>
                <a:srgbClr val="002060"/>
              </a:solidFill>
            </cx:spPr>
          </cx:dataPt>
          <cx:dataPt idx="1">
            <cx:spPr>
              <a:solidFill>
                <a:srgbClr val="0070C0"/>
              </a:solidFill>
            </cx:spPr>
          </cx:dataPt>
          <cx:dataPt idx="2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3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4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4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800"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GB" sz="8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$ in million</a:t>
                </a:r>
                <a:endParaRPr lang="en-US" sz="8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x:rich>
          </cx:tx>
        </cx:title>
        <cx:majorGridlines>
          <cx:spPr>
            <a:ln>
              <a:solidFill>
                <a:schemeClr val="accent1">
                  <a:alpha val="2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11</xdr:row>
      <xdr:rowOff>83820</xdr:rowOff>
    </xdr:from>
    <xdr:to>
      <xdr:col>18</xdr:col>
      <xdr:colOff>243840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95A947-05F3-4885-903C-1AE9E4EF8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17</xdr:row>
      <xdr:rowOff>106680</xdr:rowOff>
    </xdr:from>
    <xdr:to>
      <xdr:col>11</xdr:col>
      <xdr:colOff>510540</xdr:colOff>
      <xdr:row>36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F8E367-D47A-4F2E-9106-04911915F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678180</xdr:colOff>
      <xdr:row>9</xdr:row>
      <xdr:rowOff>95250</xdr:rowOff>
    </xdr:from>
    <xdr:to>
      <xdr:col>17</xdr:col>
      <xdr:colOff>38100</xdr:colOff>
      <xdr:row>28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61EE65-1412-4D60-8323-47891ED9B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0</xdr:row>
      <xdr:rowOff>190500</xdr:rowOff>
    </xdr:from>
    <xdr:to>
      <xdr:col>16</xdr:col>
      <xdr:colOff>167640</xdr:colOff>
      <xdr:row>15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DFBB898-9EAB-4BBF-9976-B65A8C7A97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5160" y="190500"/>
              <a:ext cx="8237220" cy="2125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274320</xdr:colOff>
      <xdr:row>16</xdr:row>
      <xdr:rowOff>121920</xdr:rowOff>
    </xdr:from>
    <xdr:to>
      <xdr:col>16</xdr:col>
      <xdr:colOff>167640</xdr:colOff>
      <xdr:row>31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1E5AB44-9AFF-4BC3-96EA-857236955B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5160" y="2491740"/>
              <a:ext cx="8237220" cy="2125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302560</xdr:colOff>
      <xdr:row>1</xdr:row>
      <xdr:rowOff>33618</xdr:rowOff>
    </xdr:from>
    <xdr:to>
      <xdr:col>10</xdr:col>
      <xdr:colOff>156884</xdr:colOff>
      <xdr:row>20</xdr:row>
      <xdr:rowOff>33617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97D6470-52AF-47C8-8134-6ABB3EB84F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394" t="30335" r="38929" b="6391"/>
        <a:stretch/>
      </xdr:blipFill>
      <xdr:spPr>
        <a:xfrm>
          <a:off x="3003178" y="235324"/>
          <a:ext cx="4919382" cy="2980764"/>
        </a:xfrm>
        <a:prstGeom prst="rect">
          <a:avLst/>
        </a:prstGeom>
      </xdr:spPr>
    </xdr:pic>
    <xdr:clientData/>
  </xdr:twoCellAnchor>
  <xdr:twoCellAnchor editAs="oneCell">
    <xdr:from>
      <xdr:col>10</xdr:col>
      <xdr:colOff>123266</xdr:colOff>
      <xdr:row>1</xdr:row>
      <xdr:rowOff>67234</xdr:rowOff>
    </xdr:from>
    <xdr:to>
      <xdr:col>22</xdr:col>
      <xdr:colOff>336177</xdr:colOff>
      <xdr:row>28</xdr:row>
      <xdr:rowOff>22412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AB10731-53EB-478E-9E01-11DDF1F890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506" t="29812" r="33994" b="12889"/>
        <a:stretch/>
      </xdr:blipFill>
      <xdr:spPr>
        <a:xfrm>
          <a:off x="7888942" y="268940"/>
          <a:ext cx="8001000" cy="4191001"/>
        </a:xfrm>
        <a:prstGeom prst="rect">
          <a:avLst/>
        </a:prstGeom>
      </xdr:spPr>
    </xdr:pic>
    <xdr:clientData/>
  </xdr:twoCellAnchor>
  <xdr:twoCellAnchor editAs="oneCell">
    <xdr:from>
      <xdr:col>3</xdr:col>
      <xdr:colOff>246530</xdr:colOff>
      <xdr:row>20</xdr:row>
      <xdr:rowOff>112059</xdr:rowOff>
    </xdr:from>
    <xdr:to>
      <xdr:col>10</xdr:col>
      <xdr:colOff>123266</xdr:colOff>
      <xdr:row>37</xdr:row>
      <xdr:rowOff>145677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1FCE249-87A5-4A8F-9CE7-BAACEE5A7F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1780" t="33552" r="23876" b="9456"/>
        <a:stretch/>
      </xdr:blipFill>
      <xdr:spPr>
        <a:xfrm>
          <a:off x="2947148" y="3294530"/>
          <a:ext cx="4941794" cy="27006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22</xdr:col>
      <xdr:colOff>160020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0652E-16B4-4864-83D3-1071C576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114300</xdr:rowOff>
    </xdr:from>
    <xdr:to>
      <xdr:col>15</xdr:col>
      <xdr:colOff>480060</xdr:colOff>
      <xdr:row>30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0157E-8EE3-4C14-9D4C-293C73545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83820</xdr:rowOff>
    </xdr:from>
    <xdr:to>
      <xdr:col>15</xdr:col>
      <xdr:colOff>312420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D85D3-C473-437B-94C8-400469FC7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0</xdr:row>
      <xdr:rowOff>118110</xdr:rowOff>
    </xdr:from>
    <xdr:to>
      <xdr:col>19</xdr:col>
      <xdr:colOff>160020</xdr:colOff>
      <xdr:row>19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93BF9DD-E731-40F8-B1D8-0D741C4064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05100" y="118110"/>
              <a:ext cx="100203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358140</xdr:colOff>
      <xdr:row>19</xdr:row>
      <xdr:rowOff>125730</xdr:rowOff>
    </xdr:from>
    <xdr:to>
      <xdr:col>19</xdr:col>
      <xdr:colOff>160020</xdr:colOff>
      <xdr:row>38</xdr:row>
      <xdr:rowOff>118110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BD75E2B-AC51-44A0-8536-CFA4CA42C3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05100" y="2929890"/>
              <a:ext cx="100203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0</xdr:row>
      <xdr:rowOff>118110</xdr:rowOff>
    </xdr:from>
    <xdr:to>
      <xdr:col>19</xdr:col>
      <xdr:colOff>160020</xdr:colOff>
      <xdr:row>18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DDEC695-FB3E-4392-9714-331EA9A7D0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05100" y="118110"/>
              <a:ext cx="10020300" cy="2598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358140</xdr:colOff>
      <xdr:row>18</xdr:row>
      <xdr:rowOff>125730</xdr:rowOff>
    </xdr:from>
    <xdr:to>
      <xdr:col>19</xdr:col>
      <xdr:colOff>160020</xdr:colOff>
      <xdr:row>36</xdr:row>
      <xdr:rowOff>118110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EC51C3A-4C7C-46BA-8021-8E87E4F9F6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05100" y="2785110"/>
              <a:ext cx="10020300" cy="2598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0</xdr:row>
      <xdr:rowOff>118110</xdr:rowOff>
    </xdr:from>
    <xdr:to>
      <xdr:col>19</xdr:col>
      <xdr:colOff>160020</xdr:colOff>
      <xdr:row>18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0E6463F-098B-484A-A1F7-F0324042EF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05100" y="118110"/>
              <a:ext cx="10020300" cy="2598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15240</xdr:rowOff>
    </xdr:from>
    <xdr:to>
      <xdr:col>19</xdr:col>
      <xdr:colOff>152400</xdr:colOff>
      <xdr:row>15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5B4F957-2118-4556-B26B-D80786E0DD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66060" y="510540"/>
              <a:ext cx="9951720" cy="2766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9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0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1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2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3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4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5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>
      <selection activeCell="J19" sqref="J19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10" t="s">
        <v>188</v>
      </c>
      <c r="C9" s="90"/>
    </row>
    <row r="10" spans="2:3" ht="50.4" x14ac:dyDescent="0.25">
      <c r="B10" s="10" t="s">
        <v>189</v>
      </c>
      <c r="C10" s="90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07D8-2EE7-44FE-8CF5-9BBCEA245865}">
  <dimension ref="A1"/>
  <sheetViews>
    <sheetView workbookViewId="0"/>
  </sheetViews>
  <sheetFormatPr defaultColWidth="9.109375" defaultRowHeight="11.4" x14ac:dyDescent="0.25"/>
  <cols>
    <col min="1" max="1" width="2" style="7" customWidth="1"/>
    <col min="2" max="3" width="15.109375" style="7" customWidth="1"/>
    <col min="4" max="4" width="2" style="7" customWidth="1"/>
    <col min="5" max="6" width="11.33203125" style="7" bestFit="1" customWidth="1"/>
    <col min="7" max="7" width="9.109375" style="7"/>
    <col min="8" max="8" width="11.44140625" style="7" bestFit="1" customWidth="1"/>
    <col min="9" max="10" width="10.33203125" style="7" customWidth="1"/>
    <col min="11" max="12" width="10.33203125" style="7" bestFit="1" customWidth="1"/>
    <col min="13" max="17" width="10.44140625" style="7" bestFit="1" customWidth="1"/>
    <col min="18" max="16384" width="9.109375" style="7"/>
  </cols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35C4-A3CF-4014-9C0F-0FC78BC8706D}">
  <dimension ref="A1:F25"/>
  <sheetViews>
    <sheetView workbookViewId="0"/>
  </sheetViews>
  <sheetFormatPr defaultColWidth="9.109375" defaultRowHeight="11.4" x14ac:dyDescent="0.25"/>
  <cols>
    <col min="1" max="1" width="2" style="7" customWidth="1"/>
    <col min="2" max="2" width="29.6640625" style="7" bestFit="1" customWidth="1"/>
    <col min="3" max="3" width="23.33203125" style="7" customWidth="1"/>
    <col min="4" max="4" width="11.6640625" style="7" customWidth="1"/>
    <col min="5" max="5" width="10.88671875" style="7" bestFit="1" customWidth="1"/>
    <col min="6" max="6" width="9.109375" style="7"/>
    <col min="7" max="7" width="10.5546875" style="7" bestFit="1" customWidth="1"/>
    <col min="8" max="16384" width="9.109375" style="7"/>
  </cols>
  <sheetData>
    <row r="1" spans="1:6" ht="15.6" x14ac:dyDescent="0.25">
      <c r="A1" s="1"/>
      <c r="B1" s="2" t="s">
        <v>261</v>
      </c>
    </row>
    <row r="2" spans="1:6" ht="15.6" x14ac:dyDescent="0.25">
      <c r="A2" s="1"/>
      <c r="B2" s="2"/>
    </row>
    <row r="3" spans="1:6" x14ac:dyDescent="0.25">
      <c r="B3" s="191" t="s">
        <v>395</v>
      </c>
    </row>
    <row r="5" spans="1:6" x14ac:dyDescent="0.25">
      <c r="F5" s="7" t="s">
        <v>194</v>
      </c>
    </row>
    <row r="6" spans="1:6" ht="12" x14ac:dyDescent="0.25">
      <c r="B6" s="196" t="s">
        <v>387</v>
      </c>
      <c r="C6" s="59" t="s">
        <v>191</v>
      </c>
      <c r="D6" s="59" t="s">
        <v>225</v>
      </c>
    </row>
    <row r="7" spans="1:6" x14ac:dyDescent="0.25">
      <c r="B7" s="7" t="s">
        <v>214</v>
      </c>
      <c r="C7" s="13">
        <v>9600340</v>
      </c>
      <c r="D7" s="13">
        <f>C7</f>
        <v>9600340</v>
      </c>
    </row>
    <row r="8" spans="1:6" x14ac:dyDescent="0.25">
      <c r="B8" s="7" t="s">
        <v>215</v>
      </c>
      <c r="C8" s="13">
        <f>(119+373+1566+1582+2967)*1000</f>
        <v>6607000</v>
      </c>
      <c r="D8" s="13">
        <f t="shared" ref="D8:D11" si="0">C8</f>
        <v>6607000</v>
      </c>
    </row>
    <row r="9" spans="1:6" x14ac:dyDescent="0.25">
      <c r="B9" s="7" t="s">
        <v>216</v>
      </c>
      <c r="C9" s="13">
        <v>4740000</v>
      </c>
      <c r="D9" s="13">
        <f t="shared" si="0"/>
        <v>4740000</v>
      </c>
    </row>
    <row r="10" spans="1:6" x14ac:dyDescent="0.25">
      <c r="B10" s="7" t="s">
        <v>217</v>
      </c>
      <c r="C10" s="13">
        <v>2460000</v>
      </c>
      <c r="D10" s="13">
        <f t="shared" si="0"/>
        <v>2460000</v>
      </c>
    </row>
    <row r="11" spans="1:6" x14ac:dyDescent="0.25">
      <c r="B11" s="7" t="s">
        <v>218</v>
      </c>
      <c r="C11" s="13">
        <v>10700000</v>
      </c>
      <c r="D11" s="13">
        <f t="shared" si="0"/>
        <v>10700000</v>
      </c>
    </row>
    <row r="12" spans="1:6" x14ac:dyDescent="0.25">
      <c r="B12" s="112" t="s">
        <v>219</v>
      </c>
      <c r="C12" s="181" t="s">
        <v>64</v>
      </c>
      <c r="D12" s="181" t="s">
        <v>64</v>
      </c>
    </row>
    <row r="13" spans="1:6" x14ac:dyDescent="0.25">
      <c r="B13" s="112" t="s">
        <v>220</v>
      </c>
      <c r="C13" s="181" t="s">
        <v>64</v>
      </c>
      <c r="D13" s="181" t="s">
        <v>64</v>
      </c>
    </row>
    <row r="14" spans="1:6" x14ac:dyDescent="0.25">
      <c r="B14" s="112" t="s">
        <v>221</v>
      </c>
      <c r="C14" s="181" t="s">
        <v>64</v>
      </c>
      <c r="D14" s="181" t="s">
        <v>64</v>
      </c>
    </row>
    <row r="15" spans="1:6" x14ac:dyDescent="0.25">
      <c r="B15" s="112" t="s">
        <v>222</v>
      </c>
      <c r="C15" s="181" t="s">
        <v>64</v>
      </c>
      <c r="D15" s="181" t="s">
        <v>64</v>
      </c>
    </row>
    <row r="16" spans="1:6" x14ac:dyDescent="0.25">
      <c r="B16" s="112" t="s">
        <v>223</v>
      </c>
      <c r="C16" s="181" t="s">
        <v>64</v>
      </c>
      <c r="D16" s="181" t="s">
        <v>64</v>
      </c>
    </row>
    <row r="17" spans="2:4" x14ac:dyDescent="0.25">
      <c r="B17" s="112" t="s">
        <v>224</v>
      </c>
      <c r="C17" s="181" t="s">
        <v>64</v>
      </c>
      <c r="D17" s="181" t="s">
        <v>64</v>
      </c>
    </row>
    <row r="18" spans="2:4" ht="12" x14ac:dyDescent="0.25">
      <c r="B18" s="8" t="s">
        <v>191</v>
      </c>
      <c r="C18" s="183" t="s">
        <v>64</v>
      </c>
      <c r="D18" s="151">
        <f>AVERAGE(D7:D17)</f>
        <v>6821468</v>
      </c>
    </row>
    <row r="19" spans="2:4" x14ac:dyDescent="0.25">
      <c r="C19" s="182"/>
      <c r="D19" s="182"/>
    </row>
    <row r="22" spans="2:4" ht="12" x14ac:dyDescent="0.25">
      <c r="B22" s="196" t="s">
        <v>391</v>
      </c>
      <c r="C22" s="59"/>
      <c r="D22" s="59"/>
    </row>
    <row r="23" spans="2:4" x14ac:dyDescent="0.25">
      <c r="B23" s="7">
        <v>2020</v>
      </c>
      <c r="D23" s="13">
        <f>Deliveries!H$11</f>
        <v>552108.4</v>
      </c>
    </row>
    <row r="24" spans="2:4" x14ac:dyDescent="0.25">
      <c r="B24" s="7">
        <v>2024</v>
      </c>
      <c r="D24" s="13">
        <f>Deliveries!L$11</f>
        <v>1426736.4517830033</v>
      </c>
    </row>
    <row r="25" spans="2:4" x14ac:dyDescent="0.25">
      <c r="B25" s="7">
        <v>2029</v>
      </c>
      <c r="D25" s="13">
        <f>Deliveries!Q$11</f>
        <v>1860823.6948068424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FEB7F-48C3-4E62-8AE2-B247778DDB16}">
  <dimension ref="B1:G30"/>
  <sheetViews>
    <sheetView showGridLines="0" workbookViewId="0"/>
  </sheetViews>
  <sheetFormatPr defaultColWidth="9.109375" defaultRowHeight="13.2" x14ac:dyDescent="0.25"/>
  <cols>
    <col min="1" max="1" width="2" style="1" customWidth="1"/>
    <col min="2" max="2" width="31.6640625" style="207" bestFit="1" customWidth="1"/>
    <col min="3" max="4" width="10.88671875" style="207" bestFit="1" customWidth="1"/>
    <col min="5" max="5" width="13.44140625" style="207" customWidth="1"/>
    <col min="6" max="6" width="34" style="208" customWidth="1"/>
    <col min="7" max="16384" width="9.109375" style="1"/>
  </cols>
  <sheetData>
    <row r="1" spans="2:6" ht="16.8" x14ac:dyDescent="0.25">
      <c r="B1" s="2" t="s">
        <v>396</v>
      </c>
      <c r="C1" s="1"/>
      <c r="D1" s="1"/>
      <c r="E1" s="1"/>
      <c r="F1" s="202"/>
    </row>
    <row r="2" spans="2:6" ht="16.8" x14ac:dyDescent="0.25">
      <c r="B2" s="1"/>
      <c r="C2" s="1"/>
      <c r="D2" s="1"/>
      <c r="E2" s="1"/>
      <c r="F2" s="202"/>
    </row>
    <row r="3" spans="2:6" x14ac:dyDescent="0.25">
      <c r="B3" s="217" t="s">
        <v>339</v>
      </c>
      <c r="C3" s="218" t="s">
        <v>340</v>
      </c>
      <c r="D3" s="218" t="s">
        <v>341</v>
      </c>
      <c r="E3" s="218" t="s">
        <v>342</v>
      </c>
      <c r="F3" s="219" t="s">
        <v>388</v>
      </c>
    </row>
    <row r="4" spans="2:6" x14ac:dyDescent="0.25">
      <c r="B4" s="203" t="s">
        <v>343</v>
      </c>
      <c r="C4" s="204" t="s">
        <v>344</v>
      </c>
      <c r="D4" s="205">
        <v>39990</v>
      </c>
      <c r="E4" s="205">
        <v>51490</v>
      </c>
      <c r="F4" s="206"/>
    </row>
    <row r="5" spans="2:6" x14ac:dyDescent="0.25">
      <c r="B5" s="203" t="s">
        <v>345</v>
      </c>
      <c r="C5" s="204" t="s">
        <v>346</v>
      </c>
      <c r="D5" s="205">
        <v>48990</v>
      </c>
      <c r="E5" s="205">
        <v>60490</v>
      </c>
      <c r="F5" s="206"/>
    </row>
    <row r="6" spans="2:6" ht="21" customHeight="1" x14ac:dyDescent="0.25">
      <c r="B6" s="203" t="s">
        <v>347</v>
      </c>
      <c r="C6" s="204" t="s">
        <v>346</v>
      </c>
      <c r="D6" s="205">
        <v>56990</v>
      </c>
      <c r="E6" s="205">
        <v>66990</v>
      </c>
      <c r="F6" s="1"/>
    </row>
    <row r="7" spans="2:6" ht="21" customHeight="1" x14ac:dyDescent="0.25">
      <c r="B7" s="224" t="s">
        <v>398</v>
      </c>
      <c r="C7" s="224"/>
      <c r="D7" s="224"/>
      <c r="E7" s="225"/>
      <c r="F7" s="225">
        <f>AVERAGE(D4:E6)</f>
        <v>54156.666666666664</v>
      </c>
    </row>
    <row r="8" spans="2:6" ht="21" customHeight="1" x14ac:dyDescent="0.25">
      <c r="B8" s="203" t="s">
        <v>348</v>
      </c>
      <c r="C8" s="204" t="s">
        <v>349</v>
      </c>
      <c r="D8" s="205">
        <v>79990</v>
      </c>
      <c r="E8" s="205">
        <v>95490</v>
      </c>
      <c r="F8" s="206"/>
    </row>
    <row r="9" spans="2:6" ht="21" customHeight="1" x14ac:dyDescent="0.25">
      <c r="B9" s="203" t="s">
        <v>350</v>
      </c>
      <c r="C9" s="204" t="s">
        <v>351</v>
      </c>
      <c r="D9" s="205">
        <v>99990</v>
      </c>
      <c r="E9" s="205">
        <v>115990</v>
      </c>
      <c r="F9" s="206"/>
    </row>
    <row r="10" spans="2:6" ht="21" customHeight="1" x14ac:dyDescent="0.25">
      <c r="B10" s="203" t="s">
        <v>352</v>
      </c>
      <c r="C10" s="204" t="s">
        <v>353</v>
      </c>
      <c r="D10" s="205">
        <v>84990</v>
      </c>
      <c r="E10" s="205">
        <v>106490</v>
      </c>
      <c r="F10" s="206"/>
    </row>
    <row r="11" spans="2:6" ht="21" customHeight="1" x14ac:dyDescent="0.25">
      <c r="B11" s="203" t="s">
        <v>354</v>
      </c>
      <c r="C11" s="204" t="s">
        <v>355</v>
      </c>
      <c r="D11" s="205">
        <v>104990</v>
      </c>
      <c r="E11" s="205">
        <v>128490</v>
      </c>
      <c r="F11" s="1"/>
    </row>
    <row r="12" spans="2:6" ht="21" customHeight="1" x14ac:dyDescent="0.25">
      <c r="B12" s="224" t="s">
        <v>397</v>
      </c>
      <c r="C12" s="224"/>
      <c r="D12" s="224"/>
      <c r="E12" s="225"/>
      <c r="F12" s="225">
        <f>AVERAGE(D8:E11)</f>
        <v>102052.5</v>
      </c>
    </row>
    <row r="14" spans="2:6" x14ac:dyDescent="0.25">
      <c r="B14" s="220" t="s">
        <v>356</v>
      </c>
      <c r="C14" s="221" t="s">
        <v>341</v>
      </c>
      <c r="D14" s="221" t="s">
        <v>357</v>
      </c>
      <c r="E14" s="222" t="s">
        <v>358</v>
      </c>
      <c r="F14" s="223"/>
    </row>
    <row r="15" spans="2:6" x14ac:dyDescent="0.25">
      <c r="B15" s="203" t="s">
        <v>359</v>
      </c>
      <c r="C15" s="209">
        <v>39900</v>
      </c>
      <c r="D15" s="209">
        <v>76900</v>
      </c>
      <c r="E15" s="210" t="s">
        <v>360</v>
      </c>
      <c r="F15" s="211">
        <f>AVERAGE(C15:D15)</f>
        <v>58400</v>
      </c>
    </row>
    <row r="16" spans="2:6" ht="18" customHeight="1" x14ac:dyDescent="0.25">
      <c r="B16" s="203" t="s">
        <v>361</v>
      </c>
      <c r="C16" s="209">
        <v>48000</v>
      </c>
      <c r="D16" s="209">
        <v>74000</v>
      </c>
      <c r="E16" s="210" t="s">
        <v>362</v>
      </c>
      <c r="F16" s="211">
        <f t="shared" ref="F16:F18" si="0">AVERAGE(C16:D16)</f>
        <v>61000</v>
      </c>
    </row>
    <row r="17" spans="2:7" ht="18" customHeight="1" x14ac:dyDescent="0.25">
      <c r="B17" s="203" t="s">
        <v>363</v>
      </c>
      <c r="C17" s="209">
        <v>200000</v>
      </c>
      <c r="D17" s="209">
        <v>250000</v>
      </c>
      <c r="E17" s="210" t="s">
        <v>364</v>
      </c>
      <c r="F17" s="211">
        <f t="shared" si="0"/>
        <v>225000</v>
      </c>
    </row>
    <row r="18" spans="2:7" ht="18" customHeight="1" x14ac:dyDescent="0.25">
      <c r="B18" s="203" t="s">
        <v>380</v>
      </c>
      <c r="C18" s="209">
        <v>150000</v>
      </c>
      <c r="D18" s="209">
        <v>200000</v>
      </c>
      <c r="E18" s="210" t="s">
        <v>362</v>
      </c>
      <c r="F18" s="211">
        <f t="shared" si="0"/>
        <v>175000</v>
      </c>
    </row>
    <row r="19" spans="2:7" ht="18" customHeight="1" x14ac:dyDescent="0.25"/>
    <row r="24" spans="2:7" ht="16.8" x14ac:dyDescent="0.25">
      <c r="G24" s="202"/>
    </row>
    <row r="25" spans="2:7" ht="16.8" x14ac:dyDescent="0.25">
      <c r="B25" s="212"/>
      <c r="C25" s="213"/>
      <c r="D25" s="213"/>
      <c r="E25" s="213"/>
      <c r="F25" s="207"/>
      <c r="G25" s="202"/>
    </row>
    <row r="26" spans="2:7" ht="16.8" x14ac:dyDescent="0.25">
      <c r="C26" s="214"/>
      <c r="D26" s="214"/>
      <c r="E26" s="214"/>
      <c r="F26" s="207"/>
      <c r="G26" s="202"/>
    </row>
    <row r="27" spans="2:7" ht="16.8" x14ac:dyDescent="0.25">
      <c r="C27" s="214"/>
      <c r="D27" s="214"/>
      <c r="E27" s="214"/>
      <c r="F27" s="207"/>
      <c r="G27" s="202"/>
    </row>
    <row r="28" spans="2:7" x14ac:dyDescent="0.25">
      <c r="F28" s="207"/>
    </row>
    <row r="29" spans="2:7" x14ac:dyDescent="0.25">
      <c r="B29" s="215"/>
    </row>
    <row r="30" spans="2:7" x14ac:dyDescent="0.25">
      <c r="B30" s="216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3312-7F7F-4DE3-86D6-6BD35A28CEEA}">
  <dimension ref="A1:R44"/>
  <sheetViews>
    <sheetView zoomScale="90" zoomScaleNormal="90" workbookViewId="0"/>
  </sheetViews>
  <sheetFormatPr defaultColWidth="9.109375" defaultRowHeight="11.4" x14ac:dyDescent="0.25"/>
  <cols>
    <col min="1" max="1" width="2" style="7" customWidth="1"/>
    <col min="2" max="2" width="15.109375" style="7" customWidth="1"/>
    <col min="3" max="3" width="10.6640625" style="7" customWidth="1"/>
    <col min="4" max="4" width="11.44140625" style="7" customWidth="1"/>
    <col min="5" max="5" width="11" style="7" customWidth="1"/>
    <col min="6" max="7" width="14.5546875" style="7" bestFit="1" customWidth="1"/>
    <col min="8" max="17" width="9.6640625" style="7" customWidth="1"/>
    <col min="18" max="18" width="15.109375" style="7" customWidth="1"/>
    <col min="19" max="19" width="9.109375" style="7"/>
    <col min="20" max="22" width="9.109375" style="7" customWidth="1"/>
    <col min="23" max="16384" width="9.109375" style="7"/>
  </cols>
  <sheetData>
    <row r="1" spans="1:18" ht="15.6" x14ac:dyDescent="0.25">
      <c r="A1" s="1"/>
      <c r="B1" s="2" t="s">
        <v>205</v>
      </c>
      <c r="F1" s="78"/>
      <c r="G1" s="78"/>
      <c r="R1" s="7" t="s">
        <v>75</v>
      </c>
    </row>
    <row r="2" spans="1:18" ht="15.6" x14ac:dyDescent="0.25">
      <c r="A2" s="1"/>
      <c r="B2" s="2"/>
      <c r="C2" s="67"/>
      <c r="D2" s="67"/>
      <c r="E2" s="67"/>
      <c r="F2" s="67"/>
      <c r="G2" s="67"/>
    </row>
    <row r="3" spans="1:18" ht="12" x14ac:dyDescent="0.25">
      <c r="C3" s="226" t="s">
        <v>209</v>
      </c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</row>
    <row r="4" spans="1:18" ht="24" x14ac:dyDescent="0.25">
      <c r="B4" s="33" t="s">
        <v>166</v>
      </c>
      <c r="C4" s="6" t="s">
        <v>46</v>
      </c>
      <c r="D4" s="6" t="s">
        <v>47</v>
      </c>
      <c r="E4" s="6" t="s">
        <v>160</v>
      </c>
      <c r="F4" s="6" t="s">
        <v>333</v>
      </c>
      <c r="G4" s="6" t="s">
        <v>332</v>
      </c>
      <c r="H4" s="87" t="s">
        <v>178</v>
      </c>
      <c r="I4" s="87" t="s">
        <v>179</v>
      </c>
      <c r="J4" s="87" t="s">
        <v>180</v>
      </c>
      <c r="K4" s="87" t="s">
        <v>181</v>
      </c>
      <c r="L4" s="87" t="s">
        <v>256</v>
      </c>
      <c r="M4" s="87" t="s">
        <v>257</v>
      </c>
      <c r="N4" s="87" t="s">
        <v>258</v>
      </c>
      <c r="O4" s="87" t="s">
        <v>259</v>
      </c>
      <c r="P4" s="87" t="s">
        <v>260</v>
      </c>
      <c r="Q4" s="87" t="s">
        <v>337</v>
      </c>
      <c r="R4" s="59" t="s">
        <v>173</v>
      </c>
    </row>
    <row r="5" spans="1:18" ht="13.2" customHeight="1" x14ac:dyDescent="0.25">
      <c r="B5" s="7" t="s">
        <v>169</v>
      </c>
      <c r="C5" s="78"/>
      <c r="D5" s="78"/>
      <c r="E5" s="78">
        <v>88.268788561549911</v>
      </c>
      <c r="F5" s="78">
        <v>8136.4830442748871</v>
      </c>
      <c r="G5" s="78">
        <v>14705.599268864924</v>
      </c>
      <c r="H5" s="79">
        <f>($R5*Deliveries!H5)*H14/1000000</f>
        <v>26587.1366992</v>
      </c>
      <c r="I5" s="79">
        <f>($R5*Deliveries!I5)*I14/1000000</f>
        <v>29245.850369120002</v>
      </c>
      <c r="J5" s="79">
        <f>($R5*Deliveries!J5)*J14/1000000</f>
        <v>32170.435406032004</v>
      </c>
      <c r="K5" s="79">
        <f>($R5*Deliveries!K5)*K14/1000000</f>
        <v>34744.070238514563</v>
      </c>
      <c r="L5" s="79">
        <f>($R5*Deliveries!L5)*L14/1000000</f>
        <v>37523.595857595734</v>
      </c>
      <c r="M5" s="79">
        <f>($R5*Deliveries!M5)*M14/1000000</f>
        <v>39024.539691899576</v>
      </c>
      <c r="N5" s="79">
        <f>($R5*Deliveries!N5)*N14/1000000</f>
        <v>40585.521279575543</v>
      </c>
      <c r="O5" s="79">
        <f>($R5*Deliveries!O5)*O14/1000000</f>
        <v>42208.942130758573</v>
      </c>
      <c r="P5" s="79">
        <f>($R5*Deliveries!P5)*P14/1000000</f>
        <v>43897.299815988925</v>
      </c>
      <c r="Q5" s="79">
        <f>($R5*Deliveries!Q5)*Q14/1000000</f>
        <v>45653.191808628479</v>
      </c>
      <c r="R5" s="77">
        <f>AVERAGE('Average Prices'!D4:E6)</f>
        <v>54156.666666666664</v>
      </c>
    </row>
    <row r="6" spans="1:18" x14ac:dyDescent="0.25">
      <c r="B6" s="7" t="s">
        <v>175</v>
      </c>
      <c r="C6" s="78">
        <v>3740.973</v>
      </c>
      <c r="D6" s="78">
        <v>6350.7659999999996</v>
      </c>
      <c r="E6" s="78">
        <v>9553.0312114384506</v>
      </c>
      <c r="F6" s="78">
        <v>10378.49995572511</v>
      </c>
      <c r="G6" s="78">
        <v>6115.4007311350751</v>
      </c>
      <c r="H6" s="79">
        <f>($R6*Deliveries!H6)*H15/1000000</f>
        <v>7186.6603294200013</v>
      </c>
      <c r="I6" s="79">
        <f>($R6*Deliveries!I6)*I15/1000000</f>
        <v>7474.1267425968017</v>
      </c>
      <c r="J6" s="79">
        <f>($R6*Deliveries!J6)*J15/1000000</f>
        <v>7773.0918123006732</v>
      </c>
      <c r="K6" s="79">
        <f>($R6*Deliveries!K6)*K15/1000000</f>
        <v>8084.0154847927015</v>
      </c>
      <c r="L6" s="79">
        <f>($R6*Deliveries!L6)*L15/1000000</f>
        <v>8407.37610418441</v>
      </c>
      <c r="M6" s="79">
        <f>($R6*Deliveries!M6)*M15/1000000</f>
        <v>8743.6711483517865</v>
      </c>
      <c r="N6" s="79">
        <f>($R6*Deliveries!N6)*N15/1000000</f>
        <v>9093.4179942858573</v>
      </c>
      <c r="O6" s="79">
        <f>($R6*Deliveries!O6)*O15/1000000</f>
        <v>9457.1547140572929</v>
      </c>
      <c r="P6" s="79">
        <f>($R6*Deliveries!P6)*P15/1000000</f>
        <v>9835.4409026195844</v>
      </c>
      <c r="Q6" s="79">
        <f>($R6*Deliveries!Q6)*Q15/1000000</f>
        <v>10228.858538724369</v>
      </c>
      <c r="R6" s="77">
        <f>AVERAGE('Average Prices'!D8:E11)</f>
        <v>102052.5</v>
      </c>
    </row>
    <row r="7" spans="1:18" x14ac:dyDescent="0.25">
      <c r="B7" s="7" t="s">
        <v>170</v>
      </c>
      <c r="C7" s="78">
        <f>($R7*Deliveries!C7)/1000000</f>
        <v>0</v>
      </c>
      <c r="D7" s="78">
        <f>($R7*Deliveries!D7)/1000000</f>
        <v>0</v>
      </c>
      <c r="E7" s="78">
        <f>($R7*Deliveries!E7)/1000000</f>
        <v>0</v>
      </c>
      <c r="F7" s="78">
        <f>($R7*Deliveries!F7)/1000000</f>
        <v>0</v>
      </c>
      <c r="G7" s="78">
        <f>($R7*Deliveries!G7)/1000000</f>
        <v>0</v>
      </c>
      <c r="H7" s="79">
        <f>($R7*Deliveries!H7)*H16/1000000</f>
        <v>109.75608</v>
      </c>
      <c r="I7" s="79">
        <f>($R7*Deliveries!I7)*I16/1000000</f>
        <v>9087.5421000000006</v>
      </c>
      <c r="J7" s="79">
        <f>($R7*Deliveries!J7)*J16/1000000</f>
        <v>18716.709299999999</v>
      </c>
      <c r="K7" s="79">
        <f>($R7*Deliveries!K7)*K16/1000000</f>
        <v>29946.73488</v>
      </c>
      <c r="L7" s="79">
        <f>($R7*Deliveries!L7)*L16/1000000</f>
        <v>32941.408367999997</v>
      </c>
      <c r="M7" s="79">
        <f>($R7*Deliveries!M7)*M16/1000000</f>
        <v>36235.549204800009</v>
      </c>
      <c r="N7" s="79">
        <f>($R7*Deliveries!N7)*N16/1000000</f>
        <v>39134.393141184017</v>
      </c>
      <c r="O7" s="79">
        <f>($R7*Deliveries!O7)*O16/1000000</f>
        <v>42265.144592478726</v>
      </c>
      <c r="P7" s="79">
        <f>($R7*Deliveries!P7)*P16/1000000</f>
        <v>43955.750376177886</v>
      </c>
      <c r="Q7" s="79">
        <f>($R7*Deliveries!Q7)*Q16/1000000</f>
        <v>45713.980391225006</v>
      </c>
      <c r="R7" s="77">
        <f>AVERAGE('Average Prices'!C16:D16)</f>
        <v>61000</v>
      </c>
    </row>
    <row r="8" spans="1:18" x14ac:dyDescent="0.25">
      <c r="B8" s="7" t="s">
        <v>172</v>
      </c>
      <c r="C8" s="78">
        <f>($R8*Deliveries!C8)/1000000</f>
        <v>0</v>
      </c>
      <c r="D8" s="78">
        <f>($R8*Deliveries!D8)/1000000</f>
        <v>0</v>
      </c>
      <c r="E8" s="78">
        <f>($R8*Deliveries!E8)/1000000</f>
        <v>0</v>
      </c>
      <c r="F8" s="78">
        <f>($R8*Deliveries!F8)/1000000</f>
        <v>0</v>
      </c>
      <c r="G8" s="78">
        <f>($R8*Deliveries!G8)/1000000</f>
        <v>0</v>
      </c>
      <c r="H8" s="79">
        <f>($R8*Deliveries!H8)*H17/1000000</f>
        <v>0</v>
      </c>
      <c r="I8" s="79">
        <f>($R8*Deliveries!I8)*I17/1000000</f>
        <v>0</v>
      </c>
      <c r="J8" s="79">
        <f>($R8*Deliveries!J8)*J17/1000000</f>
        <v>114.75</v>
      </c>
      <c r="K8" s="79">
        <f>($R8*Deliveries!K8)*K17/1000000</f>
        <v>172.125</v>
      </c>
      <c r="L8" s="79">
        <f>($R8*Deliveries!L8)*L17/1000000</f>
        <v>189.33750000000003</v>
      </c>
      <c r="M8" s="79">
        <f>($R8*Deliveries!M8)*M17/1000000</f>
        <v>208.27125000000007</v>
      </c>
      <c r="N8" s="79">
        <f>($R8*Deliveries!N8)*N17/1000000</f>
        <v>224.93295000000009</v>
      </c>
      <c r="O8" s="79">
        <f>($R8*Deliveries!O8)*O17/1000000</f>
        <v>242.92758600000013</v>
      </c>
      <c r="P8" s="79">
        <f>($R8*Deliveries!P8)*P17/1000000</f>
        <v>252.64468944000012</v>
      </c>
      <c r="Q8" s="79">
        <f>($R8*Deliveries!Q8)*Q17/1000000</f>
        <v>262.75047701760013</v>
      </c>
      <c r="R8" s="77">
        <f>AVERAGE('Average Prices'!C17:D17)</f>
        <v>225000</v>
      </c>
    </row>
    <row r="9" spans="1:18" x14ac:dyDescent="0.25">
      <c r="B9" s="7" t="s">
        <v>171</v>
      </c>
      <c r="C9" s="78">
        <f>($R9*Deliveries!C9)/1000000</f>
        <v>0</v>
      </c>
      <c r="D9" s="78">
        <f>($R9*Deliveries!D9)/1000000</f>
        <v>0</v>
      </c>
      <c r="E9" s="78">
        <f>($R9*Deliveries!E9)/1000000</f>
        <v>0</v>
      </c>
      <c r="F9" s="78">
        <f>($R9*Deliveries!F9)/1000000</f>
        <v>0</v>
      </c>
      <c r="G9" s="78">
        <f>($R9*Deliveries!G9)/1000000</f>
        <v>0</v>
      </c>
      <c r="H9" s="79">
        <f>($R9*Deliveries!H9)*H18/1000000</f>
        <v>0</v>
      </c>
      <c r="I9" s="79">
        <f>($R9*Deliveries!I9)*I18/1000000</f>
        <v>14.891999999999999</v>
      </c>
      <c r="J9" s="79">
        <f>($R9*Deliveries!J9)*J18/1000000</f>
        <v>1233.0221428571429</v>
      </c>
      <c r="K9" s="79">
        <f>($R9*Deliveries!K9)*K18/1000000</f>
        <v>2539.5334353741505</v>
      </c>
      <c r="L9" s="79">
        <f>($R9*Deliveries!L9)*L18/1000000</f>
        <v>4063.2534965986406</v>
      </c>
      <c r="M9" s="79">
        <f>($R9*Deliveries!M9)*M18/1000000</f>
        <v>4469.5788462585051</v>
      </c>
      <c r="N9" s="79">
        <f>($R9*Deliveries!N9)*N18/1000000</f>
        <v>4916.5367308843552</v>
      </c>
      <c r="O9" s="79">
        <f>($R9*Deliveries!O9)*O18/1000000</f>
        <v>5309.8596693551053</v>
      </c>
      <c r="P9" s="79">
        <f>($R9*Deliveries!P9)*P18/1000000</f>
        <v>5734.6484429035136</v>
      </c>
      <c r="Q9" s="79">
        <f>($R9*Deliveries!Q9)*Q18/1000000</f>
        <v>5964.0343806196543</v>
      </c>
      <c r="R9" s="77">
        <f>AVERAGE('Average Prices'!C15:D15)</f>
        <v>58400</v>
      </c>
    </row>
    <row r="10" spans="1:18" x14ac:dyDescent="0.25">
      <c r="B10" s="7" t="s">
        <v>168</v>
      </c>
      <c r="C10" s="78">
        <f>($R10*Deliveries!C10)/1000000</f>
        <v>0</v>
      </c>
      <c r="D10" s="78">
        <f>($R10*Deliveries!D10)/1000000</f>
        <v>0</v>
      </c>
      <c r="E10" s="78">
        <f>($R10*Deliveries!E10)/1000000</f>
        <v>0</v>
      </c>
      <c r="F10" s="78">
        <f>($R10*Deliveries!F10)/1000000</f>
        <v>0</v>
      </c>
      <c r="G10" s="78">
        <f>($R10*Deliveries!G10)/1000000</f>
        <v>0</v>
      </c>
      <c r="H10" s="79">
        <f>($R10*Deliveries!H10)*H19/1000000</f>
        <v>0</v>
      </c>
      <c r="I10" s="79">
        <f>($R10*Deliveries!I10)*I19/1000000</f>
        <v>44.625</v>
      </c>
      <c r="J10" s="79">
        <f>($R10*Deliveries!J10)*J19/1000000</f>
        <v>3694.84375</v>
      </c>
      <c r="K10" s="79">
        <f>($R10*Deliveries!K10)*K19/1000000</f>
        <v>7609.9032738095257</v>
      </c>
      <c r="L10" s="79">
        <f>($R10*Deliveries!L10)*L19/1000000</f>
        <v>12175.845238095242</v>
      </c>
      <c r="M10" s="79">
        <f>($R10*Deliveries!M10)*M19/1000000</f>
        <v>13393.429761904767</v>
      </c>
      <c r="N10" s="79">
        <f>($R10*Deliveries!N10)*N19/1000000</f>
        <v>14732.772738095246</v>
      </c>
      <c r="O10" s="79">
        <f>($R10*Deliveries!O10)*O19/1000000</f>
        <v>15911.394557142865</v>
      </c>
      <c r="P10" s="79">
        <f>($R10*Deliveries!P10)*P19/1000000</f>
        <v>17184.306121714297</v>
      </c>
      <c r="Q10" s="79">
        <f>($R10*Deliveries!Q10)*Q19/1000000</f>
        <v>17871.67836658287</v>
      </c>
      <c r="R10" s="77">
        <f>AVERAGE('Average Prices'!C18:D18)</f>
        <v>175000</v>
      </c>
    </row>
    <row r="11" spans="1:18" ht="12.6" thickBot="1" x14ac:dyDescent="0.3">
      <c r="B11" s="103" t="s">
        <v>68</v>
      </c>
      <c r="C11" s="110">
        <f>SUM(C5:C10)</f>
        <v>3740.973</v>
      </c>
      <c r="D11" s="110">
        <f t="shared" ref="D11:L11" si="0">SUM(D5:D10)</f>
        <v>6350.7659999999996</v>
      </c>
      <c r="E11" s="110">
        <f t="shared" si="0"/>
        <v>9641.3000000000011</v>
      </c>
      <c r="F11" s="110">
        <f>'P&amp;L Input'!F4/1000</f>
        <v>18514.983</v>
      </c>
      <c r="G11" s="110">
        <f>'P&amp;L Input'!G4/1000</f>
        <v>20821</v>
      </c>
      <c r="H11" s="110">
        <f t="shared" si="0"/>
        <v>33883.553108619999</v>
      </c>
      <c r="I11" s="110">
        <f t="shared" si="0"/>
        <v>45867.036211716804</v>
      </c>
      <c r="J11" s="110">
        <f t="shared" si="0"/>
        <v>63702.852411189822</v>
      </c>
      <c r="K11" s="110">
        <f t="shared" si="0"/>
        <v>83096.38231249094</v>
      </c>
      <c r="L11" s="110">
        <f t="shared" si="0"/>
        <v>95300.816564474007</v>
      </c>
      <c r="M11" s="110">
        <f>SUM(M5:M10)</f>
        <v>102075.03990321465</v>
      </c>
      <c r="N11" s="110">
        <f>SUM(N5:N10)</f>
        <v>108687.57483402501</v>
      </c>
      <c r="O11" s="110">
        <f>SUM(O5:O10)</f>
        <v>115395.42324979257</v>
      </c>
      <c r="P11" s="110">
        <f>SUM(P5:P10)</f>
        <v>120860.09034884421</v>
      </c>
      <c r="Q11" s="110">
        <f>SUM(Q5:Q10)</f>
        <v>125694.49396279798</v>
      </c>
      <c r="R11" s="85"/>
    </row>
    <row r="12" spans="1:18" ht="3" customHeight="1" x14ac:dyDescent="0.25"/>
    <row r="13" spans="1:18" x14ac:dyDescent="0.25">
      <c r="B13" s="80" t="s">
        <v>74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32"/>
    </row>
    <row r="14" spans="1:18" x14ac:dyDescent="0.25">
      <c r="B14" s="81" t="s">
        <v>169</v>
      </c>
      <c r="C14" s="84"/>
      <c r="D14" s="84"/>
      <c r="E14" s="84"/>
      <c r="F14" s="84"/>
      <c r="G14" s="81"/>
      <c r="H14" s="83">
        <f>CHOOSE(Drivers!$C$3,'Revenue automotive'!H22,'Revenue automotive'!H30,'Revenue automotive'!H38)</f>
        <v>1.02</v>
      </c>
      <c r="I14" s="83">
        <f>CHOOSE(Drivers!$C$3,'Revenue automotive'!I22,'Revenue automotive'!I30,'Revenue automotive'!I38)</f>
        <v>1.02</v>
      </c>
      <c r="J14" s="83">
        <f>CHOOSE(Drivers!$C$3,'Revenue automotive'!J22,'Revenue automotive'!J30,'Revenue automotive'!J38)</f>
        <v>1.02</v>
      </c>
      <c r="K14" s="83">
        <f>CHOOSE(Drivers!$C$3,'Revenue automotive'!K22,'Revenue automotive'!K30,'Revenue automotive'!K38)</f>
        <v>1.02</v>
      </c>
      <c r="L14" s="83">
        <f>CHOOSE(Drivers!$C$3,'Revenue automotive'!L22,'Revenue automotive'!L30,'Revenue automotive'!L38)</f>
        <v>1.02</v>
      </c>
      <c r="M14" s="83">
        <f>CHOOSE(Drivers!$C$3,'Revenue automotive'!M22,'Revenue automotive'!M30,'Revenue automotive'!M38)</f>
        <v>1.02</v>
      </c>
      <c r="N14" s="83">
        <f>CHOOSE(Drivers!$C$3,'Revenue automotive'!N22,'Revenue automotive'!N30,'Revenue automotive'!N38)</f>
        <v>1.02</v>
      </c>
      <c r="O14" s="83">
        <f>CHOOSE(Drivers!$C$3,'Revenue automotive'!O22,'Revenue automotive'!O30,'Revenue automotive'!O38)</f>
        <v>1.02</v>
      </c>
      <c r="P14" s="83">
        <f>CHOOSE(Drivers!$C$3,'Revenue automotive'!P22,'Revenue automotive'!P30,'Revenue automotive'!P38)</f>
        <v>1.02</v>
      </c>
      <c r="Q14" s="83">
        <f>CHOOSE(Drivers!$C$3,'Revenue automotive'!Q22,'Revenue automotive'!Q30,'Revenue automotive'!Q38)</f>
        <v>1.02</v>
      </c>
      <c r="R14" s="32"/>
    </row>
    <row r="15" spans="1:18" x14ac:dyDescent="0.25">
      <c r="B15" s="81" t="s">
        <v>175</v>
      </c>
      <c r="C15" s="84"/>
      <c r="D15" s="72"/>
      <c r="E15" s="72"/>
      <c r="F15" s="72"/>
      <c r="G15" s="81"/>
      <c r="H15" s="83">
        <f>CHOOSE(Drivers!$C$3,'Revenue automotive'!H23,'Revenue automotive'!H31,'Revenue automotive'!H39)</f>
        <v>1.02</v>
      </c>
      <c r="I15" s="83">
        <f>CHOOSE(Drivers!$C$3,'Revenue automotive'!I23,'Revenue automotive'!I31,'Revenue automotive'!I39)</f>
        <v>1.02</v>
      </c>
      <c r="J15" s="83">
        <f>CHOOSE(Drivers!$C$3,'Revenue automotive'!J23,'Revenue automotive'!J31,'Revenue automotive'!J39)</f>
        <v>1.02</v>
      </c>
      <c r="K15" s="83">
        <f>CHOOSE(Drivers!$C$3,'Revenue automotive'!K23,'Revenue automotive'!K31,'Revenue automotive'!K39)</f>
        <v>1.02</v>
      </c>
      <c r="L15" s="83">
        <f>CHOOSE(Drivers!$C$3,'Revenue automotive'!L23,'Revenue automotive'!L31,'Revenue automotive'!L39)</f>
        <v>1.02</v>
      </c>
      <c r="M15" s="83">
        <f>CHOOSE(Drivers!$C$3,'Revenue automotive'!M23,'Revenue automotive'!M31,'Revenue automotive'!M39)</f>
        <v>1.02</v>
      </c>
      <c r="N15" s="83">
        <f>CHOOSE(Drivers!$C$3,'Revenue automotive'!N23,'Revenue automotive'!N31,'Revenue automotive'!N39)</f>
        <v>1.02</v>
      </c>
      <c r="O15" s="83">
        <f>CHOOSE(Drivers!$C$3,'Revenue automotive'!O23,'Revenue automotive'!O31,'Revenue automotive'!O39)</f>
        <v>1.02</v>
      </c>
      <c r="P15" s="83">
        <f>CHOOSE(Drivers!$C$3,'Revenue automotive'!P23,'Revenue automotive'!P31,'Revenue automotive'!P39)</f>
        <v>1.02</v>
      </c>
      <c r="Q15" s="83">
        <f>CHOOSE(Drivers!$C$3,'Revenue automotive'!Q23,'Revenue automotive'!Q31,'Revenue automotive'!Q39)</f>
        <v>1.02</v>
      </c>
      <c r="R15" s="32"/>
    </row>
    <row r="16" spans="1:18" x14ac:dyDescent="0.25">
      <c r="B16" s="81" t="s">
        <v>170</v>
      </c>
      <c r="C16" s="84"/>
      <c r="D16" s="84"/>
      <c r="E16" s="84"/>
      <c r="F16" s="84"/>
      <c r="G16" s="81"/>
      <c r="H16" s="83">
        <f>CHOOSE(Drivers!$C$3,'Revenue automotive'!H24,'Revenue automotive'!H32,'Revenue automotive'!H40)</f>
        <v>1.02</v>
      </c>
      <c r="I16" s="83">
        <f>CHOOSE(Drivers!$C$3,'Revenue automotive'!I24,'Revenue automotive'!I32,'Revenue automotive'!I40)</f>
        <v>1.02</v>
      </c>
      <c r="J16" s="83">
        <f>CHOOSE(Drivers!$C$3,'Revenue automotive'!J24,'Revenue automotive'!J32,'Revenue automotive'!J40)</f>
        <v>1.02</v>
      </c>
      <c r="K16" s="83">
        <f>CHOOSE(Drivers!$C$3,'Revenue automotive'!K24,'Revenue automotive'!K32,'Revenue automotive'!K40)</f>
        <v>1.02</v>
      </c>
      <c r="L16" s="83">
        <f>CHOOSE(Drivers!$C$3,'Revenue automotive'!L24,'Revenue automotive'!L32,'Revenue automotive'!L40)</f>
        <v>1.02</v>
      </c>
      <c r="M16" s="83">
        <f>CHOOSE(Drivers!$C$3,'Revenue automotive'!M24,'Revenue automotive'!M32,'Revenue automotive'!M40)</f>
        <v>1.02</v>
      </c>
      <c r="N16" s="83">
        <f>CHOOSE(Drivers!$C$3,'Revenue automotive'!N24,'Revenue automotive'!N32,'Revenue automotive'!N40)</f>
        <v>1.02</v>
      </c>
      <c r="O16" s="83">
        <f>CHOOSE(Drivers!$C$3,'Revenue automotive'!O24,'Revenue automotive'!O32,'Revenue automotive'!O40)</f>
        <v>1.02</v>
      </c>
      <c r="P16" s="83">
        <f>CHOOSE(Drivers!$C$3,'Revenue automotive'!P24,'Revenue automotive'!P32,'Revenue automotive'!P40)</f>
        <v>1.02</v>
      </c>
      <c r="Q16" s="83">
        <f>CHOOSE(Drivers!$C$3,'Revenue automotive'!Q24,'Revenue automotive'!Q32,'Revenue automotive'!Q40)</f>
        <v>1.02</v>
      </c>
      <c r="R16" s="32"/>
    </row>
    <row r="17" spans="2:18" x14ac:dyDescent="0.25">
      <c r="B17" s="81" t="s">
        <v>172</v>
      </c>
      <c r="C17" s="84"/>
      <c r="D17" s="84"/>
      <c r="E17" s="84"/>
      <c r="F17" s="84"/>
      <c r="G17" s="81"/>
      <c r="H17" s="83">
        <f>CHOOSE(Drivers!$C$3,'Revenue automotive'!H25,'Revenue automotive'!H33,'Revenue automotive'!H41)</f>
        <v>1.02</v>
      </c>
      <c r="I17" s="83">
        <f>CHOOSE(Drivers!$C$3,'Revenue automotive'!I25,'Revenue automotive'!I33,'Revenue automotive'!I41)</f>
        <v>1.02</v>
      </c>
      <c r="J17" s="83">
        <f>CHOOSE(Drivers!$C$3,'Revenue automotive'!J25,'Revenue automotive'!J33,'Revenue automotive'!J41)</f>
        <v>1.02</v>
      </c>
      <c r="K17" s="83">
        <f>CHOOSE(Drivers!$C$3,'Revenue automotive'!K25,'Revenue automotive'!K33,'Revenue automotive'!K41)</f>
        <v>1.02</v>
      </c>
      <c r="L17" s="83">
        <f>CHOOSE(Drivers!$C$3,'Revenue automotive'!L25,'Revenue automotive'!L33,'Revenue automotive'!L41)</f>
        <v>1.02</v>
      </c>
      <c r="M17" s="83">
        <f>CHOOSE(Drivers!$C$3,'Revenue automotive'!M25,'Revenue automotive'!M33,'Revenue automotive'!M41)</f>
        <v>1.02</v>
      </c>
      <c r="N17" s="83">
        <f>CHOOSE(Drivers!$C$3,'Revenue automotive'!N25,'Revenue automotive'!N33,'Revenue automotive'!N41)</f>
        <v>1.02</v>
      </c>
      <c r="O17" s="83">
        <f>CHOOSE(Drivers!$C$3,'Revenue automotive'!O25,'Revenue automotive'!O33,'Revenue automotive'!O41)</f>
        <v>1.02</v>
      </c>
      <c r="P17" s="83">
        <f>CHOOSE(Drivers!$C$3,'Revenue automotive'!P25,'Revenue automotive'!P33,'Revenue automotive'!P41)</f>
        <v>1.02</v>
      </c>
      <c r="Q17" s="83">
        <f>CHOOSE(Drivers!$C$3,'Revenue automotive'!Q25,'Revenue automotive'!Q33,'Revenue automotive'!Q41)</f>
        <v>1.02</v>
      </c>
      <c r="R17" s="156"/>
    </row>
    <row r="18" spans="2:18" x14ac:dyDescent="0.25">
      <c r="B18" s="81" t="s">
        <v>171</v>
      </c>
      <c r="C18" s="84"/>
      <c r="D18" s="84"/>
      <c r="E18" s="84"/>
      <c r="F18" s="84"/>
      <c r="G18" s="81"/>
      <c r="H18" s="83">
        <f>CHOOSE(Drivers!$C$3,'Revenue automotive'!H26,'Revenue automotive'!H34,'Revenue automotive'!H42)</f>
        <v>1.02</v>
      </c>
      <c r="I18" s="83">
        <f>CHOOSE(Drivers!$C$3,'Revenue automotive'!I26,'Revenue automotive'!I34,'Revenue automotive'!I42)</f>
        <v>1.02</v>
      </c>
      <c r="J18" s="83">
        <f>CHOOSE(Drivers!$C$3,'Revenue automotive'!J26,'Revenue automotive'!J34,'Revenue automotive'!J42)</f>
        <v>1.02</v>
      </c>
      <c r="K18" s="83">
        <f>CHOOSE(Drivers!$C$3,'Revenue automotive'!K26,'Revenue automotive'!K34,'Revenue automotive'!K42)</f>
        <v>1.02</v>
      </c>
      <c r="L18" s="83">
        <f>CHOOSE(Drivers!$C$3,'Revenue automotive'!L26,'Revenue automotive'!L34,'Revenue automotive'!L42)</f>
        <v>1.02</v>
      </c>
      <c r="M18" s="83">
        <f>CHOOSE(Drivers!$C$3,'Revenue automotive'!M26,'Revenue automotive'!M34,'Revenue automotive'!M42)</f>
        <v>1.02</v>
      </c>
      <c r="N18" s="83">
        <f>CHOOSE(Drivers!$C$3,'Revenue automotive'!N26,'Revenue automotive'!N34,'Revenue automotive'!N42)</f>
        <v>1.02</v>
      </c>
      <c r="O18" s="83">
        <f>CHOOSE(Drivers!$C$3,'Revenue automotive'!O26,'Revenue automotive'!O34,'Revenue automotive'!O42)</f>
        <v>1.02</v>
      </c>
      <c r="P18" s="83">
        <f>CHOOSE(Drivers!$C$3,'Revenue automotive'!P26,'Revenue automotive'!P34,'Revenue automotive'!P42)</f>
        <v>1.02</v>
      </c>
      <c r="Q18" s="83">
        <f>CHOOSE(Drivers!$C$3,'Revenue automotive'!Q26,'Revenue automotive'!Q34,'Revenue automotive'!Q42)</f>
        <v>1.02</v>
      </c>
      <c r="R18" s="32"/>
    </row>
    <row r="19" spans="2:18" x14ac:dyDescent="0.25">
      <c r="B19" s="81" t="s">
        <v>168</v>
      </c>
      <c r="C19" s="84"/>
      <c r="D19" s="84"/>
      <c r="E19" s="84"/>
      <c r="F19" s="84"/>
      <c r="G19" s="81"/>
      <c r="H19" s="83">
        <f>CHOOSE(Drivers!$C$3,'Revenue automotive'!H27,'Revenue automotive'!H35,'Revenue automotive'!H43)</f>
        <v>1.02</v>
      </c>
      <c r="I19" s="83">
        <f>CHOOSE(Drivers!$C$3,'Revenue automotive'!I27,'Revenue automotive'!I35,'Revenue automotive'!I43)</f>
        <v>1.02</v>
      </c>
      <c r="J19" s="83">
        <f>CHOOSE(Drivers!$C$3,'Revenue automotive'!J27,'Revenue automotive'!J35,'Revenue automotive'!J43)</f>
        <v>1.02</v>
      </c>
      <c r="K19" s="83">
        <f>CHOOSE(Drivers!$C$3,'Revenue automotive'!K27,'Revenue automotive'!K35,'Revenue automotive'!K43)</f>
        <v>1.02</v>
      </c>
      <c r="L19" s="83">
        <f>CHOOSE(Drivers!$C$3,'Revenue automotive'!L27,'Revenue automotive'!L35,'Revenue automotive'!L43)</f>
        <v>1.02</v>
      </c>
      <c r="M19" s="83">
        <f>CHOOSE(Drivers!$C$3,'Revenue automotive'!M27,'Revenue automotive'!M35,'Revenue automotive'!M43)</f>
        <v>1.02</v>
      </c>
      <c r="N19" s="83">
        <f>CHOOSE(Drivers!$C$3,'Revenue automotive'!N27,'Revenue automotive'!N35,'Revenue automotive'!N43)</f>
        <v>1.02</v>
      </c>
      <c r="O19" s="83">
        <f>CHOOSE(Drivers!$C$3,'Revenue automotive'!O27,'Revenue automotive'!O35,'Revenue automotive'!O43)</f>
        <v>1.02</v>
      </c>
      <c r="P19" s="83">
        <f>CHOOSE(Drivers!$C$3,'Revenue automotive'!P27,'Revenue automotive'!P35,'Revenue automotive'!P43)</f>
        <v>1.02</v>
      </c>
      <c r="Q19" s="83">
        <f>CHOOSE(Drivers!$C$3,'Revenue automotive'!Q27,'Revenue automotive'!Q35,'Revenue automotive'!Q43)</f>
        <v>1.02</v>
      </c>
      <c r="R19" s="32"/>
    </row>
    <row r="20" spans="2:18" x14ac:dyDescent="0.25">
      <c r="B20" s="81"/>
      <c r="C20" s="84"/>
      <c r="D20" s="84"/>
      <c r="E20" s="84"/>
      <c r="F20" s="84"/>
      <c r="G20" s="81"/>
      <c r="H20" s="84"/>
      <c r="I20" s="82"/>
      <c r="J20" s="82"/>
      <c r="K20" s="82"/>
      <c r="L20" s="82"/>
      <c r="M20" s="82"/>
      <c r="N20" s="82"/>
      <c r="O20" s="82"/>
      <c r="P20" s="82"/>
      <c r="Q20" s="82"/>
      <c r="R20" s="32"/>
    </row>
    <row r="21" spans="2:18" x14ac:dyDescent="0.25">
      <c r="B21" s="80" t="s">
        <v>70</v>
      </c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32"/>
    </row>
    <row r="22" spans="2:18" x14ac:dyDescent="0.25">
      <c r="B22" s="81" t="s">
        <v>169</v>
      </c>
      <c r="C22" s="84"/>
      <c r="D22" s="84"/>
      <c r="E22" s="84"/>
      <c r="F22" s="84"/>
      <c r="G22" s="81"/>
      <c r="H22" s="83">
        <v>1.02</v>
      </c>
      <c r="I22" s="83">
        <v>1.02</v>
      </c>
      <c r="J22" s="83">
        <v>1.02</v>
      </c>
      <c r="K22" s="83">
        <v>1.02</v>
      </c>
      <c r="L22" s="83">
        <v>1.02</v>
      </c>
      <c r="M22" s="83">
        <v>1.02</v>
      </c>
      <c r="N22" s="83">
        <v>1.02</v>
      </c>
      <c r="O22" s="83">
        <v>1.02</v>
      </c>
      <c r="P22" s="83">
        <v>1.02</v>
      </c>
      <c r="Q22" s="83">
        <v>1.02</v>
      </c>
      <c r="R22" s="32"/>
    </row>
    <row r="23" spans="2:18" x14ac:dyDescent="0.25">
      <c r="B23" s="81" t="s">
        <v>175</v>
      </c>
      <c r="C23" s="84"/>
      <c r="D23" s="72"/>
      <c r="E23" s="72"/>
      <c r="F23" s="72"/>
      <c r="G23" s="81"/>
      <c r="H23" s="83">
        <v>1.02</v>
      </c>
      <c r="I23" s="83">
        <v>1.02</v>
      </c>
      <c r="J23" s="83">
        <v>1.02</v>
      </c>
      <c r="K23" s="83">
        <v>1.02</v>
      </c>
      <c r="L23" s="83">
        <v>1.02</v>
      </c>
      <c r="M23" s="83">
        <v>1.02</v>
      </c>
      <c r="N23" s="83">
        <v>1.02</v>
      </c>
      <c r="O23" s="83">
        <v>1.02</v>
      </c>
      <c r="P23" s="83">
        <v>1.02</v>
      </c>
      <c r="Q23" s="83">
        <v>1.02</v>
      </c>
      <c r="R23" s="32"/>
    </row>
    <row r="24" spans="2:18" x14ac:dyDescent="0.25">
      <c r="B24" s="81" t="s">
        <v>170</v>
      </c>
      <c r="C24" s="84"/>
      <c r="D24" s="84"/>
      <c r="E24" s="84"/>
      <c r="F24" s="84"/>
      <c r="G24" s="81"/>
      <c r="H24" s="83">
        <v>1.02</v>
      </c>
      <c r="I24" s="83">
        <v>1.02</v>
      </c>
      <c r="J24" s="83">
        <v>1.02</v>
      </c>
      <c r="K24" s="83">
        <v>1.02</v>
      </c>
      <c r="L24" s="83">
        <v>1.02</v>
      </c>
      <c r="M24" s="83">
        <v>1.02</v>
      </c>
      <c r="N24" s="83">
        <v>1.02</v>
      </c>
      <c r="O24" s="83">
        <v>1.02</v>
      </c>
      <c r="P24" s="83">
        <v>1.02</v>
      </c>
      <c r="Q24" s="83">
        <v>1.02</v>
      </c>
      <c r="R24" s="32"/>
    </row>
    <row r="25" spans="2:18" x14ac:dyDescent="0.25">
      <c r="B25" s="81" t="s">
        <v>172</v>
      </c>
      <c r="C25" s="84"/>
      <c r="D25" s="84"/>
      <c r="E25" s="84"/>
      <c r="F25" s="84"/>
      <c r="G25" s="81"/>
      <c r="H25" s="83">
        <v>1.02</v>
      </c>
      <c r="I25" s="83">
        <v>1.02</v>
      </c>
      <c r="J25" s="83">
        <v>1.02</v>
      </c>
      <c r="K25" s="83">
        <v>1.02</v>
      </c>
      <c r="L25" s="83">
        <v>1.02</v>
      </c>
      <c r="M25" s="83">
        <v>1.02</v>
      </c>
      <c r="N25" s="83">
        <v>1.02</v>
      </c>
      <c r="O25" s="83">
        <v>1.02</v>
      </c>
      <c r="P25" s="83">
        <v>1.02</v>
      </c>
      <c r="Q25" s="83">
        <v>1.02</v>
      </c>
      <c r="R25" s="32"/>
    </row>
    <row r="26" spans="2:18" x14ac:dyDescent="0.25">
      <c r="B26" s="81" t="s">
        <v>171</v>
      </c>
      <c r="C26" s="84"/>
      <c r="D26" s="84"/>
      <c r="E26" s="84"/>
      <c r="F26" s="84"/>
      <c r="G26" s="81"/>
      <c r="H26" s="83">
        <v>1.02</v>
      </c>
      <c r="I26" s="83">
        <v>1.02</v>
      </c>
      <c r="J26" s="83">
        <v>1.02</v>
      </c>
      <c r="K26" s="83">
        <v>1.02</v>
      </c>
      <c r="L26" s="83">
        <v>1.02</v>
      </c>
      <c r="M26" s="83">
        <v>1.02</v>
      </c>
      <c r="N26" s="83">
        <v>1.02</v>
      </c>
      <c r="O26" s="83">
        <v>1.02</v>
      </c>
      <c r="P26" s="83">
        <v>1.02</v>
      </c>
      <c r="Q26" s="83">
        <v>1.02</v>
      </c>
      <c r="R26" s="32"/>
    </row>
    <row r="27" spans="2:18" x14ac:dyDescent="0.25">
      <c r="B27" s="81" t="s">
        <v>168</v>
      </c>
      <c r="C27" s="84"/>
      <c r="D27" s="84"/>
      <c r="E27" s="84"/>
      <c r="F27" s="84"/>
      <c r="G27" s="81"/>
      <c r="H27" s="83">
        <v>1.02</v>
      </c>
      <c r="I27" s="83">
        <v>1.02</v>
      </c>
      <c r="J27" s="83">
        <v>1.02</v>
      </c>
      <c r="K27" s="83">
        <v>1.02</v>
      </c>
      <c r="L27" s="83">
        <v>1.02</v>
      </c>
      <c r="M27" s="83">
        <v>1.02</v>
      </c>
      <c r="N27" s="83">
        <v>1.02</v>
      </c>
      <c r="O27" s="83">
        <v>1.02</v>
      </c>
      <c r="P27" s="83">
        <v>1.02</v>
      </c>
      <c r="Q27" s="83">
        <v>1.02</v>
      </c>
      <c r="R27" s="32"/>
    </row>
    <row r="28" spans="2:18" x14ac:dyDescent="0.25">
      <c r="B28" s="81"/>
      <c r="C28" s="84"/>
      <c r="D28" s="84"/>
      <c r="E28" s="84"/>
      <c r="F28" s="84"/>
      <c r="G28" s="81"/>
      <c r="H28" s="84"/>
      <c r="I28" s="82"/>
      <c r="J28" s="82"/>
      <c r="K28" s="82"/>
      <c r="L28" s="82"/>
      <c r="M28" s="82"/>
      <c r="N28" s="82"/>
      <c r="O28" s="82"/>
      <c r="P28" s="82"/>
      <c r="Q28" s="82"/>
      <c r="R28" s="32"/>
    </row>
    <row r="29" spans="2:18" x14ac:dyDescent="0.25">
      <c r="B29" s="80" t="s">
        <v>71</v>
      </c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32"/>
    </row>
    <row r="30" spans="2:18" x14ac:dyDescent="0.25">
      <c r="B30" s="81" t="s">
        <v>169</v>
      </c>
      <c r="C30" s="84"/>
      <c r="D30" s="84"/>
      <c r="E30" s="84"/>
      <c r="F30" s="84"/>
      <c r="G30" s="81"/>
      <c r="H30" s="83">
        <v>1</v>
      </c>
      <c r="I30" s="83">
        <v>1</v>
      </c>
      <c r="J30" s="83">
        <v>1</v>
      </c>
      <c r="K30" s="83">
        <v>1</v>
      </c>
      <c r="L30" s="83">
        <v>1</v>
      </c>
      <c r="M30" s="83">
        <v>1</v>
      </c>
      <c r="N30" s="83">
        <v>1</v>
      </c>
      <c r="O30" s="83">
        <v>1</v>
      </c>
      <c r="P30" s="83">
        <v>1</v>
      </c>
      <c r="Q30" s="83">
        <v>1</v>
      </c>
      <c r="R30" s="32"/>
    </row>
    <row r="31" spans="2:18" x14ac:dyDescent="0.25">
      <c r="B31" s="81" t="s">
        <v>175</v>
      </c>
      <c r="C31" s="84"/>
      <c r="D31" s="72"/>
      <c r="E31" s="72"/>
      <c r="F31" s="72"/>
      <c r="G31" s="81"/>
      <c r="H31" s="83">
        <v>1</v>
      </c>
      <c r="I31" s="83">
        <v>1</v>
      </c>
      <c r="J31" s="83">
        <v>1</v>
      </c>
      <c r="K31" s="83">
        <v>1</v>
      </c>
      <c r="L31" s="83">
        <v>1</v>
      </c>
      <c r="M31" s="83">
        <v>1</v>
      </c>
      <c r="N31" s="83">
        <v>1</v>
      </c>
      <c r="O31" s="83">
        <v>1</v>
      </c>
      <c r="P31" s="83">
        <v>1</v>
      </c>
      <c r="Q31" s="83">
        <v>1</v>
      </c>
      <c r="R31" s="32"/>
    </row>
    <row r="32" spans="2:18" x14ac:dyDescent="0.25">
      <c r="B32" s="81" t="s">
        <v>170</v>
      </c>
      <c r="C32" s="84"/>
      <c r="D32" s="84"/>
      <c r="E32" s="84"/>
      <c r="F32" s="84"/>
      <c r="G32" s="81"/>
      <c r="H32" s="83">
        <v>1</v>
      </c>
      <c r="I32" s="83">
        <v>1</v>
      </c>
      <c r="J32" s="83">
        <v>1</v>
      </c>
      <c r="K32" s="83">
        <v>1</v>
      </c>
      <c r="L32" s="83">
        <v>1</v>
      </c>
      <c r="M32" s="83">
        <v>1</v>
      </c>
      <c r="N32" s="83">
        <v>1</v>
      </c>
      <c r="O32" s="83">
        <v>1</v>
      </c>
      <c r="P32" s="83">
        <v>1</v>
      </c>
      <c r="Q32" s="83">
        <v>1</v>
      </c>
      <c r="R32" s="32"/>
    </row>
    <row r="33" spans="2:18" x14ac:dyDescent="0.25">
      <c r="B33" s="81" t="s">
        <v>172</v>
      </c>
      <c r="C33" s="84"/>
      <c r="D33" s="84"/>
      <c r="E33" s="84"/>
      <c r="F33" s="84"/>
      <c r="G33" s="81"/>
      <c r="H33" s="83">
        <v>1</v>
      </c>
      <c r="I33" s="83">
        <v>1</v>
      </c>
      <c r="J33" s="83">
        <v>1</v>
      </c>
      <c r="K33" s="83">
        <v>1</v>
      </c>
      <c r="L33" s="83">
        <v>1</v>
      </c>
      <c r="M33" s="83">
        <v>1</v>
      </c>
      <c r="N33" s="83">
        <v>1</v>
      </c>
      <c r="O33" s="83">
        <v>1</v>
      </c>
      <c r="P33" s="83">
        <v>1</v>
      </c>
      <c r="Q33" s="83">
        <v>1</v>
      </c>
      <c r="R33" s="32"/>
    </row>
    <row r="34" spans="2:18" x14ac:dyDescent="0.25">
      <c r="B34" s="81" t="s">
        <v>171</v>
      </c>
      <c r="C34" s="84"/>
      <c r="D34" s="84"/>
      <c r="E34" s="84"/>
      <c r="F34" s="84"/>
      <c r="G34" s="81"/>
      <c r="H34" s="83">
        <v>1</v>
      </c>
      <c r="I34" s="83">
        <v>1</v>
      </c>
      <c r="J34" s="83">
        <v>1</v>
      </c>
      <c r="K34" s="83">
        <v>1</v>
      </c>
      <c r="L34" s="83">
        <v>1</v>
      </c>
      <c r="M34" s="83">
        <v>1</v>
      </c>
      <c r="N34" s="83">
        <v>1</v>
      </c>
      <c r="O34" s="83">
        <v>1</v>
      </c>
      <c r="P34" s="83">
        <v>1</v>
      </c>
      <c r="Q34" s="83">
        <v>1</v>
      </c>
      <c r="R34" s="32"/>
    </row>
    <row r="35" spans="2:18" x14ac:dyDescent="0.25">
      <c r="B35" s="81" t="s">
        <v>168</v>
      </c>
      <c r="C35" s="84"/>
      <c r="D35" s="84"/>
      <c r="E35" s="84"/>
      <c r="F35" s="84"/>
      <c r="G35" s="81"/>
      <c r="H35" s="83">
        <v>1</v>
      </c>
      <c r="I35" s="83">
        <v>1</v>
      </c>
      <c r="J35" s="83">
        <v>1</v>
      </c>
      <c r="K35" s="83">
        <v>1</v>
      </c>
      <c r="L35" s="83">
        <v>1</v>
      </c>
      <c r="M35" s="83">
        <v>1</v>
      </c>
      <c r="N35" s="83">
        <v>1</v>
      </c>
      <c r="O35" s="83">
        <v>1</v>
      </c>
      <c r="P35" s="83">
        <v>1</v>
      </c>
      <c r="Q35" s="83">
        <v>1</v>
      </c>
      <c r="R35" s="32"/>
    </row>
    <row r="36" spans="2:18" x14ac:dyDescent="0.25">
      <c r="B36" s="81"/>
      <c r="C36" s="84"/>
      <c r="D36" s="84"/>
      <c r="E36" s="84"/>
      <c r="F36" s="84"/>
      <c r="G36" s="81"/>
      <c r="H36" s="84"/>
      <c r="I36" s="82"/>
      <c r="J36" s="82"/>
      <c r="K36" s="82"/>
      <c r="L36" s="82"/>
      <c r="M36" s="82"/>
      <c r="N36" s="82"/>
      <c r="O36" s="82"/>
      <c r="P36" s="82"/>
      <c r="Q36" s="82"/>
      <c r="R36" s="32"/>
    </row>
    <row r="37" spans="2:18" x14ac:dyDescent="0.25">
      <c r="B37" s="80" t="s">
        <v>72</v>
      </c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32"/>
    </row>
    <row r="38" spans="2:18" x14ac:dyDescent="0.25">
      <c r="B38" s="81" t="s">
        <v>169</v>
      </c>
      <c r="C38" s="84"/>
      <c r="D38" s="84"/>
      <c r="E38" s="84"/>
      <c r="F38" s="84"/>
      <c r="G38" s="81"/>
      <c r="H38" s="83">
        <v>0.98</v>
      </c>
      <c r="I38" s="83">
        <v>0.98</v>
      </c>
      <c r="J38" s="83">
        <v>0.98</v>
      </c>
      <c r="K38" s="83">
        <v>0.98</v>
      </c>
      <c r="L38" s="83">
        <v>0.98</v>
      </c>
      <c r="M38" s="83">
        <v>0.98</v>
      </c>
      <c r="N38" s="83">
        <v>0.98</v>
      </c>
      <c r="O38" s="83">
        <v>0.98</v>
      </c>
      <c r="P38" s="83">
        <v>0.98</v>
      </c>
      <c r="Q38" s="83">
        <v>0.98</v>
      </c>
      <c r="R38" s="32"/>
    </row>
    <row r="39" spans="2:18" x14ac:dyDescent="0.25">
      <c r="B39" s="81" t="s">
        <v>175</v>
      </c>
      <c r="C39" s="84"/>
      <c r="D39" s="72"/>
      <c r="E39" s="72"/>
      <c r="F39" s="72"/>
      <c r="G39" s="81"/>
      <c r="H39" s="83">
        <v>0.98</v>
      </c>
      <c r="I39" s="83">
        <v>0.98</v>
      </c>
      <c r="J39" s="83">
        <v>0.98</v>
      </c>
      <c r="K39" s="83">
        <v>0.98</v>
      </c>
      <c r="L39" s="83">
        <v>0.98</v>
      </c>
      <c r="M39" s="83">
        <v>0.98</v>
      </c>
      <c r="N39" s="83">
        <v>0.98</v>
      </c>
      <c r="O39" s="83">
        <v>0.98</v>
      </c>
      <c r="P39" s="83">
        <v>0.98</v>
      </c>
      <c r="Q39" s="83">
        <v>0.98</v>
      </c>
      <c r="R39" s="32"/>
    </row>
    <row r="40" spans="2:18" x14ac:dyDescent="0.25">
      <c r="B40" s="81" t="s">
        <v>170</v>
      </c>
      <c r="C40" s="84"/>
      <c r="D40" s="84"/>
      <c r="E40" s="84"/>
      <c r="F40" s="84"/>
      <c r="G40" s="81"/>
      <c r="H40" s="83">
        <v>0.98</v>
      </c>
      <c r="I40" s="83">
        <v>0.98</v>
      </c>
      <c r="J40" s="83">
        <v>0.98</v>
      </c>
      <c r="K40" s="83">
        <v>0.98</v>
      </c>
      <c r="L40" s="83">
        <v>0.98</v>
      </c>
      <c r="M40" s="83">
        <v>0.98</v>
      </c>
      <c r="N40" s="83">
        <v>0.98</v>
      </c>
      <c r="O40" s="83">
        <v>0.98</v>
      </c>
      <c r="P40" s="83">
        <v>0.98</v>
      </c>
      <c r="Q40" s="83">
        <v>0.98</v>
      </c>
      <c r="R40" s="32"/>
    </row>
    <row r="41" spans="2:18" x14ac:dyDescent="0.25">
      <c r="B41" s="81" t="s">
        <v>172</v>
      </c>
      <c r="C41" s="84"/>
      <c r="D41" s="84"/>
      <c r="E41" s="84"/>
      <c r="F41" s="84"/>
      <c r="G41" s="81"/>
      <c r="H41" s="83">
        <v>0.98</v>
      </c>
      <c r="I41" s="83">
        <v>0.98</v>
      </c>
      <c r="J41" s="83">
        <v>0.98</v>
      </c>
      <c r="K41" s="83">
        <v>0.98</v>
      </c>
      <c r="L41" s="83">
        <v>0.98</v>
      </c>
      <c r="M41" s="83">
        <v>0.98</v>
      </c>
      <c r="N41" s="83">
        <v>0.98</v>
      </c>
      <c r="O41" s="83">
        <v>0.98</v>
      </c>
      <c r="P41" s="83">
        <v>0.98</v>
      </c>
      <c r="Q41" s="83">
        <v>0.98</v>
      </c>
      <c r="R41" s="32"/>
    </row>
    <row r="42" spans="2:18" x14ac:dyDescent="0.25">
      <c r="B42" s="81" t="s">
        <v>171</v>
      </c>
      <c r="C42" s="84"/>
      <c r="D42" s="84"/>
      <c r="E42" s="84"/>
      <c r="F42" s="84"/>
      <c r="G42" s="81"/>
      <c r="H42" s="83">
        <v>0.98</v>
      </c>
      <c r="I42" s="83">
        <v>0.98</v>
      </c>
      <c r="J42" s="83">
        <v>0.98</v>
      </c>
      <c r="K42" s="83">
        <v>0.98</v>
      </c>
      <c r="L42" s="83">
        <v>0.98</v>
      </c>
      <c r="M42" s="83">
        <v>0.98</v>
      </c>
      <c r="N42" s="83">
        <v>0.98</v>
      </c>
      <c r="O42" s="83">
        <v>0.98</v>
      </c>
      <c r="P42" s="83">
        <v>0.98</v>
      </c>
      <c r="Q42" s="83">
        <v>0.98</v>
      </c>
      <c r="R42" s="32"/>
    </row>
    <row r="43" spans="2:18" x14ac:dyDescent="0.25">
      <c r="B43" s="81" t="s">
        <v>168</v>
      </c>
      <c r="C43" s="84"/>
      <c r="D43" s="84"/>
      <c r="E43" s="84"/>
      <c r="F43" s="84"/>
      <c r="G43" s="81"/>
      <c r="H43" s="83">
        <v>0.98</v>
      </c>
      <c r="I43" s="83">
        <v>0.98</v>
      </c>
      <c r="J43" s="83">
        <v>0.98</v>
      </c>
      <c r="K43" s="83">
        <v>0.98</v>
      </c>
      <c r="L43" s="83">
        <v>0.98</v>
      </c>
      <c r="M43" s="83">
        <v>0.98</v>
      </c>
      <c r="N43" s="83">
        <v>0.98</v>
      </c>
      <c r="O43" s="83">
        <v>0.98</v>
      </c>
      <c r="P43" s="83">
        <v>0.98</v>
      </c>
      <c r="Q43" s="83">
        <v>0.98</v>
      </c>
      <c r="R43" s="32"/>
    </row>
    <row r="44" spans="2:18" x14ac:dyDescent="0.25">
      <c r="B44" s="81"/>
      <c r="C44" s="84"/>
      <c r="D44" s="84"/>
      <c r="E44" s="84"/>
      <c r="F44" s="84"/>
      <c r="G44" s="81"/>
      <c r="H44" s="84"/>
      <c r="I44" s="82"/>
      <c r="J44" s="82"/>
      <c r="K44" s="82"/>
      <c r="L44" s="82"/>
      <c r="M44" s="82"/>
      <c r="N44" s="82"/>
      <c r="O44" s="82"/>
      <c r="P44" s="82"/>
      <c r="Q44" s="82"/>
      <c r="R44" s="32"/>
    </row>
  </sheetData>
  <mergeCells count="1">
    <mergeCell ref="C3:Q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9868-859F-464E-ADB8-0E029C9E63C1}">
  <dimension ref="A1:I21"/>
  <sheetViews>
    <sheetView workbookViewId="0"/>
  </sheetViews>
  <sheetFormatPr defaultColWidth="9.109375" defaultRowHeight="11.4" x14ac:dyDescent="0.25"/>
  <cols>
    <col min="1" max="1" width="2" style="7" customWidth="1"/>
    <col min="2" max="2" width="17.6640625" style="7" customWidth="1"/>
    <col min="3" max="3" width="33.33203125" style="7" customWidth="1"/>
    <col min="4" max="5" width="9.109375" style="7"/>
    <col min="6" max="6" width="12" style="7" bestFit="1" customWidth="1"/>
    <col min="7" max="7" width="4.5546875" style="7" customWidth="1"/>
    <col min="8" max="16384" width="9.109375" style="7"/>
  </cols>
  <sheetData>
    <row r="1" spans="1:9" ht="15.6" x14ac:dyDescent="0.25">
      <c r="A1" s="1"/>
      <c r="B1" s="2" t="s">
        <v>198</v>
      </c>
    </row>
    <row r="2" spans="1:9" ht="15.6" x14ac:dyDescent="0.25">
      <c r="A2" s="1"/>
      <c r="B2" s="2"/>
    </row>
    <row r="3" spans="1:9" ht="13.2" x14ac:dyDescent="0.25">
      <c r="A3" s="1"/>
      <c r="B3" s="91" t="s">
        <v>394</v>
      </c>
    </row>
    <row r="5" spans="1:9" ht="24" x14ac:dyDescent="0.25">
      <c r="B5" s="33" t="s">
        <v>166</v>
      </c>
      <c r="C5" s="33" t="s">
        <v>190</v>
      </c>
      <c r="D5" s="59" t="s">
        <v>195</v>
      </c>
      <c r="E5" s="59" t="s">
        <v>196</v>
      </c>
      <c r="F5" s="59" t="s">
        <v>197</v>
      </c>
      <c r="G5" s="88"/>
      <c r="H5" s="59" t="s">
        <v>191</v>
      </c>
    </row>
    <row r="6" spans="1:9" x14ac:dyDescent="0.25">
      <c r="B6" s="7" t="s">
        <v>169</v>
      </c>
      <c r="C6" s="7" t="s">
        <v>199</v>
      </c>
      <c r="D6" s="16">
        <v>0.187</v>
      </c>
      <c r="E6" s="16">
        <f>(((155900-134693)/155900)+((160338-136269)/160338))/2</f>
        <v>0.14307181999290131</v>
      </c>
      <c r="F6" s="16">
        <f>(((108187-93164)/108187)+((110412-95011)/110412))/2</f>
        <v>0.13917403294178585</v>
      </c>
      <c r="G6" s="88"/>
      <c r="H6" s="199">
        <f>C16</f>
        <v>0.2234438823353104</v>
      </c>
      <c r="I6" s="7" t="s">
        <v>379</v>
      </c>
    </row>
    <row r="7" spans="1:9" x14ac:dyDescent="0.25">
      <c r="B7" s="7" t="s">
        <v>175</v>
      </c>
      <c r="C7" s="7" t="s">
        <v>200</v>
      </c>
      <c r="D7" s="93">
        <f>((13620/91682)+(13928/85846))/2</f>
        <v>0.15540049350548607</v>
      </c>
      <c r="E7" s="93">
        <f>((33067/167362)+(29165/172745))/2</f>
        <v>0.18320518912380251</v>
      </c>
      <c r="F7" s="93">
        <v>0.17199999999999999</v>
      </c>
      <c r="G7" s="88"/>
      <c r="H7" s="199">
        <f>C17</f>
        <v>0.2234438823353104</v>
      </c>
      <c r="I7" s="7" t="s">
        <v>379</v>
      </c>
    </row>
    <row r="8" spans="1:9" x14ac:dyDescent="0.25">
      <c r="B8" s="7" t="s">
        <v>170</v>
      </c>
      <c r="C8" s="7" t="s">
        <v>199</v>
      </c>
      <c r="D8" s="16">
        <v>0.187</v>
      </c>
      <c r="E8" s="16">
        <f>(((155900-134693)/155900)+((160338-136269)/160338))/2</f>
        <v>0.14307181999290131</v>
      </c>
      <c r="F8" s="16">
        <f>(((108187-93164)/108187)+((110412-95011)/110412))/2</f>
        <v>0.13917403294178585</v>
      </c>
      <c r="G8" s="88"/>
      <c r="H8" s="92">
        <f t="shared" ref="H8:H11" si="0">AVERAGE(D8:F8)</f>
        <v>0.15641528431156237</v>
      </c>
      <c r="I8" s="7" t="s">
        <v>192</v>
      </c>
    </row>
    <row r="9" spans="1:9" x14ac:dyDescent="0.25">
      <c r="B9" s="7" t="s">
        <v>172</v>
      </c>
      <c r="C9" s="7" t="s">
        <v>201</v>
      </c>
      <c r="D9" s="16">
        <f>(((24214-15670)/24214)+((25786-16328)/25786))/2</f>
        <v>0.35982095031010847</v>
      </c>
      <c r="E9" s="93">
        <v>0.44</v>
      </c>
      <c r="F9" s="16">
        <f>(((3766-1805)/3766)+((3420-1623)/3420))/2</f>
        <v>0.52307511343414292</v>
      </c>
      <c r="G9" s="88"/>
      <c r="H9" s="92">
        <f t="shared" si="0"/>
        <v>0.44096535458141711</v>
      </c>
      <c r="I9" s="7" t="s">
        <v>192</v>
      </c>
    </row>
    <row r="10" spans="1:9" x14ac:dyDescent="0.25">
      <c r="B10" s="7" t="s">
        <v>171</v>
      </c>
      <c r="C10" s="7" t="s">
        <v>199</v>
      </c>
      <c r="D10" s="16">
        <f>D6</f>
        <v>0.187</v>
      </c>
      <c r="E10" s="16">
        <f>E6</f>
        <v>0.14307181999290131</v>
      </c>
      <c r="F10" s="16">
        <f>F6</f>
        <v>0.13917403294178585</v>
      </c>
      <c r="G10" s="88"/>
      <c r="H10" s="92">
        <f t="shared" si="0"/>
        <v>0.15641528431156237</v>
      </c>
      <c r="I10" s="7" t="s">
        <v>192</v>
      </c>
    </row>
    <row r="11" spans="1:9" x14ac:dyDescent="0.25">
      <c r="B11" s="7" t="s">
        <v>168</v>
      </c>
      <c r="C11" s="7" t="s">
        <v>202</v>
      </c>
      <c r="D11" s="16">
        <v>0.23</v>
      </c>
      <c r="E11" s="16">
        <v>0.23</v>
      </c>
      <c r="F11" s="16">
        <f>(((24120-20556)/24120)+((22139-18925)/22139))/2</f>
        <v>0.14646743472213888</v>
      </c>
      <c r="G11" s="88"/>
      <c r="H11" s="92">
        <f t="shared" si="0"/>
        <v>0.2021558115740463</v>
      </c>
      <c r="I11" s="7" t="s">
        <v>192</v>
      </c>
    </row>
    <row r="13" spans="1:9" x14ac:dyDescent="0.25">
      <c r="B13" s="7" t="s">
        <v>193</v>
      </c>
    </row>
    <row r="14" spans="1:9" x14ac:dyDescent="0.25">
      <c r="F14" s="7" t="s">
        <v>194</v>
      </c>
    </row>
    <row r="15" spans="1:9" ht="12" x14ac:dyDescent="0.25">
      <c r="B15" s="33" t="s">
        <v>166</v>
      </c>
      <c r="C15" s="33" t="s">
        <v>392</v>
      </c>
    </row>
    <row r="16" spans="1:9" x14ac:dyDescent="0.25">
      <c r="B16" s="7" t="s">
        <v>169</v>
      </c>
      <c r="C16" s="100">
        <f>AVERAGE('P&amp;L Input'!F29:G29)</f>
        <v>0.2234438823353104</v>
      </c>
    </row>
    <row r="17" spans="2:3" x14ac:dyDescent="0.25">
      <c r="B17" s="7" t="s">
        <v>175</v>
      </c>
      <c r="C17" s="100">
        <f>AVERAGE('P&amp;L Input'!F29:G29)</f>
        <v>0.2234438823353104</v>
      </c>
    </row>
    <row r="18" spans="2:3" x14ac:dyDescent="0.25">
      <c r="B18" s="7" t="s">
        <v>170</v>
      </c>
      <c r="C18" s="88" t="s">
        <v>64</v>
      </c>
    </row>
    <row r="19" spans="2:3" x14ac:dyDescent="0.25">
      <c r="B19" s="7" t="s">
        <v>172</v>
      </c>
      <c r="C19" s="88" t="s">
        <v>64</v>
      </c>
    </row>
    <row r="20" spans="2:3" x14ac:dyDescent="0.25">
      <c r="B20" s="7" t="s">
        <v>171</v>
      </c>
      <c r="C20" s="88" t="s">
        <v>64</v>
      </c>
    </row>
    <row r="21" spans="2:3" x14ac:dyDescent="0.25">
      <c r="B21" s="7" t="s">
        <v>168</v>
      </c>
      <c r="C21" s="88" t="s">
        <v>64</v>
      </c>
    </row>
  </sheetData>
  <pageMargins left="0.7" right="0.7" top="0.75" bottom="0.75" header="0.3" footer="0.3"/>
  <pageSetup orientation="portrait" r:id="rId1"/>
  <ignoredErrors>
    <ignoredError sqref="E7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D4F3-D3B3-4DDE-B126-1DBAF579A708}">
  <dimension ref="A1:Q44"/>
  <sheetViews>
    <sheetView workbookViewId="0"/>
  </sheetViews>
  <sheetFormatPr defaultColWidth="9.109375" defaultRowHeight="11.4" x14ac:dyDescent="0.25"/>
  <cols>
    <col min="1" max="1" width="2" style="7" customWidth="1"/>
    <col min="2" max="2" width="15.109375" style="7" customWidth="1"/>
    <col min="3" max="4" width="11.33203125" style="7" bestFit="1" customWidth="1"/>
    <col min="5" max="5" width="9.109375" style="7"/>
    <col min="6" max="6" width="11.44140625" style="7" bestFit="1" customWidth="1"/>
    <col min="7" max="7" width="10.33203125" style="7" customWidth="1"/>
    <col min="8" max="8" width="10.33203125" style="7" bestFit="1" customWidth="1"/>
    <col min="9" max="12" width="10.44140625" style="7" bestFit="1" customWidth="1"/>
    <col min="13" max="16384" width="9.109375" style="7"/>
  </cols>
  <sheetData>
    <row r="1" spans="1:17" ht="15.6" x14ac:dyDescent="0.25">
      <c r="A1" s="1"/>
      <c r="B1" s="2" t="s">
        <v>76</v>
      </c>
    </row>
    <row r="2" spans="1:17" ht="15.6" x14ac:dyDescent="0.25">
      <c r="A2" s="1"/>
      <c r="B2" s="2"/>
    </row>
    <row r="3" spans="1:17" ht="12" x14ac:dyDescent="0.25">
      <c r="C3" s="226" t="s">
        <v>204</v>
      </c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</row>
    <row r="4" spans="1:17" ht="24" x14ac:dyDescent="0.25">
      <c r="B4" s="33" t="s">
        <v>166</v>
      </c>
      <c r="C4" s="6" t="s">
        <v>46</v>
      </c>
      <c r="D4" s="6" t="s">
        <v>47</v>
      </c>
      <c r="E4" s="6" t="s">
        <v>160</v>
      </c>
      <c r="F4" s="6" t="s">
        <v>333</v>
      </c>
      <c r="G4" s="6" t="s">
        <v>332</v>
      </c>
      <c r="H4" s="87" t="s">
        <v>178</v>
      </c>
      <c r="I4" s="87" t="s">
        <v>179</v>
      </c>
      <c r="J4" s="87" t="s">
        <v>180</v>
      </c>
      <c r="K4" s="87" t="s">
        <v>181</v>
      </c>
      <c r="L4" s="87" t="s">
        <v>256</v>
      </c>
      <c r="M4" s="87" t="s">
        <v>257</v>
      </c>
      <c r="N4" s="87" t="s">
        <v>258</v>
      </c>
      <c r="O4" s="87" t="s">
        <v>259</v>
      </c>
      <c r="P4" s="87" t="s">
        <v>260</v>
      </c>
      <c r="Q4" s="87" t="s">
        <v>337</v>
      </c>
    </row>
    <row r="5" spans="1:17" x14ac:dyDescent="0.25">
      <c r="B5" s="7" t="s">
        <v>169</v>
      </c>
      <c r="C5" s="67" t="s">
        <v>64</v>
      </c>
      <c r="D5" s="67" t="s">
        <v>64</v>
      </c>
      <c r="E5" s="67" t="s">
        <v>64</v>
      </c>
      <c r="F5" s="67" t="s">
        <v>64</v>
      </c>
      <c r="G5" s="67" t="s">
        <v>64</v>
      </c>
      <c r="H5" s="79">
        <f>H14*'Revenue automotive'!H5</f>
        <v>6339.5400947368571</v>
      </c>
      <c r="I5" s="79">
        <f>I14*'Revenue automotive'!I5</f>
        <v>6973.4941042105438</v>
      </c>
      <c r="J5" s="79">
        <f>J14*'Revenue automotive'!J5</f>
        <v>7670.8435146315987</v>
      </c>
      <c r="K5" s="79">
        <f>K14*'Revenue automotive'!K5</f>
        <v>8284.5109958021258</v>
      </c>
      <c r="L5" s="79">
        <f>L14*'Revenue automotive'!L5</f>
        <v>8947.2718754662983</v>
      </c>
      <c r="M5" s="79">
        <f>M14*'Revenue automotive'!M5</f>
        <v>9305.162750484953</v>
      </c>
      <c r="N5" s="79">
        <f>N14*'Revenue automotive'!N5</f>
        <v>9677.369260504347</v>
      </c>
      <c r="O5" s="79">
        <f>O14*'Revenue automotive'!O5</f>
        <v>10064.464030924522</v>
      </c>
      <c r="P5" s="79">
        <f>P14*'Revenue automotive'!P5</f>
        <v>10467.042592161506</v>
      </c>
      <c r="Q5" s="79">
        <f>Q14*'Revenue automotive'!Q5</f>
        <v>10885.724295847966</v>
      </c>
    </row>
    <row r="6" spans="1:17" x14ac:dyDescent="0.25">
      <c r="B6" s="7" t="s">
        <v>175</v>
      </c>
      <c r="C6" s="67" t="s">
        <v>64</v>
      </c>
      <c r="D6" s="67" t="s">
        <v>64</v>
      </c>
      <c r="E6" s="67" t="s">
        <v>64</v>
      </c>
      <c r="F6" s="67" t="s">
        <v>64</v>
      </c>
      <c r="G6" s="67" t="s">
        <v>64</v>
      </c>
      <c r="H6" s="79">
        <f>H15*'Revenue automotive'!H6</f>
        <v>1713.6151899720658</v>
      </c>
      <c r="I6" s="79">
        <f>I15*'Revenue automotive'!I6</f>
        <v>1782.1597975709485</v>
      </c>
      <c r="J6" s="79">
        <f>J15*'Revenue automotive'!J6</f>
        <v>1853.4461894737863</v>
      </c>
      <c r="K6" s="79">
        <f>K15*'Revenue automotive'!K6</f>
        <v>1927.584037052738</v>
      </c>
      <c r="L6" s="79">
        <f>L15*'Revenue automotive'!L6</f>
        <v>2004.6873985348477</v>
      </c>
      <c r="M6" s="79">
        <f>M15*'Revenue automotive'!M6</f>
        <v>2084.8748944762415</v>
      </c>
      <c r="N6" s="79">
        <f>N15*'Revenue automotive'!N6</f>
        <v>2168.2698902552911</v>
      </c>
      <c r="O6" s="79">
        <f>O15*'Revenue automotive'!O6</f>
        <v>2255.0006858655033</v>
      </c>
      <c r="P6" s="79">
        <f>P15*'Revenue automotive'!P6</f>
        <v>2345.200713300123</v>
      </c>
      <c r="Q6" s="79">
        <f>Q15*'Revenue automotive'!Q6</f>
        <v>2439.0087418321286</v>
      </c>
    </row>
    <row r="7" spans="1:17" x14ac:dyDescent="0.25">
      <c r="B7" s="7" t="s">
        <v>170</v>
      </c>
      <c r="C7" s="67">
        <v>0</v>
      </c>
      <c r="D7" s="67">
        <v>0</v>
      </c>
      <c r="E7" s="67">
        <v>0</v>
      </c>
      <c r="F7" s="67">
        <v>0</v>
      </c>
      <c r="G7" s="78">
        <f>G16*'Revenue automotive'!G7</f>
        <v>0</v>
      </c>
      <c r="H7" s="79">
        <f>H16*'Revenue automotive'!H7</f>
        <v>18.813869658122584</v>
      </c>
      <c r="I7" s="79">
        <f>I16*'Revenue automotive'!I7</f>
        <v>1557.7436127647927</v>
      </c>
      <c r="J7" s="79">
        <f>J16*'Revenue automotive'!J7</f>
        <v>3208.3300460363635</v>
      </c>
      <c r="K7" s="79">
        <f>K16*'Revenue automotive'!K7</f>
        <v>5133.3280736581819</v>
      </c>
      <c r="L7" s="79">
        <f>L16*'Revenue automotive'!L7</f>
        <v>5646.6608810239995</v>
      </c>
      <c r="M7" s="79">
        <f>M16*'Revenue automotive'!M7</f>
        <v>6211.3269691264022</v>
      </c>
      <c r="N7" s="79">
        <f>N16*'Revenue automotive'!N7</f>
        <v>6708.2331266565152</v>
      </c>
      <c r="O7" s="79">
        <f>O16*'Revenue automotive'!O7</f>
        <v>7244.8917767890343</v>
      </c>
      <c r="P7" s="79">
        <f>P16*'Revenue automotive'!P7</f>
        <v>7534.6874478605978</v>
      </c>
      <c r="Q7" s="79">
        <f>Q16*'Revenue automotive'!Q7</f>
        <v>7836.0749457750226</v>
      </c>
    </row>
    <row r="8" spans="1:17" x14ac:dyDescent="0.25">
      <c r="B8" s="7" t="s">
        <v>172</v>
      </c>
      <c r="C8" s="67">
        <v>0</v>
      </c>
      <c r="D8" s="67">
        <v>0</v>
      </c>
      <c r="E8" s="67">
        <v>0</v>
      </c>
      <c r="F8" s="67">
        <v>0</v>
      </c>
      <c r="G8" s="78">
        <f>G17*'Revenue automotive'!G8</f>
        <v>0</v>
      </c>
      <c r="H8" s="79">
        <f>H17*'Revenue automotive'!H8</f>
        <v>0</v>
      </c>
      <c r="I8" s="79">
        <f>I17*'Revenue automotive'!I8</f>
        <v>0</v>
      </c>
      <c r="J8" s="79">
        <f>J17*'Revenue automotive'!J8</f>
        <v>52.322024438217618</v>
      </c>
      <c r="K8" s="79">
        <f>K17*'Revenue automotive'!K8</f>
        <v>78.483036657326423</v>
      </c>
      <c r="L8" s="79">
        <f>L17*'Revenue automotive'!L8</f>
        <v>86.331340323059081</v>
      </c>
      <c r="M8" s="79">
        <f>M17*'Revenue automotive'!M8</f>
        <v>94.964474355364999</v>
      </c>
      <c r="N8" s="79">
        <f>N17*'Revenue automotive'!N8</f>
        <v>102.56163230379421</v>
      </c>
      <c r="O8" s="79">
        <f>O17*'Revenue automotive'!O8</f>
        <v>110.76656288809777</v>
      </c>
      <c r="P8" s="79">
        <f>P17*'Revenue automotive'!P8</f>
        <v>115.19722540362167</v>
      </c>
      <c r="Q8" s="79">
        <f>Q17*'Revenue automotive'!Q8</f>
        <v>119.80511441976654</v>
      </c>
    </row>
    <row r="9" spans="1:17" x14ac:dyDescent="0.25">
      <c r="B9" s="7" t="s">
        <v>171</v>
      </c>
      <c r="C9" s="67">
        <v>0</v>
      </c>
      <c r="D9" s="67">
        <v>0</v>
      </c>
      <c r="E9" s="67">
        <v>0</v>
      </c>
      <c r="F9" s="67">
        <v>0</v>
      </c>
      <c r="G9" s="78">
        <f>G18*'Revenue automotive'!G9</f>
        <v>0</v>
      </c>
      <c r="H9" s="79">
        <f>H18*'Revenue automotive'!H9</f>
        <v>0</v>
      </c>
      <c r="I9" s="79">
        <f>I18*'Revenue automotive'!I9</f>
        <v>2.5527164139677869</v>
      </c>
      <c r="J9" s="79">
        <f>J18*'Revenue automotive'!J9</f>
        <v>211.35884118030904</v>
      </c>
      <c r="K9" s="79">
        <f>K18*'Revenue automotive'!K9</f>
        <v>435.31484584337875</v>
      </c>
      <c r="L9" s="79">
        <f>L18*'Revenue automotive'!L9</f>
        <v>696.503753349406</v>
      </c>
      <c r="M9" s="79">
        <f>M18*'Revenue automotive'!M9</f>
        <v>766.15412868434669</v>
      </c>
      <c r="N9" s="79">
        <f>N18*'Revenue automotive'!N9</f>
        <v>842.76954155278122</v>
      </c>
      <c r="O9" s="79">
        <f>O18*'Revenue automotive'!O9</f>
        <v>910.19110487700402</v>
      </c>
      <c r="P9" s="79">
        <f>P18*'Revenue automotive'!P9</f>
        <v>983.0063932671643</v>
      </c>
      <c r="Q9" s="79">
        <f>Q18*'Revenue automotive'!Q9</f>
        <v>1022.326648997851</v>
      </c>
    </row>
    <row r="10" spans="1:17" x14ac:dyDescent="0.25">
      <c r="B10" s="7" t="s">
        <v>168</v>
      </c>
      <c r="C10" s="67">
        <v>0</v>
      </c>
      <c r="D10" s="67">
        <v>0</v>
      </c>
      <c r="E10" s="67">
        <v>0</v>
      </c>
      <c r="F10" s="67">
        <v>0</v>
      </c>
      <c r="G10" s="78">
        <f>G19*'Revenue automotive'!G10</f>
        <v>0</v>
      </c>
      <c r="H10" s="79">
        <f>H19*'Revenue automotive'!H10</f>
        <v>0</v>
      </c>
      <c r="I10" s="79">
        <f>I19*'Revenue automotive'!I10</f>
        <v>9.6905780914918154</v>
      </c>
      <c r="J10" s="79">
        <f>J19*'Revenue automotive'!J10</f>
        <v>802.35679317054257</v>
      </c>
      <c r="K10" s="79">
        <f>K19*'Revenue automotive'!K10</f>
        <v>1652.5347214240994</v>
      </c>
      <c r="L10" s="79">
        <f>L19*'Revenue automotive'!L10</f>
        <v>2644.0555542785592</v>
      </c>
      <c r="M10" s="79">
        <f>M19*'Revenue automotive'!M10</f>
        <v>2908.4611097064153</v>
      </c>
      <c r="N10" s="79">
        <f>N19*'Revenue automotive'!N10</f>
        <v>3199.3072206770571</v>
      </c>
      <c r="O10" s="79">
        <f>O19*'Revenue automotive'!O10</f>
        <v>3455.2517983312218</v>
      </c>
      <c r="P10" s="79">
        <f>P19*'Revenue automotive'!P10</f>
        <v>3731.67194219772</v>
      </c>
      <c r="Q10" s="79">
        <f>Q19*'Revenue automotive'!Q10</f>
        <v>3880.9388198856291</v>
      </c>
    </row>
    <row r="11" spans="1:17" ht="12.6" thickBot="1" x14ac:dyDescent="0.3">
      <c r="B11" s="103" t="s">
        <v>68</v>
      </c>
      <c r="C11" s="110">
        <f>('P&amp;L Input'!C4+'P&amp;L Input'!C8)/1000</f>
        <v>917.67100000000005</v>
      </c>
      <c r="D11" s="110">
        <f>('P&amp;L Input'!D4+'P&amp;L Input'!D8)/1000</f>
        <v>1600.6849999999999</v>
      </c>
      <c r="E11" s="110">
        <f>('P&amp;L Input'!E4+'P&amp;L Input'!E8)/1000</f>
        <v>2208.596</v>
      </c>
      <c r="F11" s="110">
        <f>('P&amp;L Input'!F4+'P&amp;L Input'!F8)/1000</f>
        <v>4340.9859999999999</v>
      </c>
      <c r="G11" s="110">
        <f>('P&amp;L Input'!G4+'P&amp;L Input'!G8)/1000</f>
        <v>4423</v>
      </c>
      <c r="H11" s="110">
        <f t="shared" ref="H11:L11" si="0">SUM(H5:H10)</f>
        <v>8071.9691543670451</v>
      </c>
      <c r="I11" s="110">
        <f t="shared" si="0"/>
        <v>10325.640809051743</v>
      </c>
      <c r="J11" s="110">
        <f>SUM(J5:J10)</f>
        <v>13798.657408930816</v>
      </c>
      <c r="K11" s="110">
        <f t="shared" si="0"/>
        <v>17511.75571043785</v>
      </c>
      <c r="L11" s="110">
        <f t="shared" si="0"/>
        <v>20025.510802976172</v>
      </c>
      <c r="M11" s="110">
        <f>SUM(M5:M10)</f>
        <v>21370.944326833724</v>
      </c>
      <c r="N11" s="110">
        <f>SUM(N5:N10)</f>
        <v>22698.510671949785</v>
      </c>
      <c r="O11" s="110">
        <f>SUM(O5:O10)</f>
        <v>24040.565959675383</v>
      </c>
      <c r="P11" s="110">
        <f>SUM(P5:P10)</f>
        <v>25176.806314190737</v>
      </c>
      <c r="Q11" s="110">
        <f>SUM(Q5:Q10)</f>
        <v>26183.878566758365</v>
      </c>
    </row>
    <row r="12" spans="1:17" ht="3" customHeight="1" x14ac:dyDescent="0.25"/>
    <row r="13" spans="1:17" x14ac:dyDescent="0.25">
      <c r="B13" s="80" t="s">
        <v>74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1:17" x14ac:dyDescent="0.25">
      <c r="B14" s="81" t="s">
        <v>169</v>
      </c>
      <c r="C14" s="84"/>
      <c r="D14" s="84"/>
      <c r="E14" s="84"/>
      <c r="F14" s="84"/>
      <c r="G14" s="83">
        <f>CHOOSE(Drivers!$C$3,'GP automotive'!G22,'GP automotive'!G30,'GP automotive'!G38)</f>
        <v>0.23844388233531039</v>
      </c>
      <c r="H14" s="83">
        <f>CHOOSE(Drivers!$C$3,'GP automotive'!H22,'GP automotive'!H30,'GP automotive'!H38)</f>
        <v>0.23844388233531039</v>
      </c>
      <c r="I14" s="83">
        <f>CHOOSE(Drivers!$C$3,'GP automotive'!I22,'GP automotive'!I30,'GP automotive'!I38)</f>
        <v>0.23844388233531039</v>
      </c>
      <c r="J14" s="83">
        <f>CHOOSE(Drivers!$C$3,'GP automotive'!J22,'GP automotive'!J30,'GP automotive'!J38)</f>
        <v>0.23844388233531039</v>
      </c>
      <c r="K14" s="83">
        <f>CHOOSE(Drivers!$C$3,'GP automotive'!K22,'GP automotive'!K30,'GP automotive'!K38)</f>
        <v>0.23844388233531039</v>
      </c>
      <c r="L14" s="83">
        <f>CHOOSE(Drivers!$C$3,'GP automotive'!L22,'GP automotive'!L30,'GP automotive'!L38)</f>
        <v>0.23844388233531039</v>
      </c>
      <c r="M14" s="83">
        <f>CHOOSE(Drivers!$C$3,'GP automotive'!M22,'GP automotive'!M30,'GP automotive'!M38)</f>
        <v>0.23844388233531039</v>
      </c>
      <c r="N14" s="83">
        <f>CHOOSE(Drivers!$C$3,'GP automotive'!N22,'GP automotive'!N30,'GP automotive'!N38)</f>
        <v>0.23844388233531039</v>
      </c>
      <c r="O14" s="83">
        <f>CHOOSE(Drivers!$C$3,'GP automotive'!O22,'GP automotive'!O30,'GP automotive'!O38)</f>
        <v>0.23844388233531039</v>
      </c>
      <c r="P14" s="83">
        <f>CHOOSE(Drivers!$C$3,'GP automotive'!P22,'GP automotive'!P30,'GP automotive'!P38)</f>
        <v>0.23844388233531039</v>
      </c>
      <c r="Q14" s="83">
        <f>CHOOSE(Drivers!$C$3,'GP automotive'!Q22,'GP automotive'!Q30,'GP automotive'!Q38)</f>
        <v>0.23844388233531039</v>
      </c>
    </row>
    <row r="15" spans="1:17" x14ac:dyDescent="0.25">
      <c r="B15" s="81" t="s">
        <v>175</v>
      </c>
      <c r="C15" s="84"/>
      <c r="D15" s="72"/>
      <c r="E15" s="72"/>
      <c r="F15" s="72"/>
      <c r="G15" s="83">
        <f>CHOOSE(Drivers!$C$3,'GP automotive'!G23,'GP automotive'!G31,'GP automotive'!G39)</f>
        <v>0.23844388233531039</v>
      </c>
      <c r="H15" s="83">
        <f>CHOOSE(Drivers!$C$3,'GP automotive'!H23,'GP automotive'!H31,'GP automotive'!H39)</f>
        <v>0.23844388233531039</v>
      </c>
      <c r="I15" s="83">
        <f>CHOOSE(Drivers!$C$3,'GP automotive'!I23,'GP automotive'!I31,'GP automotive'!I39)</f>
        <v>0.23844388233531039</v>
      </c>
      <c r="J15" s="83">
        <f>CHOOSE(Drivers!$C$3,'GP automotive'!J23,'GP automotive'!J31,'GP automotive'!J39)</f>
        <v>0.23844388233531039</v>
      </c>
      <c r="K15" s="83">
        <f>CHOOSE(Drivers!$C$3,'GP automotive'!K23,'GP automotive'!K31,'GP automotive'!K39)</f>
        <v>0.23844388233531039</v>
      </c>
      <c r="L15" s="83">
        <f>CHOOSE(Drivers!$C$3,'GP automotive'!L23,'GP automotive'!L31,'GP automotive'!L39)</f>
        <v>0.23844388233531039</v>
      </c>
      <c r="M15" s="83">
        <f>CHOOSE(Drivers!$C$3,'GP automotive'!M23,'GP automotive'!M31,'GP automotive'!M39)</f>
        <v>0.23844388233531039</v>
      </c>
      <c r="N15" s="83">
        <f>CHOOSE(Drivers!$C$3,'GP automotive'!N23,'GP automotive'!N31,'GP automotive'!N39)</f>
        <v>0.23844388233531039</v>
      </c>
      <c r="O15" s="83">
        <f>CHOOSE(Drivers!$C$3,'GP automotive'!O23,'GP automotive'!O31,'GP automotive'!O39)</f>
        <v>0.23844388233531039</v>
      </c>
      <c r="P15" s="83">
        <f>CHOOSE(Drivers!$C$3,'GP automotive'!P23,'GP automotive'!P31,'GP automotive'!P39)</f>
        <v>0.23844388233531039</v>
      </c>
      <c r="Q15" s="83">
        <f>CHOOSE(Drivers!$C$3,'GP automotive'!Q23,'GP automotive'!Q31,'GP automotive'!Q39)</f>
        <v>0.23844388233531039</v>
      </c>
    </row>
    <row r="16" spans="1:17" x14ac:dyDescent="0.25">
      <c r="B16" s="81" t="s">
        <v>170</v>
      </c>
      <c r="C16" s="84"/>
      <c r="D16" s="84"/>
      <c r="E16" s="84"/>
      <c r="F16" s="84"/>
      <c r="G16" s="83">
        <f>CHOOSE(Drivers!$C$3,'GP automotive'!G24,'GP automotive'!G32,'GP automotive'!G40)</f>
        <v>0.17141528431156239</v>
      </c>
      <c r="H16" s="83">
        <f>CHOOSE(Drivers!$C$3,'GP automotive'!H24,'GP automotive'!H32,'GP automotive'!H40)</f>
        <v>0.17141528431156239</v>
      </c>
      <c r="I16" s="83">
        <f>CHOOSE(Drivers!$C$3,'GP automotive'!I24,'GP automotive'!I32,'GP automotive'!I40)</f>
        <v>0.17141528431156239</v>
      </c>
      <c r="J16" s="83">
        <f>CHOOSE(Drivers!$C$3,'GP automotive'!J24,'GP automotive'!J32,'GP automotive'!J40)</f>
        <v>0.17141528431156239</v>
      </c>
      <c r="K16" s="83">
        <f>CHOOSE(Drivers!$C$3,'GP automotive'!K24,'GP automotive'!K32,'GP automotive'!K40)</f>
        <v>0.17141528431156239</v>
      </c>
      <c r="L16" s="83">
        <f>CHOOSE(Drivers!$C$3,'GP automotive'!L24,'GP automotive'!L32,'GP automotive'!L40)</f>
        <v>0.17141528431156239</v>
      </c>
      <c r="M16" s="83">
        <f>CHOOSE(Drivers!$C$3,'GP automotive'!M24,'GP automotive'!M32,'GP automotive'!M40)</f>
        <v>0.17141528431156239</v>
      </c>
      <c r="N16" s="83">
        <f>CHOOSE(Drivers!$C$3,'GP automotive'!N24,'GP automotive'!N32,'GP automotive'!N40)</f>
        <v>0.17141528431156239</v>
      </c>
      <c r="O16" s="83">
        <f>CHOOSE(Drivers!$C$3,'GP automotive'!O24,'GP automotive'!O32,'GP automotive'!O40)</f>
        <v>0.17141528431156239</v>
      </c>
      <c r="P16" s="83">
        <f>CHOOSE(Drivers!$C$3,'GP automotive'!P24,'GP automotive'!P32,'GP automotive'!P40)</f>
        <v>0.17141528431156239</v>
      </c>
      <c r="Q16" s="83">
        <f>CHOOSE(Drivers!$C$3,'GP automotive'!Q24,'GP automotive'!Q32,'GP automotive'!Q40)</f>
        <v>0.17141528431156239</v>
      </c>
    </row>
    <row r="17" spans="2:17" x14ac:dyDescent="0.25">
      <c r="B17" s="81" t="s">
        <v>172</v>
      </c>
      <c r="C17" s="84"/>
      <c r="D17" s="84"/>
      <c r="E17" s="84"/>
      <c r="F17" s="84"/>
      <c r="G17" s="83">
        <f>CHOOSE(Drivers!$C$3,'GP automotive'!G25,'GP automotive'!G33,'GP automotive'!G41)</f>
        <v>0.45596535458141713</v>
      </c>
      <c r="H17" s="83">
        <f>CHOOSE(Drivers!$C$3,'GP automotive'!H25,'GP automotive'!H33,'GP automotive'!H41)</f>
        <v>0.45596535458141713</v>
      </c>
      <c r="I17" s="83">
        <f>CHOOSE(Drivers!$C$3,'GP automotive'!I25,'GP automotive'!I33,'GP automotive'!I41)</f>
        <v>0.45596535458141713</v>
      </c>
      <c r="J17" s="83">
        <f>CHOOSE(Drivers!$C$3,'GP automotive'!J25,'GP automotive'!J33,'GP automotive'!J41)</f>
        <v>0.45596535458141713</v>
      </c>
      <c r="K17" s="83">
        <f>CHOOSE(Drivers!$C$3,'GP automotive'!K25,'GP automotive'!K33,'GP automotive'!K41)</f>
        <v>0.45596535458141713</v>
      </c>
      <c r="L17" s="83">
        <f>CHOOSE(Drivers!$C$3,'GP automotive'!L25,'GP automotive'!L33,'GP automotive'!L41)</f>
        <v>0.45596535458141713</v>
      </c>
      <c r="M17" s="83">
        <f>CHOOSE(Drivers!$C$3,'GP automotive'!M25,'GP automotive'!M33,'GP automotive'!M41)</f>
        <v>0.45596535458141713</v>
      </c>
      <c r="N17" s="83">
        <f>CHOOSE(Drivers!$C$3,'GP automotive'!N25,'GP automotive'!N33,'GP automotive'!N41)</f>
        <v>0.45596535458141713</v>
      </c>
      <c r="O17" s="83">
        <f>CHOOSE(Drivers!$C$3,'GP automotive'!O25,'GP automotive'!O33,'GP automotive'!O41)</f>
        <v>0.45596535458141713</v>
      </c>
      <c r="P17" s="83">
        <f>CHOOSE(Drivers!$C$3,'GP automotive'!P25,'GP automotive'!P33,'GP automotive'!P41)</f>
        <v>0.45596535458141713</v>
      </c>
      <c r="Q17" s="83">
        <f>CHOOSE(Drivers!$C$3,'GP automotive'!Q25,'GP automotive'!Q33,'GP automotive'!Q41)</f>
        <v>0.45596535458141713</v>
      </c>
    </row>
    <row r="18" spans="2:17" x14ac:dyDescent="0.25">
      <c r="B18" s="81" t="s">
        <v>171</v>
      </c>
      <c r="C18" s="84"/>
      <c r="D18" s="84"/>
      <c r="E18" s="84"/>
      <c r="F18" s="84"/>
      <c r="G18" s="83">
        <f>CHOOSE(Drivers!$C$3,'GP automotive'!G26,'GP automotive'!G34,'GP automotive'!G42)</f>
        <v>0.17141528431156239</v>
      </c>
      <c r="H18" s="83">
        <f>CHOOSE(Drivers!$C$3,'GP automotive'!H26,'GP automotive'!H34,'GP automotive'!H42)</f>
        <v>0.17141528431156239</v>
      </c>
      <c r="I18" s="83">
        <f>CHOOSE(Drivers!$C$3,'GP automotive'!I26,'GP automotive'!I34,'GP automotive'!I42)</f>
        <v>0.17141528431156239</v>
      </c>
      <c r="J18" s="83">
        <f>CHOOSE(Drivers!$C$3,'GP automotive'!J26,'GP automotive'!J34,'GP automotive'!J42)</f>
        <v>0.17141528431156239</v>
      </c>
      <c r="K18" s="83">
        <f>CHOOSE(Drivers!$C$3,'GP automotive'!K26,'GP automotive'!K34,'GP automotive'!K42)</f>
        <v>0.17141528431156239</v>
      </c>
      <c r="L18" s="83">
        <f>CHOOSE(Drivers!$C$3,'GP automotive'!L26,'GP automotive'!L34,'GP automotive'!L42)</f>
        <v>0.17141528431156239</v>
      </c>
      <c r="M18" s="83">
        <f>CHOOSE(Drivers!$C$3,'GP automotive'!M26,'GP automotive'!M34,'GP automotive'!M42)</f>
        <v>0.17141528431156239</v>
      </c>
      <c r="N18" s="83">
        <f>CHOOSE(Drivers!$C$3,'GP automotive'!N26,'GP automotive'!N34,'GP automotive'!N42)</f>
        <v>0.17141528431156239</v>
      </c>
      <c r="O18" s="83">
        <f>CHOOSE(Drivers!$C$3,'GP automotive'!O26,'GP automotive'!O34,'GP automotive'!O42)</f>
        <v>0.17141528431156239</v>
      </c>
      <c r="P18" s="83">
        <f>CHOOSE(Drivers!$C$3,'GP automotive'!P26,'GP automotive'!P34,'GP automotive'!P42)</f>
        <v>0.17141528431156239</v>
      </c>
      <c r="Q18" s="83">
        <f>CHOOSE(Drivers!$C$3,'GP automotive'!Q26,'GP automotive'!Q34,'GP automotive'!Q42)</f>
        <v>0.17141528431156239</v>
      </c>
    </row>
    <row r="19" spans="2:17" x14ac:dyDescent="0.25">
      <c r="B19" s="81" t="s">
        <v>168</v>
      </c>
      <c r="C19" s="84"/>
      <c r="D19" s="84"/>
      <c r="E19" s="84"/>
      <c r="F19" s="84"/>
      <c r="G19" s="83">
        <f>CHOOSE(Drivers!$C$3,'GP automotive'!G27,'GP automotive'!G35,'GP automotive'!G43)</f>
        <v>0.21715581157404629</v>
      </c>
      <c r="H19" s="83">
        <f>CHOOSE(Drivers!$C$3,'GP automotive'!H27,'GP automotive'!H35,'GP automotive'!H43)</f>
        <v>0.21715581157404629</v>
      </c>
      <c r="I19" s="83">
        <f>CHOOSE(Drivers!$C$3,'GP automotive'!I27,'GP automotive'!I35,'GP automotive'!I43)</f>
        <v>0.21715581157404629</v>
      </c>
      <c r="J19" s="83">
        <f>CHOOSE(Drivers!$C$3,'GP automotive'!J27,'GP automotive'!J35,'GP automotive'!J43)</f>
        <v>0.21715581157404629</v>
      </c>
      <c r="K19" s="83">
        <f>CHOOSE(Drivers!$C$3,'GP automotive'!K27,'GP automotive'!K35,'GP automotive'!K43)</f>
        <v>0.21715581157404629</v>
      </c>
      <c r="L19" s="83">
        <f>CHOOSE(Drivers!$C$3,'GP automotive'!L27,'GP automotive'!L35,'GP automotive'!L43)</f>
        <v>0.21715581157404629</v>
      </c>
      <c r="M19" s="83">
        <f>CHOOSE(Drivers!$C$3,'GP automotive'!M27,'GP automotive'!M35,'GP automotive'!M43)</f>
        <v>0.21715581157404629</v>
      </c>
      <c r="N19" s="83">
        <f>CHOOSE(Drivers!$C$3,'GP automotive'!N27,'GP automotive'!N35,'GP automotive'!N43)</f>
        <v>0.21715581157404629</v>
      </c>
      <c r="O19" s="83">
        <f>CHOOSE(Drivers!$C$3,'GP automotive'!O27,'GP automotive'!O35,'GP automotive'!O43)</f>
        <v>0.21715581157404629</v>
      </c>
      <c r="P19" s="83">
        <f>CHOOSE(Drivers!$C$3,'GP automotive'!P27,'GP automotive'!P35,'GP automotive'!P43)</f>
        <v>0.21715581157404629</v>
      </c>
      <c r="Q19" s="83">
        <f>CHOOSE(Drivers!$C$3,'GP automotive'!Q27,'GP automotive'!Q35,'GP automotive'!Q43)</f>
        <v>0.21715581157404629</v>
      </c>
    </row>
    <row r="20" spans="2:17" x14ac:dyDescent="0.25">
      <c r="B20" s="81"/>
      <c r="C20" s="84"/>
      <c r="D20" s="84"/>
      <c r="E20" s="84"/>
      <c r="F20" s="84"/>
      <c r="G20" s="84"/>
      <c r="H20" s="84"/>
      <c r="I20" s="82"/>
      <c r="J20" s="82"/>
      <c r="K20" s="82"/>
      <c r="L20" s="82"/>
      <c r="M20" s="82"/>
      <c r="N20" s="82"/>
      <c r="O20" s="82"/>
      <c r="P20" s="82"/>
      <c r="Q20" s="82"/>
    </row>
    <row r="21" spans="2:17" x14ac:dyDescent="0.25">
      <c r="B21" s="80" t="s">
        <v>70</v>
      </c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17" x14ac:dyDescent="0.25">
      <c r="B22" s="81" t="s">
        <v>169</v>
      </c>
      <c r="C22" s="84"/>
      <c r="D22" s="84"/>
      <c r="E22" s="84"/>
      <c r="F22" s="84"/>
      <c r="G22" s="83">
        <f>G30+1.5%</f>
        <v>0.23844388233531039</v>
      </c>
      <c r="H22" s="83">
        <f t="shared" ref="H22:Q22" si="1">H30+1.5%</f>
        <v>0.23844388233531039</v>
      </c>
      <c r="I22" s="83">
        <f t="shared" si="1"/>
        <v>0.23844388233531039</v>
      </c>
      <c r="J22" s="83">
        <f t="shared" si="1"/>
        <v>0.23844388233531039</v>
      </c>
      <c r="K22" s="83">
        <f t="shared" si="1"/>
        <v>0.23844388233531039</v>
      </c>
      <c r="L22" s="83">
        <f t="shared" si="1"/>
        <v>0.23844388233531039</v>
      </c>
      <c r="M22" s="83">
        <f t="shared" si="1"/>
        <v>0.23844388233531039</v>
      </c>
      <c r="N22" s="83">
        <f t="shared" si="1"/>
        <v>0.23844388233531039</v>
      </c>
      <c r="O22" s="83">
        <f t="shared" si="1"/>
        <v>0.23844388233531039</v>
      </c>
      <c r="P22" s="83">
        <f t="shared" si="1"/>
        <v>0.23844388233531039</v>
      </c>
      <c r="Q22" s="83">
        <f t="shared" si="1"/>
        <v>0.23844388233531039</v>
      </c>
    </row>
    <row r="23" spans="2:17" x14ac:dyDescent="0.25">
      <c r="B23" s="81" t="s">
        <v>175</v>
      </c>
      <c r="C23" s="84"/>
      <c r="D23" s="72"/>
      <c r="E23" s="72"/>
      <c r="F23" s="72"/>
      <c r="G23" s="83">
        <f t="shared" ref="G23:Q23" si="2">G31+1.5%</f>
        <v>0.23844388233531039</v>
      </c>
      <c r="H23" s="83">
        <f t="shared" si="2"/>
        <v>0.23844388233531039</v>
      </c>
      <c r="I23" s="83">
        <f t="shared" si="2"/>
        <v>0.23844388233531039</v>
      </c>
      <c r="J23" s="83">
        <f t="shared" si="2"/>
        <v>0.23844388233531039</v>
      </c>
      <c r="K23" s="83">
        <f t="shared" si="2"/>
        <v>0.23844388233531039</v>
      </c>
      <c r="L23" s="83">
        <f t="shared" si="2"/>
        <v>0.23844388233531039</v>
      </c>
      <c r="M23" s="83">
        <f t="shared" si="2"/>
        <v>0.23844388233531039</v>
      </c>
      <c r="N23" s="83">
        <f t="shared" si="2"/>
        <v>0.23844388233531039</v>
      </c>
      <c r="O23" s="83">
        <f t="shared" si="2"/>
        <v>0.23844388233531039</v>
      </c>
      <c r="P23" s="83">
        <f t="shared" si="2"/>
        <v>0.23844388233531039</v>
      </c>
      <c r="Q23" s="83">
        <f t="shared" si="2"/>
        <v>0.23844388233531039</v>
      </c>
    </row>
    <row r="24" spans="2:17" x14ac:dyDescent="0.25">
      <c r="B24" s="81" t="s">
        <v>170</v>
      </c>
      <c r="C24" s="84"/>
      <c r="D24" s="84"/>
      <c r="E24" s="84"/>
      <c r="F24" s="84"/>
      <c r="G24" s="83">
        <f t="shared" ref="G24:Q24" si="3">G32+1.5%</f>
        <v>0.17141528431156239</v>
      </c>
      <c r="H24" s="83">
        <f t="shared" si="3"/>
        <v>0.17141528431156239</v>
      </c>
      <c r="I24" s="83">
        <f t="shared" si="3"/>
        <v>0.17141528431156239</v>
      </c>
      <c r="J24" s="83">
        <f t="shared" si="3"/>
        <v>0.17141528431156239</v>
      </c>
      <c r="K24" s="83">
        <f t="shared" si="3"/>
        <v>0.17141528431156239</v>
      </c>
      <c r="L24" s="83">
        <f t="shared" si="3"/>
        <v>0.17141528431156239</v>
      </c>
      <c r="M24" s="83">
        <f t="shared" si="3"/>
        <v>0.17141528431156239</v>
      </c>
      <c r="N24" s="83">
        <f t="shared" si="3"/>
        <v>0.17141528431156239</v>
      </c>
      <c r="O24" s="83">
        <f t="shared" si="3"/>
        <v>0.17141528431156239</v>
      </c>
      <c r="P24" s="83">
        <f t="shared" si="3"/>
        <v>0.17141528431156239</v>
      </c>
      <c r="Q24" s="83">
        <f t="shared" si="3"/>
        <v>0.17141528431156239</v>
      </c>
    </row>
    <row r="25" spans="2:17" x14ac:dyDescent="0.25">
      <c r="B25" s="81" t="s">
        <v>172</v>
      </c>
      <c r="C25" s="84"/>
      <c r="D25" s="84"/>
      <c r="E25" s="84"/>
      <c r="F25" s="84"/>
      <c r="G25" s="83">
        <f t="shared" ref="G25:Q25" si="4">G33+1.5%</f>
        <v>0.45596535458141713</v>
      </c>
      <c r="H25" s="83">
        <f t="shared" si="4"/>
        <v>0.45596535458141713</v>
      </c>
      <c r="I25" s="83">
        <f t="shared" si="4"/>
        <v>0.45596535458141713</v>
      </c>
      <c r="J25" s="83">
        <f t="shared" si="4"/>
        <v>0.45596535458141713</v>
      </c>
      <c r="K25" s="83">
        <f t="shared" si="4"/>
        <v>0.45596535458141713</v>
      </c>
      <c r="L25" s="83">
        <f t="shared" si="4"/>
        <v>0.45596535458141713</v>
      </c>
      <c r="M25" s="83">
        <f t="shared" si="4"/>
        <v>0.45596535458141713</v>
      </c>
      <c r="N25" s="83">
        <f t="shared" si="4"/>
        <v>0.45596535458141713</v>
      </c>
      <c r="O25" s="83">
        <f t="shared" si="4"/>
        <v>0.45596535458141713</v>
      </c>
      <c r="P25" s="83">
        <f t="shared" si="4"/>
        <v>0.45596535458141713</v>
      </c>
      <c r="Q25" s="83">
        <f t="shared" si="4"/>
        <v>0.45596535458141713</v>
      </c>
    </row>
    <row r="26" spans="2:17" x14ac:dyDescent="0.25">
      <c r="B26" s="81" t="s">
        <v>171</v>
      </c>
      <c r="C26" s="84"/>
      <c r="D26" s="84"/>
      <c r="E26" s="84"/>
      <c r="F26" s="84"/>
      <c r="G26" s="83">
        <f t="shared" ref="G26:Q26" si="5">G34+1.5%</f>
        <v>0.17141528431156239</v>
      </c>
      <c r="H26" s="83">
        <f t="shared" si="5"/>
        <v>0.17141528431156239</v>
      </c>
      <c r="I26" s="83">
        <f t="shared" si="5"/>
        <v>0.17141528431156239</v>
      </c>
      <c r="J26" s="83">
        <f t="shared" si="5"/>
        <v>0.17141528431156239</v>
      </c>
      <c r="K26" s="83">
        <f t="shared" si="5"/>
        <v>0.17141528431156239</v>
      </c>
      <c r="L26" s="83">
        <f t="shared" si="5"/>
        <v>0.17141528431156239</v>
      </c>
      <c r="M26" s="83">
        <f t="shared" si="5"/>
        <v>0.17141528431156239</v>
      </c>
      <c r="N26" s="83">
        <f t="shared" si="5"/>
        <v>0.17141528431156239</v>
      </c>
      <c r="O26" s="83">
        <f t="shared" si="5"/>
        <v>0.17141528431156239</v>
      </c>
      <c r="P26" s="83">
        <f t="shared" si="5"/>
        <v>0.17141528431156239</v>
      </c>
      <c r="Q26" s="83">
        <f t="shared" si="5"/>
        <v>0.17141528431156239</v>
      </c>
    </row>
    <row r="27" spans="2:17" x14ac:dyDescent="0.25">
      <c r="B27" s="81" t="s">
        <v>168</v>
      </c>
      <c r="C27" s="84"/>
      <c r="D27" s="84"/>
      <c r="E27" s="84"/>
      <c r="F27" s="84"/>
      <c r="G27" s="83">
        <f t="shared" ref="G27:Q27" si="6">G35+1.5%</f>
        <v>0.21715581157404629</v>
      </c>
      <c r="H27" s="83">
        <f t="shared" si="6"/>
        <v>0.21715581157404629</v>
      </c>
      <c r="I27" s="83">
        <f t="shared" si="6"/>
        <v>0.21715581157404629</v>
      </c>
      <c r="J27" s="83">
        <f t="shared" si="6"/>
        <v>0.21715581157404629</v>
      </c>
      <c r="K27" s="83">
        <f t="shared" si="6"/>
        <v>0.21715581157404629</v>
      </c>
      <c r="L27" s="83">
        <f t="shared" si="6"/>
        <v>0.21715581157404629</v>
      </c>
      <c r="M27" s="83">
        <f t="shared" si="6"/>
        <v>0.21715581157404629</v>
      </c>
      <c r="N27" s="83">
        <f t="shared" si="6"/>
        <v>0.21715581157404629</v>
      </c>
      <c r="O27" s="83">
        <f t="shared" si="6"/>
        <v>0.21715581157404629</v>
      </c>
      <c r="P27" s="83">
        <f t="shared" si="6"/>
        <v>0.21715581157404629</v>
      </c>
      <c r="Q27" s="83">
        <f t="shared" si="6"/>
        <v>0.21715581157404629</v>
      </c>
    </row>
    <row r="28" spans="2:17" x14ac:dyDescent="0.25">
      <c r="B28" s="81"/>
      <c r="C28" s="84"/>
      <c r="D28" s="84"/>
      <c r="E28" s="84"/>
      <c r="F28" s="84"/>
      <c r="G28" s="84"/>
      <c r="H28" s="84"/>
      <c r="I28" s="82"/>
      <c r="J28" s="82"/>
      <c r="K28" s="82"/>
      <c r="L28" s="82"/>
      <c r="M28" s="82"/>
      <c r="N28" s="82"/>
      <c r="O28" s="82"/>
      <c r="P28" s="82"/>
      <c r="Q28" s="82"/>
    </row>
    <row r="29" spans="2:17" x14ac:dyDescent="0.25">
      <c r="B29" s="80" t="s">
        <v>71</v>
      </c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17" x14ac:dyDescent="0.25">
      <c r="B30" s="81" t="s">
        <v>169</v>
      </c>
      <c r="C30" s="84"/>
      <c r="D30" s="84"/>
      <c r="E30" s="84"/>
      <c r="F30" s="84"/>
      <c r="G30" s="83">
        <f>'GP% automotive'!$H6</f>
        <v>0.2234438823353104</v>
      </c>
      <c r="H30" s="83">
        <f>'GP% automotive'!$H6</f>
        <v>0.2234438823353104</v>
      </c>
      <c r="I30" s="83">
        <f>'GP% automotive'!$H6</f>
        <v>0.2234438823353104</v>
      </c>
      <c r="J30" s="83">
        <f>'GP% automotive'!$H6</f>
        <v>0.2234438823353104</v>
      </c>
      <c r="K30" s="83">
        <f>'GP% automotive'!$H6</f>
        <v>0.2234438823353104</v>
      </c>
      <c r="L30" s="83">
        <f>'GP% automotive'!$H6</f>
        <v>0.2234438823353104</v>
      </c>
      <c r="M30" s="83">
        <f>'GP% automotive'!$H6</f>
        <v>0.2234438823353104</v>
      </c>
      <c r="N30" s="83">
        <f>'GP% automotive'!$H6</f>
        <v>0.2234438823353104</v>
      </c>
      <c r="O30" s="83">
        <f>'GP% automotive'!$H6</f>
        <v>0.2234438823353104</v>
      </c>
      <c r="P30" s="83">
        <f>'GP% automotive'!$H6</f>
        <v>0.2234438823353104</v>
      </c>
      <c r="Q30" s="83">
        <f>'GP% automotive'!$H6</f>
        <v>0.2234438823353104</v>
      </c>
    </row>
    <row r="31" spans="2:17" x14ac:dyDescent="0.25">
      <c r="B31" s="81" t="s">
        <v>175</v>
      </c>
      <c r="C31" s="84"/>
      <c r="D31" s="72"/>
      <c r="E31" s="72"/>
      <c r="F31" s="72"/>
      <c r="G31" s="83">
        <f>'GP% automotive'!$H7</f>
        <v>0.2234438823353104</v>
      </c>
      <c r="H31" s="83">
        <f>'GP% automotive'!$H7</f>
        <v>0.2234438823353104</v>
      </c>
      <c r="I31" s="83">
        <f>'GP% automotive'!$H7</f>
        <v>0.2234438823353104</v>
      </c>
      <c r="J31" s="83">
        <f>'GP% automotive'!$H7</f>
        <v>0.2234438823353104</v>
      </c>
      <c r="K31" s="83">
        <f>'GP% automotive'!$H7</f>
        <v>0.2234438823353104</v>
      </c>
      <c r="L31" s="83">
        <f>'GP% automotive'!$H7</f>
        <v>0.2234438823353104</v>
      </c>
      <c r="M31" s="83">
        <f>'GP% automotive'!$H7</f>
        <v>0.2234438823353104</v>
      </c>
      <c r="N31" s="83">
        <f>'GP% automotive'!$H7</f>
        <v>0.2234438823353104</v>
      </c>
      <c r="O31" s="83">
        <f>'GP% automotive'!$H7</f>
        <v>0.2234438823353104</v>
      </c>
      <c r="P31" s="83">
        <f>'GP% automotive'!$H7</f>
        <v>0.2234438823353104</v>
      </c>
      <c r="Q31" s="83">
        <f>'GP% automotive'!$H7</f>
        <v>0.2234438823353104</v>
      </c>
    </row>
    <row r="32" spans="2:17" x14ac:dyDescent="0.25">
      <c r="B32" s="81" t="s">
        <v>170</v>
      </c>
      <c r="C32" s="84"/>
      <c r="D32" s="84"/>
      <c r="E32" s="84"/>
      <c r="F32" s="84"/>
      <c r="G32" s="83">
        <f>'GP% automotive'!$H8</f>
        <v>0.15641528431156237</v>
      </c>
      <c r="H32" s="83">
        <f>'GP% automotive'!$H8</f>
        <v>0.15641528431156237</v>
      </c>
      <c r="I32" s="83">
        <f>'GP% automotive'!$H8</f>
        <v>0.15641528431156237</v>
      </c>
      <c r="J32" s="83">
        <f>'GP% automotive'!$H8</f>
        <v>0.15641528431156237</v>
      </c>
      <c r="K32" s="83">
        <f>'GP% automotive'!$H8</f>
        <v>0.15641528431156237</v>
      </c>
      <c r="L32" s="83">
        <f>'GP% automotive'!$H8</f>
        <v>0.15641528431156237</v>
      </c>
      <c r="M32" s="83">
        <f>'GP% automotive'!$H8</f>
        <v>0.15641528431156237</v>
      </c>
      <c r="N32" s="83">
        <f>'GP% automotive'!$H8</f>
        <v>0.15641528431156237</v>
      </c>
      <c r="O32" s="83">
        <f>'GP% automotive'!$H8</f>
        <v>0.15641528431156237</v>
      </c>
      <c r="P32" s="83">
        <f>'GP% automotive'!$H8</f>
        <v>0.15641528431156237</v>
      </c>
      <c r="Q32" s="83">
        <f>'GP% automotive'!$H8</f>
        <v>0.15641528431156237</v>
      </c>
    </row>
    <row r="33" spans="2:17" x14ac:dyDescent="0.25">
      <c r="B33" s="81" t="s">
        <v>172</v>
      </c>
      <c r="C33" s="84"/>
      <c r="D33" s="84"/>
      <c r="E33" s="84"/>
      <c r="F33" s="84"/>
      <c r="G33" s="83">
        <f>'GP% automotive'!$H9</f>
        <v>0.44096535458141711</v>
      </c>
      <c r="H33" s="83">
        <f>'GP% automotive'!$H9</f>
        <v>0.44096535458141711</v>
      </c>
      <c r="I33" s="83">
        <f>'GP% automotive'!$H9</f>
        <v>0.44096535458141711</v>
      </c>
      <c r="J33" s="83">
        <f>'GP% automotive'!$H9</f>
        <v>0.44096535458141711</v>
      </c>
      <c r="K33" s="83">
        <f>'GP% automotive'!$H9</f>
        <v>0.44096535458141711</v>
      </c>
      <c r="L33" s="83">
        <f>'GP% automotive'!$H9</f>
        <v>0.44096535458141711</v>
      </c>
      <c r="M33" s="83">
        <f>'GP% automotive'!$H9</f>
        <v>0.44096535458141711</v>
      </c>
      <c r="N33" s="83">
        <f>'GP% automotive'!$H9</f>
        <v>0.44096535458141711</v>
      </c>
      <c r="O33" s="83">
        <f>'GP% automotive'!$H9</f>
        <v>0.44096535458141711</v>
      </c>
      <c r="P33" s="83">
        <f>'GP% automotive'!$H9</f>
        <v>0.44096535458141711</v>
      </c>
      <c r="Q33" s="83">
        <f>'GP% automotive'!$H9</f>
        <v>0.44096535458141711</v>
      </c>
    </row>
    <row r="34" spans="2:17" x14ac:dyDescent="0.25">
      <c r="B34" s="81" t="s">
        <v>171</v>
      </c>
      <c r="C34" s="84"/>
      <c r="D34" s="84"/>
      <c r="E34" s="84"/>
      <c r="F34" s="84"/>
      <c r="G34" s="83">
        <f>'GP% automotive'!$H10</f>
        <v>0.15641528431156237</v>
      </c>
      <c r="H34" s="83">
        <f>'GP% automotive'!$H10</f>
        <v>0.15641528431156237</v>
      </c>
      <c r="I34" s="83">
        <f>'GP% automotive'!$H10</f>
        <v>0.15641528431156237</v>
      </c>
      <c r="J34" s="83">
        <f>'GP% automotive'!$H10</f>
        <v>0.15641528431156237</v>
      </c>
      <c r="K34" s="83">
        <f>'GP% automotive'!$H10</f>
        <v>0.15641528431156237</v>
      </c>
      <c r="L34" s="83">
        <f>'GP% automotive'!$H10</f>
        <v>0.15641528431156237</v>
      </c>
      <c r="M34" s="83">
        <f>'GP% automotive'!$H10</f>
        <v>0.15641528431156237</v>
      </c>
      <c r="N34" s="83">
        <f>'GP% automotive'!$H10</f>
        <v>0.15641528431156237</v>
      </c>
      <c r="O34" s="83">
        <f>'GP% automotive'!$H10</f>
        <v>0.15641528431156237</v>
      </c>
      <c r="P34" s="83">
        <f>'GP% automotive'!$H10</f>
        <v>0.15641528431156237</v>
      </c>
      <c r="Q34" s="83">
        <f>'GP% automotive'!$H10</f>
        <v>0.15641528431156237</v>
      </c>
    </row>
    <row r="35" spans="2:17" x14ac:dyDescent="0.25">
      <c r="B35" s="81" t="s">
        <v>168</v>
      </c>
      <c r="C35" s="84"/>
      <c r="D35" s="84"/>
      <c r="E35" s="84"/>
      <c r="F35" s="84"/>
      <c r="G35" s="83">
        <f>'GP% automotive'!$H11</f>
        <v>0.2021558115740463</v>
      </c>
      <c r="H35" s="83">
        <f>'GP% automotive'!$H11</f>
        <v>0.2021558115740463</v>
      </c>
      <c r="I35" s="83">
        <f>'GP% automotive'!$H11</f>
        <v>0.2021558115740463</v>
      </c>
      <c r="J35" s="83">
        <f>'GP% automotive'!$H11</f>
        <v>0.2021558115740463</v>
      </c>
      <c r="K35" s="83">
        <f>'GP% automotive'!$H11</f>
        <v>0.2021558115740463</v>
      </c>
      <c r="L35" s="83">
        <f>'GP% automotive'!$H11</f>
        <v>0.2021558115740463</v>
      </c>
      <c r="M35" s="83">
        <f>'GP% automotive'!$H11</f>
        <v>0.2021558115740463</v>
      </c>
      <c r="N35" s="83">
        <f>'GP% automotive'!$H11</f>
        <v>0.2021558115740463</v>
      </c>
      <c r="O35" s="83">
        <f>'GP% automotive'!$H11</f>
        <v>0.2021558115740463</v>
      </c>
      <c r="P35" s="83">
        <f>'GP% automotive'!$H11</f>
        <v>0.2021558115740463</v>
      </c>
      <c r="Q35" s="83">
        <f>'GP% automotive'!$H11</f>
        <v>0.2021558115740463</v>
      </c>
    </row>
    <row r="36" spans="2:17" x14ac:dyDescent="0.25">
      <c r="B36" s="81"/>
      <c r="C36" s="84"/>
      <c r="D36" s="84"/>
      <c r="E36" s="84"/>
      <c r="F36" s="84"/>
      <c r="G36" s="84"/>
      <c r="H36" s="84"/>
      <c r="I36" s="82"/>
      <c r="J36" s="82"/>
      <c r="K36" s="82"/>
      <c r="L36" s="82"/>
      <c r="M36" s="82"/>
      <c r="N36" s="82"/>
      <c r="O36" s="82"/>
      <c r="P36" s="82"/>
      <c r="Q36" s="82"/>
    </row>
    <row r="37" spans="2:17" x14ac:dyDescent="0.25">
      <c r="B37" s="80" t="s">
        <v>72</v>
      </c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 x14ac:dyDescent="0.25">
      <c r="B38" s="81" t="s">
        <v>169</v>
      </c>
      <c r="C38" s="84"/>
      <c r="D38" s="84"/>
      <c r="E38" s="84"/>
      <c r="F38" s="84"/>
      <c r="G38" s="83">
        <f>G30-1.5%</f>
        <v>0.20844388233531042</v>
      </c>
      <c r="H38" s="83">
        <f t="shared" ref="H38:Q38" si="7">H30-1.5%</f>
        <v>0.20844388233531042</v>
      </c>
      <c r="I38" s="83">
        <f t="shared" si="7"/>
        <v>0.20844388233531042</v>
      </c>
      <c r="J38" s="83">
        <f t="shared" si="7"/>
        <v>0.20844388233531042</v>
      </c>
      <c r="K38" s="83">
        <f t="shared" si="7"/>
        <v>0.20844388233531042</v>
      </c>
      <c r="L38" s="83">
        <f t="shared" si="7"/>
        <v>0.20844388233531042</v>
      </c>
      <c r="M38" s="83">
        <f t="shared" si="7"/>
        <v>0.20844388233531042</v>
      </c>
      <c r="N38" s="83">
        <f t="shared" si="7"/>
        <v>0.20844388233531042</v>
      </c>
      <c r="O38" s="83">
        <f t="shared" si="7"/>
        <v>0.20844388233531042</v>
      </c>
      <c r="P38" s="83">
        <f t="shared" si="7"/>
        <v>0.20844388233531042</v>
      </c>
      <c r="Q38" s="83">
        <f t="shared" si="7"/>
        <v>0.20844388233531042</v>
      </c>
    </row>
    <row r="39" spans="2:17" x14ac:dyDescent="0.25">
      <c r="B39" s="81" t="s">
        <v>175</v>
      </c>
      <c r="C39" s="84"/>
      <c r="D39" s="72"/>
      <c r="E39" s="72"/>
      <c r="F39" s="72"/>
      <c r="G39" s="83">
        <f t="shared" ref="G39:Q39" si="8">G31-1.5%</f>
        <v>0.20844388233531042</v>
      </c>
      <c r="H39" s="83">
        <f t="shared" si="8"/>
        <v>0.20844388233531042</v>
      </c>
      <c r="I39" s="83">
        <f t="shared" si="8"/>
        <v>0.20844388233531042</v>
      </c>
      <c r="J39" s="83">
        <f t="shared" si="8"/>
        <v>0.20844388233531042</v>
      </c>
      <c r="K39" s="83">
        <f t="shared" si="8"/>
        <v>0.20844388233531042</v>
      </c>
      <c r="L39" s="83">
        <f t="shared" si="8"/>
        <v>0.20844388233531042</v>
      </c>
      <c r="M39" s="83">
        <f t="shared" si="8"/>
        <v>0.20844388233531042</v>
      </c>
      <c r="N39" s="83">
        <f t="shared" si="8"/>
        <v>0.20844388233531042</v>
      </c>
      <c r="O39" s="83">
        <f t="shared" si="8"/>
        <v>0.20844388233531042</v>
      </c>
      <c r="P39" s="83">
        <f t="shared" si="8"/>
        <v>0.20844388233531042</v>
      </c>
      <c r="Q39" s="83">
        <f t="shared" si="8"/>
        <v>0.20844388233531042</v>
      </c>
    </row>
    <row r="40" spans="2:17" x14ac:dyDescent="0.25">
      <c r="B40" s="81" t="s">
        <v>170</v>
      </c>
      <c r="C40" s="84"/>
      <c r="D40" s="84"/>
      <c r="E40" s="84"/>
      <c r="F40" s="84"/>
      <c r="G40" s="83">
        <f t="shared" ref="G40:Q40" si="9">G32-1.5%</f>
        <v>0.14141528431156236</v>
      </c>
      <c r="H40" s="83">
        <f t="shared" si="9"/>
        <v>0.14141528431156236</v>
      </c>
      <c r="I40" s="83">
        <f t="shared" si="9"/>
        <v>0.14141528431156236</v>
      </c>
      <c r="J40" s="83">
        <f t="shared" si="9"/>
        <v>0.14141528431156236</v>
      </c>
      <c r="K40" s="83">
        <f t="shared" si="9"/>
        <v>0.14141528431156236</v>
      </c>
      <c r="L40" s="83">
        <f t="shared" si="9"/>
        <v>0.14141528431156236</v>
      </c>
      <c r="M40" s="83">
        <f t="shared" si="9"/>
        <v>0.14141528431156236</v>
      </c>
      <c r="N40" s="83">
        <f t="shared" si="9"/>
        <v>0.14141528431156236</v>
      </c>
      <c r="O40" s="83">
        <f t="shared" si="9"/>
        <v>0.14141528431156236</v>
      </c>
      <c r="P40" s="83">
        <f t="shared" si="9"/>
        <v>0.14141528431156236</v>
      </c>
      <c r="Q40" s="83">
        <f t="shared" si="9"/>
        <v>0.14141528431156236</v>
      </c>
    </row>
    <row r="41" spans="2:17" x14ac:dyDescent="0.25">
      <c r="B41" s="81" t="s">
        <v>172</v>
      </c>
      <c r="C41" s="84"/>
      <c r="D41" s="84"/>
      <c r="E41" s="84"/>
      <c r="F41" s="84"/>
      <c r="G41" s="83">
        <f t="shared" ref="G41:Q41" si="10">G33-1.5%</f>
        <v>0.4259653545814171</v>
      </c>
      <c r="H41" s="83">
        <f t="shared" si="10"/>
        <v>0.4259653545814171</v>
      </c>
      <c r="I41" s="83">
        <f t="shared" si="10"/>
        <v>0.4259653545814171</v>
      </c>
      <c r="J41" s="83">
        <f t="shared" si="10"/>
        <v>0.4259653545814171</v>
      </c>
      <c r="K41" s="83">
        <f t="shared" si="10"/>
        <v>0.4259653545814171</v>
      </c>
      <c r="L41" s="83">
        <f t="shared" si="10"/>
        <v>0.4259653545814171</v>
      </c>
      <c r="M41" s="83">
        <f t="shared" si="10"/>
        <v>0.4259653545814171</v>
      </c>
      <c r="N41" s="83">
        <f t="shared" si="10"/>
        <v>0.4259653545814171</v>
      </c>
      <c r="O41" s="83">
        <f t="shared" si="10"/>
        <v>0.4259653545814171</v>
      </c>
      <c r="P41" s="83">
        <f t="shared" si="10"/>
        <v>0.4259653545814171</v>
      </c>
      <c r="Q41" s="83">
        <f t="shared" si="10"/>
        <v>0.4259653545814171</v>
      </c>
    </row>
    <row r="42" spans="2:17" x14ac:dyDescent="0.25">
      <c r="B42" s="81" t="s">
        <v>171</v>
      </c>
      <c r="C42" s="84"/>
      <c r="D42" s="84"/>
      <c r="E42" s="84"/>
      <c r="F42" s="84"/>
      <c r="G42" s="83">
        <f t="shared" ref="G42:Q42" si="11">G34-1.5%</f>
        <v>0.14141528431156236</v>
      </c>
      <c r="H42" s="83">
        <f t="shared" si="11"/>
        <v>0.14141528431156236</v>
      </c>
      <c r="I42" s="83">
        <f t="shared" si="11"/>
        <v>0.14141528431156236</v>
      </c>
      <c r="J42" s="83">
        <f t="shared" si="11"/>
        <v>0.14141528431156236</v>
      </c>
      <c r="K42" s="83">
        <f t="shared" si="11"/>
        <v>0.14141528431156236</v>
      </c>
      <c r="L42" s="83">
        <f t="shared" si="11"/>
        <v>0.14141528431156236</v>
      </c>
      <c r="M42" s="83">
        <f t="shared" si="11"/>
        <v>0.14141528431156236</v>
      </c>
      <c r="N42" s="83">
        <f t="shared" si="11"/>
        <v>0.14141528431156236</v>
      </c>
      <c r="O42" s="83">
        <f t="shared" si="11"/>
        <v>0.14141528431156236</v>
      </c>
      <c r="P42" s="83">
        <f t="shared" si="11"/>
        <v>0.14141528431156236</v>
      </c>
      <c r="Q42" s="83">
        <f t="shared" si="11"/>
        <v>0.14141528431156236</v>
      </c>
    </row>
    <row r="43" spans="2:17" x14ac:dyDescent="0.25">
      <c r="B43" s="81" t="s">
        <v>168</v>
      </c>
      <c r="C43" s="84"/>
      <c r="D43" s="84"/>
      <c r="E43" s="84"/>
      <c r="F43" s="84"/>
      <c r="G43" s="83">
        <f t="shared" ref="G43:Q43" si="12">G35-1.5%</f>
        <v>0.18715581157404632</v>
      </c>
      <c r="H43" s="83">
        <f t="shared" si="12"/>
        <v>0.18715581157404632</v>
      </c>
      <c r="I43" s="83">
        <f t="shared" si="12"/>
        <v>0.18715581157404632</v>
      </c>
      <c r="J43" s="83">
        <f t="shared" si="12"/>
        <v>0.18715581157404632</v>
      </c>
      <c r="K43" s="83">
        <f t="shared" si="12"/>
        <v>0.18715581157404632</v>
      </c>
      <c r="L43" s="83">
        <f t="shared" si="12"/>
        <v>0.18715581157404632</v>
      </c>
      <c r="M43" s="83">
        <f t="shared" si="12"/>
        <v>0.18715581157404632</v>
      </c>
      <c r="N43" s="83">
        <f t="shared" si="12"/>
        <v>0.18715581157404632</v>
      </c>
      <c r="O43" s="83">
        <f t="shared" si="12"/>
        <v>0.18715581157404632</v>
      </c>
      <c r="P43" s="83">
        <f t="shared" si="12"/>
        <v>0.18715581157404632</v>
      </c>
      <c r="Q43" s="83">
        <f t="shared" si="12"/>
        <v>0.18715581157404632</v>
      </c>
    </row>
    <row r="44" spans="2:17" x14ac:dyDescent="0.25">
      <c r="B44" s="81"/>
      <c r="C44" s="84"/>
      <c r="D44" s="84"/>
      <c r="E44" s="84"/>
      <c r="F44" s="84"/>
      <c r="G44" s="81"/>
      <c r="H44" s="84"/>
      <c r="I44" s="82"/>
      <c r="J44" s="82"/>
      <c r="K44" s="82"/>
      <c r="L44" s="82"/>
      <c r="M44" s="82"/>
      <c r="N44" s="82"/>
      <c r="O44" s="82"/>
      <c r="P44" s="82"/>
      <c r="Q44" s="82"/>
    </row>
  </sheetData>
  <mergeCells count="1">
    <mergeCell ref="C3:Q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F355-6EBF-4ECC-BA86-E71A2560ADF3}">
  <dimension ref="A1:Q11"/>
  <sheetViews>
    <sheetView workbookViewId="0"/>
  </sheetViews>
  <sheetFormatPr defaultColWidth="9.109375" defaultRowHeight="11.4" x14ac:dyDescent="0.25"/>
  <cols>
    <col min="1" max="1" width="2" style="7" customWidth="1"/>
    <col min="2" max="2" width="15.109375" style="7" customWidth="1"/>
    <col min="3" max="4" width="11.33203125" style="7" bestFit="1" customWidth="1"/>
    <col min="5" max="5" width="9.109375" style="7"/>
    <col min="6" max="6" width="11.44140625" style="7" bestFit="1" customWidth="1"/>
    <col min="7" max="7" width="10.33203125" style="7" customWidth="1"/>
    <col min="8" max="8" width="10.33203125" style="7" bestFit="1" customWidth="1"/>
    <col min="9" max="12" width="10.44140625" style="7" bestFit="1" customWidth="1"/>
    <col min="13" max="16384" width="9.109375" style="7"/>
  </cols>
  <sheetData>
    <row r="1" spans="1:17" ht="15.6" x14ac:dyDescent="0.25">
      <c r="A1" s="1"/>
      <c r="B1" s="2" t="s">
        <v>212</v>
      </c>
    </row>
    <row r="2" spans="1:17" ht="15.6" x14ac:dyDescent="0.25">
      <c r="A2" s="1"/>
      <c r="B2" s="2"/>
    </row>
    <row r="3" spans="1:17" ht="12" x14ac:dyDescent="0.25">
      <c r="C3" s="226" t="s">
        <v>331</v>
      </c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</row>
    <row r="4" spans="1:17" ht="24" x14ac:dyDescent="0.25">
      <c r="B4" s="33" t="s">
        <v>166</v>
      </c>
      <c r="C4" s="6" t="s">
        <v>46</v>
      </c>
      <c r="D4" s="6" t="s">
        <v>47</v>
      </c>
      <c r="E4" s="6" t="s">
        <v>160</v>
      </c>
      <c r="F4" s="6" t="s">
        <v>333</v>
      </c>
      <c r="G4" s="6" t="s">
        <v>332</v>
      </c>
      <c r="H4" s="87" t="s">
        <v>178</v>
      </c>
      <c r="I4" s="87" t="s">
        <v>179</v>
      </c>
      <c r="J4" s="87" t="s">
        <v>180</v>
      </c>
      <c r="K4" s="87" t="s">
        <v>181</v>
      </c>
      <c r="L4" s="87" t="s">
        <v>256</v>
      </c>
      <c r="M4" s="87" t="s">
        <v>257</v>
      </c>
      <c r="N4" s="87" t="s">
        <v>258</v>
      </c>
      <c r="O4" s="87" t="s">
        <v>259</v>
      </c>
      <c r="P4" s="87" t="s">
        <v>260</v>
      </c>
      <c r="Q4" s="87" t="s">
        <v>337</v>
      </c>
    </row>
    <row r="5" spans="1:17" x14ac:dyDescent="0.25">
      <c r="B5" s="7" t="s">
        <v>169</v>
      </c>
      <c r="C5" s="67" t="s">
        <v>64</v>
      </c>
      <c r="D5" s="67" t="s">
        <v>64</v>
      </c>
      <c r="E5" s="67" t="s">
        <v>64</v>
      </c>
      <c r="F5" s="67" t="s">
        <v>64</v>
      </c>
      <c r="G5" s="67" t="s">
        <v>64</v>
      </c>
      <c r="H5" s="79">
        <f>-('Revenue automotive'!H5-'GP automotive'!H5)</f>
        <v>-20247.596604463142</v>
      </c>
      <c r="I5" s="79">
        <f>-('Revenue automotive'!I5-'GP automotive'!I5)</f>
        <v>-22272.35626490946</v>
      </c>
      <c r="J5" s="79">
        <f>-('Revenue automotive'!J5-'GP automotive'!J5)</f>
        <v>-24499.591891400407</v>
      </c>
      <c r="K5" s="79">
        <f>-('Revenue automotive'!K5-'GP automotive'!K5)</f>
        <v>-26459.559242712436</v>
      </c>
      <c r="L5" s="79">
        <f>-('Revenue automotive'!L5-'GP automotive'!L5)</f>
        <v>-28576.323982129434</v>
      </c>
      <c r="M5" s="79">
        <f>-('Revenue automotive'!M5-'GP automotive'!M5)</f>
        <v>-29719.376941414623</v>
      </c>
      <c r="N5" s="79">
        <f>-('Revenue automotive'!N5-'GP automotive'!N5)</f>
        <v>-30908.152019071196</v>
      </c>
      <c r="O5" s="79">
        <f>-('Revenue automotive'!O5-'GP automotive'!O5)</f>
        <v>-32144.47809983405</v>
      </c>
      <c r="P5" s="79">
        <f>-('Revenue automotive'!P5-'GP automotive'!P5)</f>
        <v>-33430.257223827415</v>
      </c>
      <c r="Q5" s="79">
        <f>-('Revenue automotive'!Q5-'GP automotive'!Q5)</f>
        <v>-34767.467512780509</v>
      </c>
    </row>
    <row r="6" spans="1:17" x14ac:dyDescent="0.25">
      <c r="B6" s="7" t="s">
        <v>175</v>
      </c>
      <c r="C6" s="67" t="s">
        <v>64</v>
      </c>
      <c r="D6" s="67" t="s">
        <v>64</v>
      </c>
      <c r="E6" s="67" t="s">
        <v>64</v>
      </c>
      <c r="F6" s="67" t="s">
        <v>64</v>
      </c>
      <c r="G6" s="67" t="s">
        <v>64</v>
      </c>
      <c r="H6" s="79">
        <f>-('Revenue automotive'!H6-'GP automotive'!H6)</f>
        <v>-5473.0451394479351</v>
      </c>
      <c r="I6" s="79">
        <f>-('Revenue automotive'!I6-'GP automotive'!I6)</f>
        <v>-5691.9669450258534</v>
      </c>
      <c r="J6" s="79">
        <f>-('Revenue automotive'!J6-'GP automotive'!J6)</f>
        <v>-5919.6456228268871</v>
      </c>
      <c r="K6" s="79">
        <f>-('Revenue automotive'!K6-'GP automotive'!K6)</f>
        <v>-6156.4314477399639</v>
      </c>
      <c r="L6" s="79">
        <f>-('Revenue automotive'!L6-'GP automotive'!L6)</f>
        <v>-6402.6887056495625</v>
      </c>
      <c r="M6" s="79">
        <f>-('Revenue automotive'!M6-'GP automotive'!M6)</f>
        <v>-6658.7962538755455</v>
      </c>
      <c r="N6" s="79">
        <f>-('Revenue automotive'!N6-'GP automotive'!N6)</f>
        <v>-6925.1481040305662</v>
      </c>
      <c r="O6" s="79">
        <f>-('Revenue automotive'!O6-'GP automotive'!O6)</f>
        <v>-7202.1540281917896</v>
      </c>
      <c r="P6" s="79">
        <f>-('Revenue automotive'!P6-'GP automotive'!P6)</f>
        <v>-7490.2401893194619</v>
      </c>
      <c r="Q6" s="79">
        <f>-('Revenue automotive'!Q6-'GP automotive'!Q6)</f>
        <v>-7789.8497968922402</v>
      </c>
    </row>
    <row r="7" spans="1:17" x14ac:dyDescent="0.25">
      <c r="B7" s="7" t="s">
        <v>170</v>
      </c>
      <c r="C7" s="67">
        <v>0</v>
      </c>
      <c r="D7" s="67">
        <v>0</v>
      </c>
      <c r="E7" s="67">
        <v>0</v>
      </c>
      <c r="F7" s="67">
        <v>0</v>
      </c>
      <c r="G7" s="78">
        <f>-('Revenue automotive'!G7-'GP automotive'!G7)</f>
        <v>0</v>
      </c>
      <c r="H7" s="79">
        <f>-('Revenue automotive'!H7-'GP automotive'!H7)</f>
        <v>-90.942210341877413</v>
      </c>
      <c r="I7" s="79">
        <f>-('Revenue automotive'!I7-'GP automotive'!I7)</f>
        <v>-7529.7984872352081</v>
      </c>
      <c r="J7" s="79">
        <f>-('Revenue automotive'!J7-'GP automotive'!J7)</f>
        <v>-15508.379253963634</v>
      </c>
      <c r="K7" s="79">
        <f>-('Revenue automotive'!K7-'GP automotive'!K7)</f>
        <v>-24813.406806341816</v>
      </c>
      <c r="L7" s="79">
        <f>-('Revenue automotive'!L7-'GP automotive'!L7)</f>
        <v>-27294.747486975997</v>
      </c>
      <c r="M7" s="79">
        <f>-('Revenue automotive'!M7-'GP automotive'!M7)</f>
        <v>-30024.222235673606</v>
      </c>
      <c r="N7" s="79">
        <f>-('Revenue automotive'!N7-'GP automotive'!N7)</f>
        <v>-32426.160014527501</v>
      </c>
      <c r="O7" s="79">
        <f>-('Revenue automotive'!O7-'GP automotive'!O7)</f>
        <v>-35020.252815689688</v>
      </c>
      <c r="P7" s="79">
        <f>-('Revenue automotive'!P7-'GP automotive'!P7)</f>
        <v>-36421.062928317289</v>
      </c>
      <c r="Q7" s="79">
        <f>-('Revenue automotive'!Q7-'GP automotive'!Q7)</f>
        <v>-37877.905445449986</v>
      </c>
    </row>
    <row r="8" spans="1:17" x14ac:dyDescent="0.25">
      <c r="B8" s="7" t="s">
        <v>172</v>
      </c>
      <c r="C8" s="67">
        <v>0</v>
      </c>
      <c r="D8" s="67">
        <v>0</v>
      </c>
      <c r="E8" s="67">
        <v>0</v>
      </c>
      <c r="F8" s="67">
        <v>0</v>
      </c>
      <c r="G8" s="78">
        <f>-('Revenue automotive'!G8-'GP automotive'!G8)</f>
        <v>0</v>
      </c>
      <c r="H8" s="79">
        <f>-('Revenue automotive'!H8-'GP automotive'!H8)</f>
        <v>0</v>
      </c>
      <c r="I8" s="79">
        <f>-('Revenue automotive'!I8-'GP automotive'!I8)</f>
        <v>0</v>
      </c>
      <c r="J8" s="79">
        <f>-('Revenue automotive'!J8-'GP automotive'!J8)</f>
        <v>-62.427975561782382</v>
      </c>
      <c r="K8" s="79">
        <f>-('Revenue automotive'!K8-'GP automotive'!K8)</f>
        <v>-93.641963342673577</v>
      </c>
      <c r="L8" s="79">
        <f>-('Revenue automotive'!L8-'GP automotive'!L8)</f>
        <v>-103.00615967694095</v>
      </c>
      <c r="M8" s="79">
        <f>-('Revenue automotive'!M8-'GP automotive'!M8)</f>
        <v>-113.30677564463507</v>
      </c>
      <c r="N8" s="79">
        <f>-('Revenue automotive'!N8-'GP automotive'!N8)</f>
        <v>-122.37131769620588</v>
      </c>
      <c r="O8" s="79">
        <f>-('Revenue automotive'!O8-'GP automotive'!O8)</f>
        <v>-132.16102311190235</v>
      </c>
      <c r="P8" s="79">
        <f>-('Revenue automotive'!P8-'GP automotive'!P8)</f>
        <v>-137.44746403637845</v>
      </c>
      <c r="Q8" s="79">
        <f>-('Revenue automotive'!Q8-'GP automotive'!Q8)</f>
        <v>-142.94536259783359</v>
      </c>
    </row>
    <row r="9" spans="1:17" x14ac:dyDescent="0.25">
      <c r="B9" s="7" t="s">
        <v>171</v>
      </c>
      <c r="C9" s="67">
        <v>0</v>
      </c>
      <c r="D9" s="67">
        <v>0</v>
      </c>
      <c r="E9" s="67">
        <v>0</v>
      </c>
      <c r="F9" s="67">
        <v>0</v>
      </c>
      <c r="G9" s="78">
        <f>-('Revenue automotive'!G9-'GP automotive'!G9)</f>
        <v>0</v>
      </c>
      <c r="H9" s="79">
        <f>-('Revenue automotive'!H9-'GP automotive'!H9)</f>
        <v>0</v>
      </c>
      <c r="I9" s="79">
        <f>-('Revenue automotive'!I9-'GP automotive'!I9)</f>
        <v>-12.339283586032213</v>
      </c>
      <c r="J9" s="79">
        <f>-('Revenue automotive'!J9-'GP automotive'!J9)</f>
        <v>-1021.6633016768338</v>
      </c>
      <c r="K9" s="79">
        <f>-('Revenue automotive'!K9-'GP automotive'!K9)</f>
        <v>-2104.2185895307716</v>
      </c>
      <c r="L9" s="79">
        <f>-('Revenue automotive'!L9-'GP automotive'!L9)</f>
        <v>-3366.7497432492346</v>
      </c>
      <c r="M9" s="79">
        <f>-('Revenue automotive'!M9-'GP automotive'!M9)</f>
        <v>-3703.4247175741584</v>
      </c>
      <c r="N9" s="79">
        <f>-('Revenue automotive'!N9-'GP automotive'!N9)</f>
        <v>-4073.7671893315737</v>
      </c>
      <c r="O9" s="79">
        <f>-('Revenue automotive'!O9-'GP automotive'!O9)</f>
        <v>-4399.668564478101</v>
      </c>
      <c r="P9" s="79">
        <f>-('Revenue automotive'!P9-'GP automotive'!P9)</f>
        <v>-4751.6420496363489</v>
      </c>
      <c r="Q9" s="79">
        <f>-('Revenue automotive'!Q9-'GP automotive'!Q9)</f>
        <v>-4941.7077316218038</v>
      </c>
    </row>
    <row r="10" spans="1:17" x14ac:dyDescent="0.25">
      <c r="B10" s="7" t="s">
        <v>168</v>
      </c>
      <c r="C10" s="67">
        <v>0</v>
      </c>
      <c r="D10" s="67">
        <v>0</v>
      </c>
      <c r="E10" s="67">
        <v>0</v>
      </c>
      <c r="F10" s="67">
        <v>0</v>
      </c>
      <c r="G10" s="78">
        <f>-('Revenue automotive'!G10-'GP automotive'!G10)</f>
        <v>0</v>
      </c>
      <c r="H10" s="79">
        <f>-('Revenue automotive'!H10-'GP automotive'!H10)</f>
        <v>0</v>
      </c>
      <c r="I10" s="79">
        <f>-('Revenue automotive'!I10-'GP automotive'!I10)</f>
        <v>-34.934421908508185</v>
      </c>
      <c r="J10" s="79">
        <f>-('Revenue automotive'!J10-'GP automotive'!J10)</f>
        <v>-2892.4869568294575</v>
      </c>
      <c r="K10" s="79">
        <f>-('Revenue automotive'!K10-'GP automotive'!K10)</f>
        <v>-5957.3685523854265</v>
      </c>
      <c r="L10" s="79">
        <f>-('Revenue automotive'!L10-'GP automotive'!L10)</f>
        <v>-9531.7896838166835</v>
      </c>
      <c r="M10" s="79">
        <f>-('Revenue automotive'!M10-'GP automotive'!M10)</f>
        <v>-10484.968652198351</v>
      </c>
      <c r="N10" s="79">
        <f>-('Revenue automotive'!N10-'GP automotive'!N10)</f>
        <v>-11533.465517418188</v>
      </c>
      <c r="O10" s="79">
        <f>-('Revenue automotive'!O10-'GP automotive'!O10)</f>
        <v>-12456.142758811642</v>
      </c>
      <c r="P10" s="79">
        <f>-('Revenue automotive'!P10-'GP automotive'!P10)</f>
        <v>-13452.634179516577</v>
      </c>
      <c r="Q10" s="79">
        <f>-('Revenue automotive'!Q10-'GP automotive'!Q10)</f>
        <v>-13990.739546697241</v>
      </c>
    </row>
    <row r="11" spans="1:17" ht="12.6" thickBot="1" x14ac:dyDescent="0.3">
      <c r="B11" s="103" t="s">
        <v>68</v>
      </c>
      <c r="C11" s="110">
        <f>'P&amp;L Input'!C8/1000</f>
        <v>-2823.3020000000001</v>
      </c>
      <c r="D11" s="110">
        <f>'P&amp;L Input'!D8/1000</f>
        <v>-4750.0810000000001</v>
      </c>
      <c r="E11" s="110">
        <f>'P&amp;L Input'!E8/1000</f>
        <v>-7432.7039999999997</v>
      </c>
      <c r="F11" s="110">
        <f>'P&amp;L Input'!F8/1000</f>
        <v>-14173.996999999999</v>
      </c>
      <c r="G11" s="110">
        <f>-('Revenue automotive'!G11-'GP automotive'!G11)</f>
        <v>-16398</v>
      </c>
      <c r="H11" s="110">
        <f t="shared" ref="H11:L11" si="0">SUM(H5:H10)</f>
        <v>-25811.583954252954</v>
      </c>
      <c r="I11" s="110">
        <f t="shared" si="0"/>
        <v>-35541.395402665061</v>
      </c>
      <c r="J11" s="110">
        <f t="shared" si="0"/>
        <v>-49904.195002259003</v>
      </c>
      <c r="K11" s="110">
        <f t="shared" si="0"/>
        <v>-65584.626602053089</v>
      </c>
      <c r="L11" s="110">
        <f t="shared" si="0"/>
        <v>-75275.305761497846</v>
      </c>
      <c r="M11" s="110">
        <f>SUM(M5:M10)</f>
        <v>-80704.095576380932</v>
      </c>
      <c r="N11" s="110">
        <f>SUM(N5:N10)</f>
        <v>-85989.064162075229</v>
      </c>
      <c r="O11" s="110">
        <f>SUM(O5:O10)</f>
        <v>-91354.857290117157</v>
      </c>
      <c r="P11" s="110">
        <f>SUM(P5:P10)</f>
        <v>-95683.284034653465</v>
      </c>
      <c r="Q11" s="110">
        <f>SUM(Q5:Q10)</f>
        <v>-99510.615396039604</v>
      </c>
    </row>
  </sheetData>
  <mergeCells count="1">
    <mergeCell ref="C3:Q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D890-D3C0-4441-923D-941A92CB4AEE}">
  <dimension ref="A1:P9"/>
  <sheetViews>
    <sheetView workbookViewId="0"/>
  </sheetViews>
  <sheetFormatPr defaultColWidth="9.109375" defaultRowHeight="11.4" x14ac:dyDescent="0.25"/>
  <cols>
    <col min="1" max="1" width="2" style="7" customWidth="1"/>
    <col min="2" max="2" width="15.109375" style="7" customWidth="1"/>
    <col min="3" max="4" width="11.33203125" style="7" bestFit="1" customWidth="1"/>
    <col min="5" max="5" width="9.109375" style="7"/>
    <col min="6" max="6" width="11.44140625" style="7" bestFit="1" customWidth="1"/>
    <col min="7" max="7" width="10.33203125" style="7" bestFit="1" customWidth="1"/>
    <col min="8" max="11" width="10.44140625" style="7" bestFit="1" customWidth="1"/>
    <col min="12" max="16384" width="9.109375" style="7"/>
  </cols>
  <sheetData>
    <row r="1" spans="1:16" ht="15.6" x14ac:dyDescent="0.25">
      <c r="A1" s="1"/>
      <c r="B1" s="2" t="s">
        <v>282</v>
      </c>
    </row>
    <row r="2" spans="1:16" ht="15.6" x14ac:dyDescent="0.25">
      <c r="A2" s="1"/>
      <c r="B2" s="2"/>
    </row>
    <row r="3" spans="1:16" ht="24" x14ac:dyDescent="0.25">
      <c r="A3" s="1"/>
      <c r="B3" s="33" t="s">
        <v>166</v>
      </c>
      <c r="C3" s="6" t="s">
        <v>47</v>
      </c>
      <c r="D3" s="6" t="s">
        <v>160</v>
      </c>
      <c r="E3" s="6" t="s">
        <v>333</v>
      </c>
      <c r="F3" s="6" t="s">
        <v>332</v>
      </c>
      <c r="G3" s="87" t="s">
        <v>178</v>
      </c>
      <c r="H3" s="87" t="s">
        <v>179</v>
      </c>
      <c r="I3" s="87" t="s">
        <v>180</v>
      </c>
      <c r="J3" s="87" t="s">
        <v>181</v>
      </c>
      <c r="K3" s="87" t="s">
        <v>256</v>
      </c>
      <c r="L3" s="87" t="s">
        <v>257</v>
      </c>
      <c r="M3" s="87" t="s">
        <v>258</v>
      </c>
      <c r="N3" s="87" t="s">
        <v>259</v>
      </c>
      <c r="O3" s="87" t="s">
        <v>260</v>
      </c>
      <c r="P3" s="87" t="s">
        <v>337</v>
      </c>
    </row>
    <row r="4" spans="1:16" x14ac:dyDescent="0.25">
      <c r="B4" s="7" t="s">
        <v>283</v>
      </c>
      <c r="C4" s="78">
        <f>'Revenue automotive'!C11</f>
        <v>3740.973</v>
      </c>
      <c r="D4" s="78">
        <f>'Revenue automotive'!D11</f>
        <v>6350.7659999999996</v>
      </c>
      <c r="E4" s="78">
        <f>'Revenue automotive'!E11</f>
        <v>9641.3000000000011</v>
      </c>
      <c r="F4" s="145">
        <f>'Revenue automotive'!F11</f>
        <v>18514.983</v>
      </c>
      <c r="G4" s="79">
        <f>'Revenue automotive'!H11</f>
        <v>33883.553108619999</v>
      </c>
      <c r="H4" s="79">
        <f>'Revenue automotive'!I11</f>
        <v>45867.036211716804</v>
      </c>
      <c r="I4" s="79">
        <f>'Revenue automotive'!J11</f>
        <v>63702.852411189822</v>
      </c>
      <c r="J4" s="79">
        <f>'Revenue automotive'!K11</f>
        <v>83096.38231249094</v>
      </c>
      <c r="K4" s="79">
        <f>'Revenue automotive'!L11</f>
        <v>95300.816564474007</v>
      </c>
      <c r="L4" s="79">
        <f>'Revenue automotive'!M11</f>
        <v>102075.03990321465</v>
      </c>
      <c r="M4" s="79">
        <f>'Revenue automotive'!N11</f>
        <v>108687.57483402501</v>
      </c>
      <c r="N4" s="79">
        <f>'Revenue automotive'!O11</f>
        <v>115395.42324979257</v>
      </c>
      <c r="O4" s="79">
        <f>'Revenue automotive'!P11</f>
        <v>120860.09034884421</v>
      </c>
      <c r="P4" s="79">
        <f>'Revenue automotive'!Q11</f>
        <v>125694.49396279798</v>
      </c>
    </row>
    <row r="5" spans="1:16" x14ac:dyDescent="0.25">
      <c r="B5" s="7" t="s">
        <v>284</v>
      </c>
      <c r="C5" s="78">
        <f>'GP automotive'!C11</f>
        <v>917.67100000000005</v>
      </c>
      <c r="D5" s="78">
        <f>'GP automotive'!D11</f>
        <v>1600.6849999999999</v>
      </c>
      <c r="E5" s="78">
        <f>'GP automotive'!E11</f>
        <v>2208.596</v>
      </c>
      <c r="F5" s="145">
        <f>'GP automotive'!F11</f>
        <v>4340.9859999999999</v>
      </c>
      <c r="G5" s="79">
        <f>'GP automotive'!H11</f>
        <v>8071.9691543670451</v>
      </c>
      <c r="H5" s="79">
        <f>'GP automotive'!I11</f>
        <v>10325.640809051743</v>
      </c>
      <c r="I5" s="79">
        <f>'GP automotive'!J11</f>
        <v>13798.657408930816</v>
      </c>
      <c r="J5" s="79">
        <f>'GP automotive'!K11</f>
        <v>17511.75571043785</v>
      </c>
      <c r="K5" s="79">
        <f>'GP automotive'!L11</f>
        <v>20025.510802976172</v>
      </c>
      <c r="L5" s="79">
        <f>'GP automotive'!M11</f>
        <v>21370.944326833724</v>
      </c>
      <c r="M5" s="79">
        <f>'GP automotive'!N11</f>
        <v>22698.510671949785</v>
      </c>
      <c r="N5" s="79">
        <f>'GP automotive'!O11</f>
        <v>24040.565959675383</v>
      </c>
      <c r="O5" s="79">
        <f>'GP automotive'!P11</f>
        <v>25176.806314190737</v>
      </c>
      <c r="P5" s="79">
        <f>'GP automotive'!Q11</f>
        <v>26183.878566758365</v>
      </c>
    </row>
    <row r="6" spans="1:16" x14ac:dyDescent="0.25">
      <c r="B6" s="7" t="s">
        <v>210</v>
      </c>
      <c r="C6" s="186">
        <f>C5/C4</f>
        <v>0.24530275946926108</v>
      </c>
      <c r="D6" s="186">
        <f>D5/D4</f>
        <v>0.25204597366679865</v>
      </c>
      <c r="E6" s="186">
        <f>E5/E4</f>
        <v>0.22907657681018118</v>
      </c>
      <c r="F6" s="186">
        <f>F5/F4</f>
        <v>0.23445800625363791</v>
      </c>
      <c r="G6" s="192">
        <f t="shared" ref="G6:P6" si="0">G5/G4</f>
        <v>0.23822676236139859</v>
      </c>
      <c r="H6" s="192">
        <f t="shared" si="0"/>
        <v>0.22512116896739978</v>
      </c>
      <c r="I6" s="192">
        <f t="shared" si="0"/>
        <v>0.21660972604276965</v>
      </c>
      <c r="J6" s="192">
        <f t="shared" si="0"/>
        <v>0.21074029004756692</v>
      </c>
      <c r="K6" s="192">
        <f t="shared" si="0"/>
        <v>0.21012947763598944</v>
      </c>
      <c r="L6" s="192">
        <f t="shared" si="0"/>
        <v>0.20936503524365205</v>
      </c>
      <c r="M6" s="192">
        <f t="shared" si="0"/>
        <v>0.2088418175362943</v>
      </c>
      <c r="N6" s="192">
        <f t="shared" si="0"/>
        <v>0.20833205756900414</v>
      </c>
      <c r="O6" s="192">
        <f t="shared" si="0"/>
        <v>0.20831364796701479</v>
      </c>
      <c r="P6" s="192">
        <f t="shared" si="0"/>
        <v>0.20831364796701479</v>
      </c>
    </row>
    <row r="7" spans="1:16" x14ac:dyDescent="0.25">
      <c r="J7" s="31"/>
      <c r="K7" s="31"/>
      <c r="L7" s="31"/>
      <c r="M7" s="31"/>
      <c r="N7" s="31"/>
      <c r="O7" s="31"/>
      <c r="P7" s="31"/>
    </row>
    <row r="8" spans="1:16" x14ac:dyDescent="0.25">
      <c r="J8" s="31"/>
      <c r="K8" s="31"/>
      <c r="L8" s="31"/>
      <c r="M8" s="31"/>
      <c r="N8" s="31"/>
      <c r="O8" s="31"/>
      <c r="P8" s="31"/>
    </row>
    <row r="9" spans="1:16" x14ac:dyDescent="0.25">
      <c r="J9" s="31"/>
      <c r="K9" s="31"/>
      <c r="L9" s="31"/>
      <c r="M9" s="31"/>
      <c r="N9" s="31"/>
      <c r="O9" s="31"/>
      <c r="P9" s="31"/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1823-F65C-4BEF-B0CC-05B4DF645263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0" t="s">
        <v>232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B440-01FF-4868-AD9E-903A12E92A06}">
  <dimension ref="A1:Q20"/>
  <sheetViews>
    <sheetView workbookViewId="0"/>
  </sheetViews>
  <sheetFormatPr defaultColWidth="9.109375" defaultRowHeight="11.4" x14ac:dyDescent="0.25"/>
  <cols>
    <col min="1" max="1" width="2" style="7" customWidth="1"/>
    <col min="2" max="2" width="28" style="7" customWidth="1"/>
    <col min="3" max="12" width="9.6640625" style="7" customWidth="1"/>
    <col min="13" max="16384" width="9.109375" style="7"/>
  </cols>
  <sheetData>
    <row r="1" spans="1:17" ht="15.6" x14ac:dyDescent="0.25">
      <c r="A1" s="1"/>
      <c r="B1" s="2" t="s">
        <v>239</v>
      </c>
    </row>
    <row r="2" spans="1:17" ht="15.6" x14ac:dyDescent="0.25">
      <c r="A2" s="1"/>
      <c r="B2" s="2"/>
    </row>
    <row r="3" spans="1:17" ht="12" x14ac:dyDescent="0.25">
      <c r="C3" s="226" t="s">
        <v>315</v>
      </c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</row>
    <row r="4" spans="1:17" ht="24" x14ac:dyDescent="0.25">
      <c r="B4" s="5" t="s">
        <v>247</v>
      </c>
      <c r="C4" s="6" t="s">
        <v>46</v>
      </c>
      <c r="D4" s="6" t="s">
        <v>47</v>
      </c>
      <c r="E4" s="6" t="s">
        <v>160</v>
      </c>
      <c r="F4" s="6" t="s">
        <v>333</v>
      </c>
      <c r="G4" s="6" t="s">
        <v>332</v>
      </c>
      <c r="H4" s="87" t="s">
        <v>178</v>
      </c>
      <c r="I4" s="87" t="s">
        <v>179</v>
      </c>
      <c r="J4" s="87" t="s">
        <v>180</v>
      </c>
      <c r="K4" s="87" t="s">
        <v>181</v>
      </c>
      <c r="L4" s="87" t="s">
        <v>256</v>
      </c>
      <c r="M4" s="87" t="s">
        <v>257</v>
      </c>
      <c r="N4" s="87" t="s">
        <v>258</v>
      </c>
      <c r="O4" s="87" t="s">
        <v>259</v>
      </c>
      <c r="P4" s="87" t="s">
        <v>260</v>
      </c>
      <c r="Q4" s="87" t="s">
        <v>337</v>
      </c>
    </row>
    <row r="5" spans="1:17" x14ac:dyDescent="0.25">
      <c r="B5" s="7" t="s">
        <v>3</v>
      </c>
      <c r="C5" s="78">
        <f>'P&amp;L Input'!C5/1000</f>
        <v>14.477</v>
      </c>
      <c r="D5" s="78">
        <f>'P&amp;L Input'!D5/1000</f>
        <v>181.39400000000001</v>
      </c>
      <c r="E5" s="78">
        <f>'P&amp;L Input'!E5/1000</f>
        <v>1116.2660000000001</v>
      </c>
      <c r="F5" s="78">
        <f>'P&amp;L Input'!F5/1000</f>
        <v>1555.2439999999999</v>
      </c>
      <c r="G5" s="78">
        <f>'P&amp;L Input'!G5/1000</f>
        <v>1531</v>
      </c>
      <c r="H5" s="68" t="s">
        <v>64</v>
      </c>
      <c r="I5" s="68" t="s">
        <v>64</v>
      </c>
      <c r="J5" s="68" t="s">
        <v>64</v>
      </c>
      <c r="K5" s="68" t="s">
        <v>64</v>
      </c>
      <c r="L5" s="68" t="s">
        <v>64</v>
      </c>
      <c r="M5" s="68" t="s">
        <v>64</v>
      </c>
      <c r="N5" s="68" t="s">
        <v>64</v>
      </c>
      <c r="O5" s="68" t="s">
        <v>64</v>
      </c>
      <c r="P5" s="68" t="s">
        <v>64</v>
      </c>
      <c r="Q5" s="68" t="s">
        <v>64</v>
      </c>
    </row>
    <row r="6" spans="1:17" x14ac:dyDescent="0.25">
      <c r="B6" s="7" t="s">
        <v>2</v>
      </c>
      <c r="C6" s="78">
        <f>'P&amp;L Input'!C6/1000</f>
        <v>290.57499999999999</v>
      </c>
      <c r="D6" s="78">
        <f>'P&amp;L Input'!D6/1000</f>
        <v>467.97199999999998</v>
      </c>
      <c r="E6" s="78">
        <f>'P&amp;L Input'!E6/1000</f>
        <v>1001.1849999999999</v>
      </c>
      <c r="F6" s="78">
        <f>'P&amp;L Input'!F6/1000</f>
        <v>1391.0409999999999</v>
      </c>
      <c r="G6" s="78">
        <f>'P&amp;L Input'!G6/1000</f>
        <v>2226</v>
      </c>
      <c r="H6" s="68" t="s">
        <v>64</v>
      </c>
      <c r="I6" s="68" t="s">
        <v>64</v>
      </c>
      <c r="J6" s="68" t="s">
        <v>64</v>
      </c>
      <c r="K6" s="68" t="s">
        <v>64</v>
      </c>
      <c r="L6" s="68" t="s">
        <v>64</v>
      </c>
      <c r="M6" s="68" t="s">
        <v>64</v>
      </c>
      <c r="N6" s="68" t="s">
        <v>64</v>
      </c>
      <c r="O6" s="68" t="s">
        <v>64</v>
      </c>
      <c r="P6" s="68" t="s">
        <v>64</v>
      </c>
      <c r="Q6" s="68" t="s">
        <v>64</v>
      </c>
    </row>
    <row r="7" spans="1:17" ht="12" x14ac:dyDescent="0.25">
      <c r="B7" s="8" t="s">
        <v>206</v>
      </c>
      <c r="C7" s="94">
        <f t="shared" ref="C7:G7" si="0">SUM(C5:C6)</f>
        <v>305.05199999999996</v>
      </c>
      <c r="D7" s="94">
        <f t="shared" si="0"/>
        <v>649.36599999999999</v>
      </c>
      <c r="E7" s="94">
        <f t="shared" si="0"/>
        <v>2117.451</v>
      </c>
      <c r="F7" s="94">
        <f t="shared" si="0"/>
        <v>2946.2849999999999</v>
      </c>
      <c r="G7" s="94">
        <f t="shared" si="0"/>
        <v>3757</v>
      </c>
      <c r="H7" s="95">
        <f t="shared" ref="H7:Q7" si="1">G7*(1+H10)</f>
        <v>4508.3999999999996</v>
      </c>
      <c r="I7" s="95">
        <f t="shared" si="1"/>
        <v>5139.5759999999991</v>
      </c>
      <c r="J7" s="95">
        <f t="shared" si="1"/>
        <v>5653.5335999999998</v>
      </c>
      <c r="K7" s="95">
        <f t="shared" si="1"/>
        <v>6105.816288</v>
      </c>
      <c r="L7" s="95">
        <f t="shared" si="1"/>
        <v>6594.2815910400004</v>
      </c>
      <c r="M7" s="95">
        <f t="shared" si="1"/>
        <v>7121.8241183232012</v>
      </c>
      <c r="N7" s="95">
        <f t="shared" si="1"/>
        <v>7691.5700477890578</v>
      </c>
      <c r="O7" s="95">
        <f t="shared" si="1"/>
        <v>8306.8956516121834</v>
      </c>
      <c r="P7" s="95">
        <f t="shared" si="1"/>
        <v>8971.447303741159</v>
      </c>
      <c r="Q7" s="95">
        <f t="shared" si="1"/>
        <v>9689.1630880404518</v>
      </c>
    </row>
    <row r="8" spans="1:17" ht="3" customHeight="1" x14ac:dyDescent="0.25"/>
    <row r="9" spans="1:17" x14ac:dyDescent="0.25">
      <c r="B9" s="80" t="s">
        <v>74</v>
      </c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</row>
    <row r="10" spans="1:17" x14ac:dyDescent="0.25">
      <c r="B10" s="81" t="s">
        <v>206</v>
      </c>
      <c r="C10" s="84"/>
      <c r="D10" s="84"/>
      <c r="E10" s="84"/>
      <c r="F10" s="84"/>
      <c r="G10" s="81"/>
      <c r="H10" s="83">
        <f>CHOOSE(Drivers!$C$3,'Revenue Energy &amp; Other'!H14,'Revenue Energy &amp; Other'!H17,'Revenue Energy &amp; Other'!H20)</f>
        <v>0.19999999999999998</v>
      </c>
      <c r="I10" s="83">
        <f>CHOOSE(Drivers!$C$3,'Revenue Energy &amp; Other'!I14,'Revenue Energy &amp; Other'!I17,'Revenue Energy &amp; Other'!I20)</f>
        <v>0.13999999999999999</v>
      </c>
      <c r="J10" s="83">
        <f>CHOOSE(Drivers!$C$3,'Revenue Energy &amp; Other'!J14,'Revenue Energy &amp; Other'!J17,'Revenue Energy &amp; Other'!J20)</f>
        <v>0.1</v>
      </c>
      <c r="K10" s="83">
        <f>CHOOSE(Drivers!$C$3,'Revenue Energy &amp; Other'!K14,'Revenue Energy &amp; Other'!K17,'Revenue Energy &amp; Other'!K20)</f>
        <v>0.08</v>
      </c>
      <c r="L10" s="83">
        <f>CHOOSE(Drivers!$C$3,'Revenue Energy &amp; Other'!L14,'Revenue Energy &amp; Other'!L17,'Revenue Energy &amp; Other'!L20)</f>
        <v>0.08</v>
      </c>
      <c r="M10" s="83">
        <f>CHOOSE(Drivers!$C$3,'Revenue Energy &amp; Other'!M14,'Revenue Energy &amp; Other'!M17,'Revenue Energy &amp; Other'!M20)</f>
        <v>0.08</v>
      </c>
      <c r="N10" s="83">
        <f>CHOOSE(Drivers!$C$3,'Revenue Energy &amp; Other'!N14,'Revenue Energy &amp; Other'!N17,'Revenue Energy &amp; Other'!N20)</f>
        <v>0.08</v>
      </c>
      <c r="O10" s="83">
        <f>CHOOSE(Drivers!$C$3,'Revenue Energy &amp; Other'!O14,'Revenue Energy &amp; Other'!O17,'Revenue Energy &amp; Other'!O20)</f>
        <v>0.08</v>
      </c>
      <c r="P10" s="83">
        <f>CHOOSE(Drivers!$C$3,'Revenue Energy &amp; Other'!P14,'Revenue Energy &amp; Other'!P17,'Revenue Energy &amp; Other'!P20)</f>
        <v>0.08</v>
      </c>
      <c r="Q10" s="83">
        <f>CHOOSE(Drivers!$C$3,'Revenue Energy &amp; Other'!Q14,'Revenue Energy &amp; Other'!Q17,'Revenue Energy &amp; Other'!Q20)</f>
        <v>0.08</v>
      </c>
    </row>
    <row r="11" spans="1:17" x14ac:dyDescent="0.25">
      <c r="B11" s="81"/>
      <c r="C11" s="84"/>
      <c r="D11" s="84"/>
      <c r="E11" s="84"/>
      <c r="F11" s="84"/>
      <c r="G11" s="81"/>
      <c r="H11" s="84"/>
      <c r="I11" s="82"/>
      <c r="J11" s="82"/>
      <c r="K11" s="82"/>
      <c r="L11" s="82"/>
      <c r="M11" s="82"/>
      <c r="N11" s="82"/>
      <c r="O11" s="82"/>
      <c r="P11" s="82"/>
      <c r="Q11" s="82"/>
    </row>
    <row r="12" spans="1:17" x14ac:dyDescent="0.25">
      <c r="B12" s="96" t="s">
        <v>207</v>
      </c>
      <c r="C12" s="84"/>
      <c r="D12" s="84"/>
      <c r="E12" s="84"/>
      <c r="F12" s="84"/>
      <c r="G12" s="81"/>
      <c r="H12" s="84"/>
      <c r="I12" s="82"/>
      <c r="J12" s="82"/>
      <c r="K12" s="82"/>
      <c r="L12" s="82"/>
      <c r="M12" s="82"/>
      <c r="N12" s="82"/>
      <c r="O12" s="82"/>
      <c r="P12" s="82"/>
      <c r="Q12" s="82"/>
    </row>
    <row r="13" spans="1:17" x14ac:dyDescent="0.25">
      <c r="B13" s="80" t="s">
        <v>70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1:17" x14ac:dyDescent="0.25">
      <c r="B14" s="81" t="s">
        <v>206</v>
      </c>
      <c r="C14" s="84"/>
      <c r="D14" s="72"/>
      <c r="E14" s="72"/>
      <c r="F14" s="72"/>
      <c r="G14" s="81"/>
      <c r="H14" s="72">
        <f>H17+Drivers!$C$13</f>
        <v>0.19999999999999998</v>
      </c>
      <c r="I14" s="72">
        <f>I17+Drivers!$C$13</f>
        <v>0.13999999999999999</v>
      </c>
      <c r="J14" s="72">
        <f>J17+Drivers!$C$13</f>
        <v>0.1</v>
      </c>
      <c r="K14" s="72">
        <f>K17+Drivers!$C$13</f>
        <v>0.08</v>
      </c>
      <c r="L14" s="72">
        <f>L17+Drivers!$C$13</f>
        <v>0.08</v>
      </c>
      <c r="M14" s="72">
        <f>M17+Drivers!$C$13</f>
        <v>0.08</v>
      </c>
      <c r="N14" s="72">
        <f>N17+Drivers!$C$13</f>
        <v>0.08</v>
      </c>
      <c r="O14" s="72">
        <f>O17+Drivers!$C$13</f>
        <v>0.08</v>
      </c>
      <c r="P14" s="72">
        <f>P17+Drivers!$C$13</f>
        <v>0.08</v>
      </c>
      <c r="Q14" s="72">
        <f>Q17+Drivers!$C$13</f>
        <v>0.08</v>
      </c>
    </row>
    <row r="15" spans="1:17" x14ac:dyDescent="0.25">
      <c r="B15" s="81"/>
      <c r="C15" s="84"/>
      <c r="D15" s="84"/>
      <c r="E15" s="84"/>
      <c r="F15" s="84"/>
      <c r="G15" s="81"/>
      <c r="H15" s="84"/>
      <c r="I15" s="82"/>
      <c r="J15" s="82"/>
      <c r="K15" s="82"/>
      <c r="L15" s="82"/>
      <c r="M15" s="82"/>
      <c r="N15" s="82"/>
      <c r="O15" s="82"/>
      <c r="P15" s="82"/>
      <c r="Q15" s="82"/>
    </row>
    <row r="16" spans="1:17" x14ac:dyDescent="0.25">
      <c r="B16" s="80" t="s">
        <v>71</v>
      </c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2:17" x14ac:dyDescent="0.25">
      <c r="B17" s="81" t="s">
        <v>206</v>
      </c>
      <c r="C17" s="84"/>
      <c r="D17" s="72">
        <f>D7/C7-1</f>
        <v>1.1287059255471199</v>
      </c>
      <c r="E17" s="72">
        <f t="shared" ref="E17:F17" si="2">E7/D7-1</f>
        <v>2.26079745474817</v>
      </c>
      <c r="F17" s="72">
        <f t="shared" si="2"/>
        <v>0.39143007323428014</v>
      </c>
      <c r="G17" s="72">
        <f>G7/F7-1</f>
        <v>0.27516516562382809</v>
      </c>
      <c r="H17" s="83">
        <v>0.18</v>
      </c>
      <c r="I17" s="83">
        <v>0.12</v>
      </c>
      <c r="J17" s="83">
        <v>0.08</v>
      </c>
      <c r="K17" s="83">
        <v>0.06</v>
      </c>
      <c r="L17" s="83">
        <v>0.06</v>
      </c>
      <c r="M17" s="83">
        <v>0.06</v>
      </c>
      <c r="N17" s="83">
        <v>0.06</v>
      </c>
      <c r="O17" s="83">
        <v>0.06</v>
      </c>
      <c r="P17" s="83">
        <v>0.06</v>
      </c>
      <c r="Q17" s="83">
        <v>0.06</v>
      </c>
    </row>
    <row r="18" spans="2:17" x14ac:dyDescent="0.25">
      <c r="B18" s="81"/>
      <c r="C18" s="84"/>
      <c r="D18" s="84"/>
      <c r="E18" s="84"/>
      <c r="F18" s="84"/>
      <c r="G18" s="81"/>
      <c r="H18" s="84"/>
      <c r="I18" s="82"/>
      <c r="J18" s="82"/>
      <c r="K18" s="82"/>
      <c r="L18" s="82"/>
      <c r="M18" s="82"/>
      <c r="N18" s="82"/>
      <c r="O18" s="82"/>
      <c r="P18" s="82"/>
      <c r="Q18" s="82"/>
    </row>
    <row r="19" spans="2:17" x14ac:dyDescent="0.25">
      <c r="B19" s="80" t="s">
        <v>72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 x14ac:dyDescent="0.25">
      <c r="B20" s="81" t="s">
        <v>206</v>
      </c>
      <c r="C20" s="84"/>
      <c r="D20" s="72"/>
      <c r="E20" s="72"/>
      <c r="F20" s="72"/>
      <c r="G20" s="81"/>
      <c r="H20" s="72">
        <f>H17-Drivers!$C$13</f>
        <v>0.16</v>
      </c>
      <c r="I20" s="72">
        <f>I17-Drivers!$C$13</f>
        <v>9.9999999999999992E-2</v>
      </c>
      <c r="J20" s="72">
        <f>J17-Drivers!$C$13</f>
        <v>0.06</v>
      </c>
      <c r="K20" s="72">
        <f>K17-Drivers!$C$13</f>
        <v>3.9999999999999994E-2</v>
      </c>
      <c r="L20" s="72">
        <f>L17-Drivers!$C$13</f>
        <v>3.9999999999999994E-2</v>
      </c>
      <c r="M20" s="72">
        <f>M17-Drivers!$C$13</f>
        <v>3.9999999999999994E-2</v>
      </c>
      <c r="N20" s="72">
        <f>N17-Drivers!$C$13</f>
        <v>3.9999999999999994E-2</v>
      </c>
      <c r="O20" s="72">
        <f>O17-Drivers!$C$13</f>
        <v>3.9999999999999994E-2</v>
      </c>
      <c r="P20" s="72">
        <f>P17-Drivers!$C$13</f>
        <v>3.9999999999999994E-2</v>
      </c>
      <c r="Q20" s="72">
        <f>Q17-Drivers!$C$13</f>
        <v>3.9999999999999994E-2</v>
      </c>
    </row>
  </sheetData>
  <mergeCells count="1">
    <mergeCell ref="C3:Q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="85" zoomScaleNormal="85" workbookViewId="0">
      <selection activeCell="O39" sqref="O39"/>
    </sheetView>
  </sheetViews>
  <sheetFormatPr defaultColWidth="9.109375" defaultRowHeight="11.4" x14ac:dyDescent="0.25"/>
  <cols>
    <col min="1" max="1" width="2" style="7" customWidth="1"/>
    <col min="2" max="2" width="27.33203125" style="7" bestFit="1" customWidth="1"/>
    <col min="3" max="6" width="11.33203125" style="7" bestFit="1" customWidth="1"/>
    <col min="7" max="7" width="11.44140625" style="7" bestFit="1" customWidth="1"/>
    <col min="8" max="11" width="10.33203125" style="7" bestFit="1" customWidth="1"/>
    <col min="12" max="16" width="10.44140625" style="7" bestFit="1" customWidth="1"/>
    <col min="17" max="16384" width="9.109375" style="7"/>
  </cols>
  <sheetData>
    <row r="1" spans="1:6" ht="15.6" x14ac:dyDescent="0.25">
      <c r="A1" s="1"/>
      <c r="B1" s="2" t="s">
        <v>73</v>
      </c>
    </row>
    <row r="3" spans="1:6" ht="13.2" x14ac:dyDescent="0.25">
      <c r="B3" s="7" t="s">
        <v>74</v>
      </c>
      <c r="C3" s="12">
        <v>1</v>
      </c>
      <c r="E3" s="4"/>
      <c r="F3" s="4"/>
    </row>
    <row r="4" spans="1:6" ht="13.2" x14ac:dyDescent="0.25">
      <c r="B4" s="7" t="s">
        <v>327</v>
      </c>
      <c r="C4" s="100" t="s">
        <v>188</v>
      </c>
      <c r="E4" s="4"/>
      <c r="F4" s="4"/>
    </row>
    <row r="5" spans="1:6" x14ac:dyDescent="0.25">
      <c r="B5" s="7" t="s">
        <v>183</v>
      </c>
      <c r="C5" s="88" t="s">
        <v>184</v>
      </c>
    </row>
    <row r="6" spans="1:6" x14ac:dyDescent="0.25">
      <c r="B6" s="7" t="s">
        <v>185</v>
      </c>
      <c r="C6" s="88" t="s">
        <v>186</v>
      </c>
    </row>
    <row r="7" spans="1:6" x14ac:dyDescent="0.25">
      <c r="B7" s="7" t="s">
        <v>383</v>
      </c>
      <c r="C7" s="89">
        <v>6.9699999999999996E-3</v>
      </c>
    </row>
    <row r="8" spans="1:6" x14ac:dyDescent="0.25">
      <c r="B8" s="7" t="s">
        <v>187</v>
      </c>
      <c r="C8" s="31">
        <v>0.05</v>
      </c>
    </row>
    <row r="9" spans="1:6" x14ac:dyDescent="0.25">
      <c r="B9" s="7" t="s">
        <v>384</v>
      </c>
      <c r="C9" s="7">
        <v>1.64</v>
      </c>
    </row>
    <row r="10" spans="1:6" x14ac:dyDescent="0.25">
      <c r="B10" s="7" t="s">
        <v>385</v>
      </c>
      <c r="C10" s="7">
        <v>442.15</v>
      </c>
    </row>
    <row r="11" spans="1:6" x14ac:dyDescent="0.2">
      <c r="B11" s="19" t="s">
        <v>386</v>
      </c>
      <c r="C11" s="26">
        <v>4.3240000000000001E-2</v>
      </c>
    </row>
    <row r="12" spans="1:6" x14ac:dyDescent="0.25">
      <c r="B12" s="7" t="s">
        <v>104</v>
      </c>
      <c r="C12" s="31">
        <v>0.21</v>
      </c>
    </row>
    <row r="13" spans="1:6" x14ac:dyDescent="0.25">
      <c r="B13" s="7" t="s">
        <v>157</v>
      </c>
      <c r="C13" s="31">
        <v>0.02</v>
      </c>
    </row>
    <row r="26" spans="5:5" ht="13.2" x14ac:dyDescent="0.25">
      <c r="E26" s="194"/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FE3F-18C5-43C9-BAAD-7795D096AA55}">
  <dimension ref="A1:Q21"/>
  <sheetViews>
    <sheetView workbookViewId="0"/>
  </sheetViews>
  <sheetFormatPr defaultColWidth="9.109375" defaultRowHeight="11.4" x14ac:dyDescent="0.25"/>
  <cols>
    <col min="1" max="1" width="2" style="7" customWidth="1"/>
    <col min="2" max="2" width="28.88671875" style="7" customWidth="1"/>
    <col min="3" max="12" width="9.6640625" style="7" customWidth="1"/>
    <col min="13" max="16384" width="9.109375" style="7"/>
  </cols>
  <sheetData>
    <row r="1" spans="1:17" ht="15.6" x14ac:dyDescent="0.25">
      <c r="A1" s="1"/>
      <c r="B1" s="2" t="s">
        <v>208</v>
      </c>
    </row>
    <row r="2" spans="1:17" ht="15.6" x14ac:dyDescent="0.25">
      <c r="A2" s="1"/>
      <c r="B2" s="2"/>
    </row>
    <row r="3" spans="1:17" ht="12" x14ac:dyDescent="0.25">
      <c r="C3" s="226" t="s">
        <v>211</v>
      </c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</row>
    <row r="4" spans="1:17" ht="24" x14ac:dyDescent="0.25">
      <c r="B4" s="5" t="s">
        <v>247</v>
      </c>
      <c r="C4" s="6" t="s">
        <v>46</v>
      </c>
      <c r="D4" s="6" t="s">
        <v>47</v>
      </c>
      <c r="E4" s="6" t="s">
        <v>160</v>
      </c>
      <c r="F4" s="6" t="s">
        <v>333</v>
      </c>
      <c r="G4" s="6" t="s">
        <v>332</v>
      </c>
      <c r="H4" s="87" t="s">
        <v>177</v>
      </c>
      <c r="I4" s="87" t="s">
        <v>179</v>
      </c>
      <c r="J4" s="87" t="s">
        <v>180</v>
      </c>
      <c r="K4" s="87" t="s">
        <v>181</v>
      </c>
      <c r="L4" s="87" t="s">
        <v>256</v>
      </c>
      <c r="M4" s="87" t="s">
        <v>257</v>
      </c>
      <c r="N4" s="87" t="s">
        <v>257</v>
      </c>
      <c r="O4" s="87" t="s">
        <v>259</v>
      </c>
      <c r="P4" s="87" t="s">
        <v>260</v>
      </c>
      <c r="Q4" s="87" t="s">
        <v>337</v>
      </c>
    </row>
    <row r="5" spans="1:17" x14ac:dyDescent="0.25">
      <c r="B5" s="7" t="s">
        <v>3</v>
      </c>
      <c r="C5" s="13">
        <f>('P&amp;L Input'!C5+'P&amp;L Input'!C9)/1000</f>
        <v>2.19</v>
      </c>
      <c r="D5" s="13">
        <f>('P&amp;L Input'!D5+'P&amp;L Input'!D9)/1000</f>
        <v>3.0619999999999998</v>
      </c>
      <c r="E5" s="13">
        <f>('P&amp;L Input'!E5+'P&amp;L Input'!E9)/1000</f>
        <v>241.72800000000001</v>
      </c>
      <c r="F5" s="13">
        <f>('P&amp;L Input'!F5+'P&amp;L Input'!F9)/1000</f>
        <v>190.34800000000001</v>
      </c>
      <c r="G5" s="67">
        <f>('P&amp;L Input'!G5+'P&amp;L Input'!G9)/1000</f>
        <v>190</v>
      </c>
      <c r="H5" s="68" t="s">
        <v>64</v>
      </c>
      <c r="I5" s="68" t="s">
        <v>64</v>
      </c>
      <c r="J5" s="68" t="s">
        <v>64</v>
      </c>
      <c r="K5" s="68" t="s">
        <v>64</v>
      </c>
      <c r="L5" s="68" t="s">
        <v>64</v>
      </c>
      <c r="M5" s="68" t="s">
        <v>64</v>
      </c>
      <c r="N5" s="68" t="s">
        <v>64</v>
      </c>
      <c r="O5" s="68" t="s">
        <v>64</v>
      </c>
      <c r="P5" s="68" t="s">
        <v>64</v>
      </c>
      <c r="Q5" s="68" t="s">
        <v>64</v>
      </c>
    </row>
    <row r="6" spans="1:17" x14ac:dyDescent="0.25">
      <c r="B6" s="7" t="s">
        <v>2</v>
      </c>
      <c r="C6" s="13">
        <f>('P&amp;L Input'!C6+'P&amp;L Input'!C10)/1000</f>
        <v>3.6419999999999999</v>
      </c>
      <c r="D6" s="13">
        <f>('P&amp;L Input'!D6+'P&amp;L Input'!D10)/1000</f>
        <v>-4.49</v>
      </c>
      <c r="E6" s="13">
        <f>('P&amp;L Input'!E6+'P&amp;L Input'!E10)/1000</f>
        <v>-227.83699999999999</v>
      </c>
      <c r="F6" s="13">
        <f>('P&amp;L Input'!F6+'P&amp;L Input'!F10)/1000</f>
        <v>-489.31299999999999</v>
      </c>
      <c r="G6" s="78">
        <f>('P&amp;L Input'!G6+'P&amp;L Input'!G10)/1000</f>
        <v>-544</v>
      </c>
      <c r="H6" s="68" t="s">
        <v>64</v>
      </c>
      <c r="I6" s="68" t="s">
        <v>64</v>
      </c>
      <c r="J6" s="68" t="s">
        <v>64</v>
      </c>
      <c r="K6" s="68" t="s">
        <v>64</v>
      </c>
      <c r="L6" s="68" t="s">
        <v>64</v>
      </c>
      <c r="M6" s="68" t="s">
        <v>64</v>
      </c>
      <c r="N6" s="68" t="s">
        <v>64</v>
      </c>
      <c r="O6" s="68" t="s">
        <v>64</v>
      </c>
      <c r="P6" s="68" t="s">
        <v>64</v>
      </c>
      <c r="Q6" s="68" t="s">
        <v>64</v>
      </c>
    </row>
    <row r="7" spans="1:17" ht="12.6" thickBot="1" x14ac:dyDescent="0.3">
      <c r="B7" s="9" t="s">
        <v>206</v>
      </c>
      <c r="C7" s="110">
        <f>SUM(C5:C6)</f>
        <v>5.8319999999999999</v>
      </c>
      <c r="D7" s="110">
        <f t="shared" ref="D7:G7" si="0">SUM(D5:D6)</f>
        <v>-1.4280000000000004</v>
      </c>
      <c r="E7" s="110">
        <f t="shared" si="0"/>
        <v>13.89100000000002</v>
      </c>
      <c r="F7" s="110">
        <f t="shared" si="0"/>
        <v>-298.96499999999997</v>
      </c>
      <c r="G7" s="110">
        <f t="shared" si="0"/>
        <v>-354</v>
      </c>
      <c r="H7" s="110">
        <f>H11*'Revenue Energy &amp; Other'!H7</f>
        <v>90.167999999999992</v>
      </c>
      <c r="I7" s="110">
        <f>I11*'Revenue Energy &amp; Other'!I7</f>
        <v>102.79151999999999</v>
      </c>
      <c r="J7" s="110">
        <f>J11*'Revenue Energy &amp; Other'!J7</f>
        <v>113.070672</v>
      </c>
      <c r="K7" s="110">
        <f>K11*'Revenue Energy &amp; Other'!K7</f>
        <v>122.11632576</v>
      </c>
      <c r="L7" s="110">
        <f>L11*'Revenue Energy &amp; Other'!L7</f>
        <v>131.8856318208</v>
      </c>
      <c r="M7" s="110">
        <f>M11*'Revenue Energy &amp; Other'!M7</f>
        <v>142.43648236646402</v>
      </c>
      <c r="N7" s="110">
        <f>N11*'Revenue Energy &amp; Other'!N7</f>
        <v>153.83140095578116</v>
      </c>
      <c r="O7" s="110">
        <f>O11*'Revenue Energy &amp; Other'!O7</f>
        <v>166.13791303224366</v>
      </c>
      <c r="P7" s="110">
        <f>P11*'Revenue Energy &amp; Other'!P7</f>
        <v>179.42894607482319</v>
      </c>
      <c r="Q7" s="110">
        <f>Q11*'Revenue Energy &amp; Other'!Q7</f>
        <v>193.78326176080904</v>
      </c>
    </row>
    <row r="9" spans="1:17" ht="3" customHeight="1" x14ac:dyDescent="0.25"/>
    <row r="10" spans="1:17" x14ac:dyDescent="0.25">
      <c r="B10" s="80" t="s">
        <v>74</v>
      </c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</row>
    <row r="11" spans="1:17" x14ac:dyDescent="0.25">
      <c r="B11" s="81" t="s">
        <v>206</v>
      </c>
      <c r="C11" s="97">
        <f>C7/'Revenue Energy &amp; Other'!C7</f>
        <v>1.9118052004248459E-2</v>
      </c>
      <c r="D11" s="97">
        <f>D7/'Revenue Energy &amp; Other'!D7</f>
        <v>-2.1990680140321489E-3</v>
      </c>
      <c r="E11" s="97">
        <f>E7/'Revenue Energy &amp; Other'!E7</f>
        <v>6.5602462583549837E-3</v>
      </c>
      <c r="F11" s="97">
        <f>F7/'Revenue Energy &amp; Other'!F7</f>
        <v>-0.10147185353759056</v>
      </c>
      <c r="G11" s="97">
        <f>G7/'Revenue Energy &amp; Other'!G7</f>
        <v>-9.4224114985360666E-2</v>
      </c>
      <c r="H11" s="83">
        <f>CHOOSE(Drivers!$C$3,'GP Energy &amp; Other'!H14,'GP Energy &amp; Other'!H17,'GP Energy &amp; Other'!H21)</f>
        <v>0.02</v>
      </c>
      <c r="I11" s="83">
        <f>CHOOSE(Drivers!$C$3,'GP Energy &amp; Other'!I14,'GP Energy &amp; Other'!I17,'GP Energy &amp; Other'!I21)</f>
        <v>0.02</v>
      </c>
      <c r="J11" s="83">
        <f>CHOOSE(Drivers!$C$3,'GP Energy &amp; Other'!J14,'GP Energy &amp; Other'!J17,'GP Energy &amp; Other'!J21)</f>
        <v>0.02</v>
      </c>
      <c r="K11" s="83">
        <f>CHOOSE(Drivers!$C$3,'GP Energy &amp; Other'!K14,'GP Energy &amp; Other'!K17,'GP Energy &amp; Other'!K21)</f>
        <v>0.02</v>
      </c>
      <c r="L11" s="83">
        <f>CHOOSE(Drivers!$C$3,'GP Energy &amp; Other'!L14,'GP Energy &amp; Other'!L17,'GP Energy &amp; Other'!L21)</f>
        <v>0.02</v>
      </c>
      <c r="M11" s="83">
        <f>CHOOSE(Drivers!$C$3,'GP Energy &amp; Other'!M14,'GP Energy &amp; Other'!M17,'GP Energy &amp; Other'!M21)</f>
        <v>0.02</v>
      </c>
      <c r="N11" s="83">
        <f>CHOOSE(Drivers!$C$3,'GP Energy &amp; Other'!N14,'GP Energy &amp; Other'!N17,'GP Energy &amp; Other'!N21)</f>
        <v>0.02</v>
      </c>
      <c r="O11" s="83">
        <f>CHOOSE(Drivers!$C$3,'GP Energy &amp; Other'!O14,'GP Energy &amp; Other'!O17,'GP Energy &amp; Other'!O21)</f>
        <v>0.02</v>
      </c>
      <c r="P11" s="83">
        <f>CHOOSE(Drivers!$C$3,'GP Energy &amp; Other'!P14,'GP Energy &amp; Other'!P17,'GP Energy &amp; Other'!P21)</f>
        <v>0.02</v>
      </c>
      <c r="Q11" s="83">
        <f>CHOOSE(Drivers!$C$3,'GP Energy &amp; Other'!Q14,'GP Energy &amp; Other'!Q17,'GP Energy &amp; Other'!Q21)</f>
        <v>0.02</v>
      </c>
    </row>
    <row r="12" spans="1:17" x14ac:dyDescent="0.25">
      <c r="B12" s="81"/>
      <c r="C12" s="84"/>
      <c r="D12" s="84"/>
      <c r="E12" s="84"/>
      <c r="F12" s="84"/>
      <c r="G12" s="81"/>
      <c r="H12" s="84"/>
      <c r="I12" s="82"/>
      <c r="J12" s="82"/>
      <c r="K12" s="82"/>
      <c r="L12" s="82"/>
      <c r="M12" s="82"/>
      <c r="N12" s="82"/>
      <c r="O12" s="82"/>
      <c r="P12" s="82"/>
      <c r="Q12" s="82"/>
    </row>
    <row r="13" spans="1:17" x14ac:dyDescent="0.25">
      <c r="B13" s="96" t="s">
        <v>210</v>
      </c>
      <c r="C13" s="84"/>
      <c r="D13" s="84"/>
      <c r="E13" s="84"/>
      <c r="F13" s="84"/>
      <c r="G13" s="81"/>
      <c r="H13" s="84"/>
      <c r="I13" s="82"/>
      <c r="J13" s="82"/>
      <c r="K13" s="82"/>
      <c r="L13" s="82"/>
      <c r="M13" s="82"/>
      <c r="N13" s="82"/>
      <c r="O13" s="82"/>
      <c r="P13" s="82"/>
      <c r="Q13" s="82"/>
    </row>
    <row r="14" spans="1:17" x14ac:dyDescent="0.25">
      <c r="B14" s="80" t="s">
        <v>70</v>
      </c>
      <c r="C14" s="81"/>
      <c r="D14" s="81"/>
      <c r="E14" s="81"/>
      <c r="F14" s="81"/>
      <c r="G14" s="81"/>
      <c r="H14" s="72">
        <f>H17+Drivers!$C$13</f>
        <v>0.02</v>
      </c>
      <c r="I14" s="72">
        <f>I17+Drivers!$C$13</f>
        <v>0.02</v>
      </c>
      <c r="J14" s="72">
        <f>J17+Drivers!$C$13</f>
        <v>0.02</v>
      </c>
      <c r="K14" s="72">
        <f>K17+Drivers!$C$13</f>
        <v>0.02</v>
      </c>
      <c r="L14" s="72">
        <f>L17+Drivers!$C$13</f>
        <v>0.02</v>
      </c>
      <c r="M14" s="72">
        <f>M17+Drivers!$C$13</f>
        <v>0.02</v>
      </c>
      <c r="N14" s="72">
        <f>N17+Drivers!$C$13</f>
        <v>0.02</v>
      </c>
      <c r="O14" s="72">
        <f>O17+Drivers!$C$13</f>
        <v>0.02</v>
      </c>
      <c r="P14" s="72">
        <f>P17+Drivers!$C$13</f>
        <v>0.02</v>
      </c>
      <c r="Q14" s="72">
        <f>Q17+Drivers!$C$13</f>
        <v>0.02</v>
      </c>
    </row>
    <row r="15" spans="1:17" x14ac:dyDescent="0.25">
      <c r="B15" s="81" t="s">
        <v>206</v>
      </c>
      <c r="C15" s="84"/>
      <c r="D15" s="72"/>
      <c r="E15" s="72"/>
      <c r="F15" s="72"/>
      <c r="G15" s="81"/>
      <c r="H15" s="72"/>
      <c r="I15" s="72"/>
      <c r="J15" s="72"/>
      <c r="K15" s="72"/>
      <c r="L15" s="72"/>
      <c r="M15" s="72"/>
      <c r="N15" s="72"/>
      <c r="O15" s="72"/>
      <c r="P15" s="72"/>
      <c r="Q15" s="72"/>
    </row>
    <row r="16" spans="1:17" x14ac:dyDescent="0.25">
      <c r="B16" s="81"/>
      <c r="C16" s="84"/>
      <c r="D16" s="84"/>
      <c r="E16" s="84"/>
      <c r="F16" s="84"/>
      <c r="G16" s="81"/>
      <c r="H16" s="84"/>
      <c r="I16" s="82"/>
      <c r="J16" s="82"/>
      <c r="K16" s="82"/>
      <c r="L16" s="82"/>
      <c r="M16" s="82"/>
      <c r="N16" s="82"/>
      <c r="O16" s="82"/>
      <c r="P16" s="82"/>
      <c r="Q16" s="82"/>
    </row>
    <row r="17" spans="2:17" x14ac:dyDescent="0.25">
      <c r="B17" s="80" t="s">
        <v>71</v>
      </c>
      <c r="C17" s="81"/>
      <c r="D17" s="81"/>
      <c r="E17" s="81"/>
      <c r="F17" s="81"/>
      <c r="G17" s="81"/>
      <c r="H17" s="82">
        <v>0</v>
      </c>
      <c r="I17" s="82">
        <f>$H$17</f>
        <v>0</v>
      </c>
      <c r="J17" s="82">
        <f t="shared" ref="J17:Q17" si="1">$H$17</f>
        <v>0</v>
      </c>
      <c r="K17" s="82">
        <f t="shared" si="1"/>
        <v>0</v>
      </c>
      <c r="L17" s="82">
        <f t="shared" si="1"/>
        <v>0</v>
      </c>
      <c r="M17" s="82">
        <f t="shared" si="1"/>
        <v>0</v>
      </c>
      <c r="N17" s="82">
        <f t="shared" si="1"/>
        <v>0</v>
      </c>
      <c r="O17" s="82">
        <f t="shared" si="1"/>
        <v>0</v>
      </c>
      <c r="P17" s="82">
        <f t="shared" si="1"/>
        <v>0</v>
      </c>
      <c r="Q17" s="82">
        <f t="shared" si="1"/>
        <v>0</v>
      </c>
    </row>
    <row r="18" spans="2:17" x14ac:dyDescent="0.25">
      <c r="B18" s="81" t="s">
        <v>206</v>
      </c>
      <c r="C18" s="84"/>
      <c r="D18" s="72"/>
      <c r="E18" s="72"/>
      <c r="F18" s="72"/>
      <c r="G18" s="81"/>
      <c r="H18" s="83"/>
      <c r="I18" s="83"/>
      <c r="J18" s="83"/>
      <c r="K18" s="83"/>
      <c r="L18" s="83"/>
      <c r="M18" s="83"/>
      <c r="N18" s="83"/>
      <c r="O18" s="83"/>
      <c r="P18" s="83"/>
      <c r="Q18" s="83"/>
    </row>
    <row r="19" spans="2:17" x14ac:dyDescent="0.25">
      <c r="B19" s="81"/>
      <c r="C19" s="84"/>
      <c r="D19" s="84"/>
      <c r="E19" s="84"/>
      <c r="F19" s="84"/>
      <c r="G19" s="81"/>
      <c r="H19" s="84"/>
      <c r="I19" s="82"/>
      <c r="J19" s="82"/>
      <c r="K19" s="82"/>
      <c r="L19" s="82"/>
      <c r="M19" s="82"/>
      <c r="N19" s="82"/>
      <c r="O19" s="82"/>
      <c r="P19" s="82"/>
      <c r="Q19" s="82"/>
    </row>
    <row r="20" spans="2:17" x14ac:dyDescent="0.25">
      <c r="B20" s="80" t="s">
        <v>72</v>
      </c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17" x14ac:dyDescent="0.25">
      <c r="B21" s="81" t="s">
        <v>206</v>
      </c>
      <c r="C21" s="84"/>
      <c r="D21" s="72"/>
      <c r="E21" s="72"/>
      <c r="F21" s="72"/>
      <c r="G21" s="81"/>
      <c r="H21" s="72">
        <f>H18-Drivers!$C$13</f>
        <v>-0.02</v>
      </c>
      <c r="I21" s="72">
        <f>I18-Drivers!$C$13</f>
        <v>-0.02</v>
      </c>
      <c r="J21" s="72">
        <f>J18-Drivers!$C$13</f>
        <v>-0.02</v>
      </c>
      <c r="K21" s="72">
        <f>K18-Drivers!$C$13</f>
        <v>-0.02</v>
      </c>
      <c r="L21" s="72">
        <f>L18-Drivers!$C$13</f>
        <v>-0.02</v>
      </c>
      <c r="M21" s="72">
        <f>M18-Drivers!$C$13</f>
        <v>-0.02</v>
      </c>
      <c r="N21" s="72">
        <f>N18-Drivers!$C$13</f>
        <v>-0.02</v>
      </c>
      <c r="O21" s="72">
        <f>O18-Drivers!$C$13</f>
        <v>-0.02</v>
      </c>
      <c r="P21" s="72">
        <f>P18-Drivers!$C$13</f>
        <v>-0.02</v>
      </c>
      <c r="Q21" s="72">
        <f>Q18-Drivers!$C$13</f>
        <v>-0.02</v>
      </c>
    </row>
  </sheetData>
  <mergeCells count="1">
    <mergeCell ref="C3:Q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457F-93E7-4572-ADC8-20C6AC83BA95}">
  <dimension ref="A1:Q7"/>
  <sheetViews>
    <sheetView workbookViewId="0"/>
  </sheetViews>
  <sheetFormatPr defaultColWidth="9.109375" defaultRowHeight="11.4" x14ac:dyDescent="0.25"/>
  <cols>
    <col min="1" max="1" width="2" style="7" customWidth="1"/>
    <col min="2" max="2" width="28.6640625" style="7" customWidth="1"/>
    <col min="3" max="17" width="9.6640625" style="7" customWidth="1"/>
    <col min="18" max="16384" width="9.109375" style="7"/>
  </cols>
  <sheetData>
    <row r="1" spans="1:17" ht="15.6" x14ac:dyDescent="0.25">
      <c r="A1" s="1"/>
      <c r="B1" s="2" t="s">
        <v>238</v>
      </c>
    </row>
    <row r="2" spans="1:17" ht="15.6" x14ac:dyDescent="0.25">
      <c r="A2" s="1"/>
      <c r="B2" s="2"/>
    </row>
    <row r="3" spans="1:17" ht="12" x14ac:dyDescent="0.25">
      <c r="C3" s="226" t="s">
        <v>316</v>
      </c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</row>
    <row r="4" spans="1:17" ht="24" x14ac:dyDescent="0.25">
      <c r="B4" s="5" t="s">
        <v>247</v>
      </c>
      <c r="C4" s="6" t="s">
        <v>46</v>
      </c>
      <c r="D4" s="6" t="s">
        <v>47</v>
      </c>
      <c r="E4" s="6" t="s">
        <v>160</v>
      </c>
      <c r="F4" s="6" t="s">
        <v>333</v>
      </c>
      <c r="G4" s="6" t="s">
        <v>332</v>
      </c>
      <c r="H4" s="87" t="s">
        <v>177</v>
      </c>
      <c r="I4" s="87" t="s">
        <v>179</v>
      </c>
      <c r="J4" s="87" t="s">
        <v>180</v>
      </c>
      <c r="K4" s="87" t="s">
        <v>181</v>
      </c>
      <c r="L4" s="87" t="s">
        <v>256</v>
      </c>
      <c r="M4" s="87" t="s">
        <v>257</v>
      </c>
      <c r="N4" s="87" t="s">
        <v>258</v>
      </c>
      <c r="O4" s="87" t="s">
        <v>259</v>
      </c>
      <c r="P4" s="87" t="s">
        <v>260</v>
      </c>
      <c r="Q4" s="87" t="s">
        <v>337</v>
      </c>
    </row>
    <row r="5" spans="1:17" x14ac:dyDescent="0.25">
      <c r="B5" s="7" t="s">
        <v>3</v>
      </c>
      <c r="C5" s="13">
        <f>-('Revenue Energy &amp; Other'!C5-'GP Energy &amp; Other'!C5)</f>
        <v>-12.287000000000001</v>
      </c>
      <c r="D5" s="13">
        <f>-('Revenue Energy &amp; Other'!D5-'GP Energy &amp; Other'!D5)</f>
        <v>-178.33199999999999</v>
      </c>
      <c r="E5" s="13">
        <f>-('Revenue Energy &amp; Other'!E5-'GP Energy &amp; Other'!E5)</f>
        <v>-874.53800000000001</v>
      </c>
      <c r="F5" s="13">
        <f>-('Revenue Energy &amp; Other'!F5-'GP Energy &amp; Other'!F5)</f>
        <v>-1364.896</v>
      </c>
      <c r="G5" s="67">
        <f>-('Revenue Energy &amp; Other'!G5-'GP Energy &amp; Other'!G5)</f>
        <v>-1341</v>
      </c>
      <c r="H5" s="68" t="s">
        <v>64</v>
      </c>
      <c r="I5" s="68" t="s">
        <v>64</v>
      </c>
      <c r="J5" s="68" t="s">
        <v>64</v>
      </c>
      <c r="K5" s="68" t="s">
        <v>64</v>
      </c>
      <c r="L5" s="68" t="s">
        <v>64</v>
      </c>
      <c r="M5" s="68" t="s">
        <v>64</v>
      </c>
      <c r="N5" s="68" t="s">
        <v>64</v>
      </c>
      <c r="O5" s="68" t="s">
        <v>64</v>
      </c>
      <c r="P5" s="68" t="s">
        <v>64</v>
      </c>
      <c r="Q5" s="68" t="s">
        <v>64</v>
      </c>
    </row>
    <row r="6" spans="1:17" x14ac:dyDescent="0.25">
      <c r="B6" s="7" t="s">
        <v>2</v>
      </c>
      <c r="C6" s="13">
        <f>-('Revenue Energy &amp; Other'!C6-'GP Energy &amp; Other'!C6)</f>
        <v>-286.93299999999999</v>
      </c>
      <c r="D6" s="13">
        <f>-('Revenue Energy &amp; Other'!D6-'GP Energy &amp; Other'!D6)</f>
        <v>-472.46199999999999</v>
      </c>
      <c r="E6" s="13">
        <f>-('Revenue Energy &amp; Other'!E6-'GP Energy &amp; Other'!E6)</f>
        <v>-1229.0219999999999</v>
      </c>
      <c r="F6" s="13">
        <f>-('Revenue Energy &amp; Other'!F6-'GP Energy &amp; Other'!F6)</f>
        <v>-1880.3539999999998</v>
      </c>
      <c r="G6" s="78">
        <f>-('Revenue Energy &amp; Other'!G6-'GP Energy &amp; Other'!G6)</f>
        <v>-2770</v>
      </c>
      <c r="H6" s="68" t="s">
        <v>64</v>
      </c>
      <c r="I6" s="68" t="s">
        <v>64</v>
      </c>
      <c r="J6" s="68" t="s">
        <v>64</v>
      </c>
      <c r="K6" s="68" t="s">
        <v>64</v>
      </c>
      <c r="L6" s="68" t="s">
        <v>64</v>
      </c>
      <c r="M6" s="68" t="s">
        <v>64</v>
      </c>
      <c r="N6" s="68" t="s">
        <v>64</v>
      </c>
      <c r="O6" s="68" t="s">
        <v>64</v>
      </c>
      <c r="P6" s="68" t="s">
        <v>64</v>
      </c>
      <c r="Q6" s="68" t="s">
        <v>64</v>
      </c>
    </row>
    <row r="7" spans="1:17" ht="12.6" thickBot="1" x14ac:dyDescent="0.3">
      <c r="B7" s="9" t="s">
        <v>206</v>
      </c>
      <c r="C7" s="110">
        <f>SUM(C5:C6)</f>
        <v>-299.21999999999997</v>
      </c>
      <c r="D7" s="110">
        <f t="shared" ref="D7:G7" si="0">SUM(D5:D6)</f>
        <v>-650.79399999999998</v>
      </c>
      <c r="E7" s="110">
        <f t="shared" si="0"/>
        <v>-2103.56</v>
      </c>
      <c r="F7" s="110">
        <f t="shared" si="0"/>
        <v>-3245.25</v>
      </c>
      <c r="G7" s="110">
        <f t="shared" si="0"/>
        <v>-4111</v>
      </c>
      <c r="H7" s="110">
        <f>-('Revenue Energy &amp; Other'!H7-'GP Energy &amp; Other'!H7)</f>
        <v>-4418.232</v>
      </c>
      <c r="I7" s="110">
        <f>-('Revenue Energy &amp; Other'!I7-'GP Energy &amp; Other'!I7)</f>
        <v>-5036.7844799999993</v>
      </c>
      <c r="J7" s="110">
        <f>-('Revenue Energy &amp; Other'!J7-'GP Energy &amp; Other'!J7)</f>
        <v>-5540.4629279999999</v>
      </c>
      <c r="K7" s="110">
        <f>-('Revenue Energy &amp; Other'!K7-'GP Energy &amp; Other'!K7)</f>
        <v>-5983.6999622399999</v>
      </c>
      <c r="L7" s="110">
        <f>-('Revenue Energy &amp; Other'!L7-'GP Energy &amp; Other'!L7)</f>
        <v>-6462.3959592192004</v>
      </c>
      <c r="M7" s="110">
        <f>-('Revenue Energy &amp; Other'!M7-'GP Energy &amp; Other'!M7)</f>
        <v>-6979.3876359567375</v>
      </c>
      <c r="N7" s="110">
        <f>-('Revenue Energy &amp; Other'!N7-'GP Energy &amp; Other'!N7)</f>
        <v>-7537.738646833277</v>
      </c>
      <c r="O7" s="110">
        <f>-('Revenue Energy &amp; Other'!O7-'GP Energy &amp; Other'!O7)</f>
        <v>-8140.7577385799395</v>
      </c>
      <c r="P7" s="110">
        <f>-('Revenue Energy &amp; Other'!P7-'GP Energy &amp; Other'!P7)</f>
        <v>-8792.0183576663367</v>
      </c>
      <c r="Q7" s="110">
        <f>-('Revenue Energy &amp; Other'!Q7-'GP Energy &amp; Other'!Q7)</f>
        <v>-9495.3798262796427</v>
      </c>
    </row>
  </sheetData>
  <mergeCells count="1">
    <mergeCell ref="C3:Q3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CA0A-F2BA-4E02-A439-DBA4CEBBADDC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0" t="s">
        <v>102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37C4-BBE9-4EBB-8B73-473820CAAA92}">
  <dimension ref="A1:F18"/>
  <sheetViews>
    <sheetView workbookViewId="0"/>
  </sheetViews>
  <sheetFormatPr defaultColWidth="9.109375" defaultRowHeight="11.4" x14ac:dyDescent="0.25"/>
  <cols>
    <col min="1" max="1" width="2" style="7" customWidth="1"/>
    <col min="2" max="2" width="17.6640625" style="7" customWidth="1"/>
    <col min="3" max="3" width="33.33203125" style="7" customWidth="1"/>
    <col min="4" max="4" width="11.6640625" style="7" customWidth="1"/>
    <col min="5" max="6" width="9.109375" style="7"/>
    <col min="7" max="7" width="2" style="7" customWidth="1"/>
    <col min="8" max="16384" width="9.109375" style="7"/>
  </cols>
  <sheetData>
    <row r="1" spans="1:6" ht="15.6" x14ac:dyDescent="0.25">
      <c r="A1" s="1"/>
      <c r="B1" s="2" t="s">
        <v>234</v>
      </c>
    </row>
    <row r="2" spans="1:6" ht="15.6" x14ac:dyDescent="0.25">
      <c r="A2" s="1"/>
      <c r="B2" s="2"/>
    </row>
    <row r="3" spans="1:6" ht="13.2" x14ac:dyDescent="0.25">
      <c r="A3" s="1"/>
      <c r="B3" s="91" t="s">
        <v>381</v>
      </c>
    </row>
    <row r="5" spans="1:6" x14ac:dyDescent="0.25">
      <c r="F5" s="7" t="s">
        <v>194</v>
      </c>
    </row>
    <row r="6" spans="1:6" ht="12" x14ac:dyDescent="0.25">
      <c r="B6" s="33" t="s">
        <v>327</v>
      </c>
      <c r="C6" s="59" t="s">
        <v>191</v>
      </c>
      <c r="D6" s="59" t="s">
        <v>225</v>
      </c>
    </row>
    <row r="7" spans="1:6" x14ac:dyDescent="0.25">
      <c r="B7" s="7" t="s">
        <v>214</v>
      </c>
      <c r="C7" s="98">
        <v>0.152</v>
      </c>
      <c r="D7" s="100">
        <f>C7</f>
        <v>0.152</v>
      </c>
    </row>
    <row r="8" spans="1:6" x14ac:dyDescent="0.25">
      <c r="B8" s="7" t="s">
        <v>215</v>
      </c>
      <c r="C8" s="100">
        <f>(11161+9472)/155900</f>
        <v>0.13234765875561258</v>
      </c>
      <c r="D8" s="100">
        <f>C8</f>
        <v>0.13234765875561258</v>
      </c>
    </row>
    <row r="9" spans="1:6" x14ac:dyDescent="0.25">
      <c r="B9" s="7" t="s">
        <v>216</v>
      </c>
      <c r="C9" s="100">
        <f>(6455+3612)/108187</f>
        <v>9.3051845415807813E-2</v>
      </c>
      <c r="D9" s="100">
        <f>C9</f>
        <v>9.3051845415807813E-2</v>
      </c>
    </row>
    <row r="10" spans="1:6" x14ac:dyDescent="0.25">
      <c r="B10" s="7" t="s">
        <v>217</v>
      </c>
      <c r="C10" s="100">
        <f>(7762+2335-976)/91682</f>
        <v>9.9485177024934007E-2</v>
      </c>
      <c r="D10" s="100">
        <f>C10</f>
        <v>9.9485177024934007E-2</v>
      </c>
    </row>
    <row r="11" spans="1:6" x14ac:dyDescent="0.25">
      <c r="B11" s="7" t="s">
        <v>218</v>
      </c>
      <c r="C11" s="31">
        <v>0.11</v>
      </c>
      <c r="D11" s="100">
        <f>C11</f>
        <v>0.11</v>
      </c>
    </row>
    <row r="12" spans="1:6" x14ac:dyDescent="0.25">
      <c r="B12" s="112" t="s">
        <v>219</v>
      </c>
      <c r="C12" s="101">
        <f>(2820+5567-1576+2164)/24214</f>
        <v>0.37065334104237219</v>
      </c>
      <c r="D12" s="101"/>
    </row>
    <row r="13" spans="1:6" x14ac:dyDescent="0.25">
      <c r="B13" s="7" t="s">
        <v>220</v>
      </c>
      <c r="C13" s="31">
        <v>0.30660065131342956</v>
      </c>
      <c r="D13" s="100">
        <f>C13</f>
        <v>0.30660065131342956</v>
      </c>
    </row>
    <row r="14" spans="1:6" x14ac:dyDescent="0.25">
      <c r="B14" s="112" t="s">
        <v>221</v>
      </c>
      <c r="C14" s="101">
        <f>(343179+699211)/3766615</f>
        <v>0.27674450401753298</v>
      </c>
      <c r="D14" s="101"/>
    </row>
    <row r="15" spans="1:6" x14ac:dyDescent="0.25">
      <c r="B15" s="7" t="s">
        <v>222</v>
      </c>
      <c r="C15" s="100">
        <v>0.15</v>
      </c>
      <c r="D15" s="100">
        <f>C15</f>
        <v>0.15</v>
      </c>
    </row>
    <row r="16" spans="1:6" x14ac:dyDescent="0.25">
      <c r="B16" s="7" t="s">
        <v>223</v>
      </c>
      <c r="C16" s="100">
        <v>0.15</v>
      </c>
      <c r="D16" s="100">
        <f>C16</f>
        <v>0.15</v>
      </c>
    </row>
    <row r="17" spans="2:4" x14ac:dyDescent="0.25">
      <c r="B17" s="112" t="s">
        <v>224</v>
      </c>
      <c r="C17" s="101">
        <f>(327+562)/24120</f>
        <v>3.6857379767827526E-2</v>
      </c>
      <c r="D17" s="101">
        <f>C17</f>
        <v>3.6857379767827526E-2</v>
      </c>
    </row>
    <row r="18" spans="2:4" ht="12" x14ac:dyDescent="0.25">
      <c r="B18" s="8" t="s">
        <v>191</v>
      </c>
      <c r="C18" s="102">
        <f>AVERAGE(C7:C17)</f>
        <v>0.17070368703068331</v>
      </c>
      <c r="D18" s="102">
        <f>AVERAGE(D7:D17)</f>
        <v>0.13670474580862349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20"/>
  <sheetViews>
    <sheetView workbookViewId="0"/>
  </sheetViews>
  <sheetFormatPr defaultColWidth="9.109375" defaultRowHeight="11.4" x14ac:dyDescent="0.25"/>
  <cols>
    <col min="1" max="1" width="2" style="7" customWidth="1"/>
    <col min="2" max="2" width="25.6640625" style="7" bestFit="1" customWidth="1"/>
    <col min="3" max="12" width="9.6640625" style="7" customWidth="1"/>
    <col min="13" max="13" width="10.44140625" style="7" bestFit="1" customWidth="1"/>
    <col min="14" max="16384" width="9.109375" style="7"/>
  </cols>
  <sheetData>
    <row r="1" spans="1:17" ht="15.6" x14ac:dyDescent="0.25">
      <c r="A1" s="1"/>
      <c r="B1" s="2" t="s">
        <v>77</v>
      </c>
    </row>
    <row r="3" spans="1:17" ht="12" x14ac:dyDescent="0.25">
      <c r="C3" s="226" t="s">
        <v>227</v>
      </c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</row>
    <row r="4" spans="1:17" ht="24" x14ac:dyDescent="0.25">
      <c r="B4" s="5" t="s">
        <v>247</v>
      </c>
      <c r="C4" s="6" t="s">
        <v>46</v>
      </c>
      <c r="D4" s="6" t="s">
        <v>47</v>
      </c>
      <c r="E4" s="6" t="s">
        <v>160</v>
      </c>
      <c r="F4" s="6" t="s">
        <v>333</v>
      </c>
      <c r="G4" s="6" t="s">
        <v>332</v>
      </c>
      <c r="H4" s="87" t="s">
        <v>177</v>
      </c>
      <c r="I4" s="87" t="s">
        <v>179</v>
      </c>
      <c r="J4" s="87" t="s">
        <v>180</v>
      </c>
      <c r="K4" s="87" t="s">
        <v>181</v>
      </c>
      <c r="L4" s="87" t="s">
        <v>256</v>
      </c>
      <c r="M4" s="87" t="s">
        <v>257</v>
      </c>
      <c r="N4" s="87" t="s">
        <v>258</v>
      </c>
      <c r="O4" s="87" t="s">
        <v>259</v>
      </c>
      <c r="P4" s="87" t="s">
        <v>260</v>
      </c>
      <c r="Q4" s="87" t="s">
        <v>337</v>
      </c>
    </row>
    <row r="5" spans="1:17" x14ac:dyDescent="0.25">
      <c r="B5" s="7" t="s">
        <v>101</v>
      </c>
      <c r="C5" s="13">
        <f>'Revenue Energy &amp; Other'!C7+'Revenue automotive'!C11</f>
        <v>4046.0250000000001</v>
      </c>
      <c r="D5" s="13">
        <f>'Revenue Energy &amp; Other'!D7+'Revenue automotive'!D11</f>
        <v>7000.1319999999996</v>
      </c>
      <c r="E5" s="13">
        <f>'Revenue Energy &amp; Other'!E7+'Revenue automotive'!E11</f>
        <v>11758.751</v>
      </c>
      <c r="F5" s="13">
        <f>'Revenue Energy &amp; Other'!F7+'Revenue automotive'!F11</f>
        <v>21461.268</v>
      </c>
      <c r="G5" s="67">
        <f>'Revenue Energy &amp; Other'!G7+'Revenue automotive'!G11</f>
        <v>24578</v>
      </c>
      <c r="H5" s="68">
        <f>'Revenue Energy &amp; Other'!H7+'Revenue automotive'!H11</f>
        <v>38391.95310862</v>
      </c>
      <c r="I5" s="68">
        <f>'Revenue Energy &amp; Other'!I7+'Revenue automotive'!I11</f>
        <v>51006.612211716805</v>
      </c>
      <c r="J5" s="68">
        <f>'Revenue Energy &amp; Other'!J7+'Revenue automotive'!J11</f>
        <v>69356.386011189825</v>
      </c>
      <c r="K5" s="68">
        <f>'Revenue Energy &amp; Other'!K7+'Revenue automotive'!K11</f>
        <v>89202.198600490941</v>
      </c>
      <c r="L5" s="68">
        <f>'Revenue Energy &amp; Other'!L7+'Revenue automotive'!L11</f>
        <v>101895.098155514</v>
      </c>
      <c r="M5" s="68">
        <f>'Revenue Energy &amp; Other'!M7+'Revenue automotive'!M11</f>
        <v>109196.86402153785</v>
      </c>
      <c r="N5" s="68">
        <f>'Revenue Energy &amp; Other'!N7+'Revenue automotive'!N11</f>
        <v>116379.14488181408</v>
      </c>
      <c r="O5" s="68">
        <f>'Revenue Energy &amp; Other'!O7+'Revenue automotive'!O11</f>
        <v>123702.31890140475</v>
      </c>
      <c r="P5" s="68">
        <f>'Revenue Energy &amp; Other'!P7+'Revenue automotive'!P11</f>
        <v>129831.53765258536</v>
      </c>
      <c r="Q5" s="68">
        <f>'Revenue Energy &amp; Other'!Q7+'Revenue automotive'!Q11</f>
        <v>135383.65705083843</v>
      </c>
    </row>
    <row r="6" spans="1:17" x14ac:dyDescent="0.25">
      <c r="B6" s="7" t="s">
        <v>78</v>
      </c>
      <c r="C6" s="16">
        <f>C7/C5</f>
        <v>-0.40536872609536523</v>
      </c>
      <c r="D6" s="16">
        <f>D7/D5</f>
        <v>-0.32379346560893429</v>
      </c>
      <c r="E6" s="16">
        <f>E7/E5</f>
        <v>-0.32780462822964784</v>
      </c>
      <c r="F6" s="16">
        <f>F7/F5</f>
        <v>-0.20642275190822834</v>
      </c>
      <c r="G6" s="16">
        <f>G7/G5</f>
        <v>-0.16836194971112378</v>
      </c>
      <c r="H6" s="99">
        <f>H10</f>
        <v>-0.11670474580862349</v>
      </c>
      <c r="I6" s="99">
        <f t="shared" ref="I6:Q6" si="0">I10</f>
        <v>-0.11670474580862349</v>
      </c>
      <c r="J6" s="99">
        <f t="shared" si="0"/>
        <v>-0.11670474580862349</v>
      </c>
      <c r="K6" s="99">
        <f t="shared" si="0"/>
        <v>-0.11670474580862349</v>
      </c>
      <c r="L6" s="99">
        <f t="shared" si="0"/>
        <v>-0.11670474580862349</v>
      </c>
      <c r="M6" s="99">
        <f t="shared" si="0"/>
        <v>-0.11670474580862349</v>
      </c>
      <c r="N6" s="99">
        <f t="shared" si="0"/>
        <v>-0.11670474580862349</v>
      </c>
      <c r="O6" s="99">
        <f t="shared" si="0"/>
        <v>-0.11670474580862349</v>
      </c>
      <c r="P6" s="99">
        <f t="shared" si="0"/>
        <v>-0.11670474580862349</v>
      </c>
      <c r="Q6" s="99">
        <f t="shared" si="0"/>
        <v>-0.11670474580862349</v>
      </c>
    </row>
    <row r="7" spans="1:17" ht="12" x14ac:dyDescent="0.25">
      <c r="B7" s="94" t="s">
        <v>77</v>
      </c>
      <c r="C7" s="94">
        <f>('P&amp;L Input'!C12+'P&amp;L Input'!C13+'P&amp;L Input'!C14)/1000</f>
        <v>-1640.1320000000001</v>
      </c>
      <c r="D7" s="94">
        <f>('P&amp;L Input'!D12+'P&amp;L Input'!D13+'P&amp;L Input'!D14)/1000</f>
        <v>-2266.5970000000002</v>
      </c>
      <c r="E7" s="94">
        <f>('P&amp;L Input'!E12+'P&amp;L Input'!E13+'P&amp;L Input'!E14)/1000</f>
        <v>-3854.5729999999999</v>
      </c>
      <c r="F7" s="94">
        <f>('P&amp;L Input'!F12+'P&amp;L Input'!F13+'P&amp;L Input'!F14)/1000</f>
        <v>-4430.0940000000001</v>
      </c>
      <c r="G7" s="94">
        <f>('P&amp;L Input'!G12+'P&amp;L Input'!G13+'P&amp;L Input'!G14)/1000</f>
        <v>-4138</v>
      </c>
      <c r="H7" s="70">
        <f>H5*H6</f>
        <v>-4480.5231286380895</v>
      </c>
      <c r="I7" s="70">
        <f t="shared" ref="I7:Q7" si="1">I5*I6</f>
        <v>-5952.71371272744</v>
      </c>
      <c r="J7" s="70">
        <f t="shared" si="1"/>
        <v>-8094.2193996406786</v>
      </c>
      <c r="K7" s="70">
        <f t="shared" si="1"/>
        <v>-10410.319913240644</v>
      </c>
      <c r="L7" s="70">
        <f t="shared" si="1"/>
        <v>-11891.641529384002</v>
      </c>
      <c r="M7" s="70">
        <f t="shared" si="1"/>
        <v>-12743.792258732399</v>
      </c>
      <c r="N7" s="70">
        <f t="shared" si="1"/>
        <v>-13581.998520857076</v>
      </c>
      <c r="O7" s="70">
        <f t="shared" si="1"/>
        <v>-14436.647683325722</v>
      </c>
      <c r="P7" s="70">
        <f t="shared" si="1"/>
        <v>-15151.956599687705</v>
      </c>
      <c r="Q7" s="70">
        <f t="shared" si="1"/>
        <v>-15799.915282759956</v>
      </c>
    </row>
    <row r="8" spans="1:17" x14ac:dyDescent="0.25"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</row>
    <row r="9" spans="1:17" x14ac:dyDescent="0.25">
      <c r="B9" s="80" t="s">
        <v>74</v>
      </c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</row>
    <row r="10" spans="1:17" x14ac:dyDescent="0.25">
      <c r="B10" s="81" t="s">
        <v>226</v>
      </c>
      <c r="C10" s="97"/>
      <c r="D10" s="97"/>
      <c r="E10" s="97"/>
      <c r="F10" s="97"/>
      <c r="G10" s="81"/>
      <c r="H10" s="83">
        <f>CHOOSE(Drivers!$C$3,Opex!H14,Opex!H17,Opex!H20)</f>
        <v>-0.11670474580862349</v>
      </c>
      <c r="I10" s="83">
        <f>CHOOSE(Drivers!$C$3,Opex!I14,Opex!I17,Opex!I20)</f>
        <v>-0.11670474580862349</v>
      </c>
      <c r="J10" s="83">
        <f>CHOOSE(Drivers!$C$3,Opex!J14,Opex!J17,Opex!J20)</f>
        <v>-0.11670474580862349</v>
      </c>
      <c r="K10" s="83">
        <f>CHOOSE(Drivers!$C$3,Opex!K14,Opex!K17,Opex!K20)</f>
        <v>-0.11670474580862349</v>
      </c>
      <c r="L10" s="83">
        <f>CHOOSE(Drivers!$C$3,Opex!L14,Opex!L17,Opex!L20)</f>
        <v>-0.11670474580862349</v>
      </c>
      <c r="M10" s="83">
        <f>CHOOSE(Drivers!$C$3,Opex!M14,Opex!M17,Opex!M20)</f>
        <v>-0.11670474580862349</v>
      </c>
      <c r="N10" s="83">
        <f>CHOOSE(Drivers!$C$3,Opex!N14,Opex!N17,Opex!N20)</f>
        <v>-0.11670474580862349</v>
      </c>
      <c r="O10" s="83">
        <f>CHOOSE(Drivers!$C$3,Opex!O14,Opex!O17,Opex!O20)</f>
        <v>-0.11670474580862349</v>
      </c>
      <c r="P10" s="83">
        <f>CHOOSE(Drivers!$C$3,Opex!P14,Opex!P17,Opex!P20)</f>
        <v>-0.11670474580862349</v>
      </c>
      <c r="Q10" s="83">
        <f>CHOOSE(Drivers!$C$3,Opex!Q14,Opex!Q17,Opex!Q20)</f>
        <v>-0.11670474580862349</v>
      </c>
    </row>
    <row r="11" spans="1:17" x14ac:dyDescent="0.25">
      <c r="B11" s="81"/>
      <c r="C11" s="84"/>
      <c r="D11" s="84"/>
      <c r="E11" s="84"/>
      <c r="F11" s="84"/>
      <c r="G11" s="81"/>
      <c r="H11" s="84"/>
      <c r="I11" s="82"/>
      <c r="J11" s="82"/>
      <c r="K11" s="82"/>
      <c r="L11" s="82"/>
      <c r="M11" s="82"/>
      <c r="N11" s="82"/>
      <c r="O11" s="82"/>
      <c r="P11" s="82"/>
      <c r="Q11" s="82"/>
    </row>
    <row r="12" spans="1:17" x14ac:dyDescent="0.25">
      <c r="B12" s="96" t="s">
        <v>213</v>
      </c>
      <c r="C12" s="84"/>
      <c r="D12" s="84"/>
      <c r="E12" s="84"/>
      <c r="F12" s="84"/>
      <c r="G12" s="81"/>
      <c r="H12" s="84"/>
      <c r="I12" s="82"/>
      <c r="J12" s="82"/>
      <c r="K12" s="82"/>
      <c r="L12" s="82"/>
      <c r="M12" s="82"/>
      <c r="N12" s="82"/>
      <c r="O12" s="82"/>
      <c r="P12" s="82"/>
      <c r="Q12" s="82"/>
    </row>
    <row r="13" spans="1:17" x14ac:dyDescent="0.25">
      <c r="B13" s="80" t="s">
        <v>70</v>
      </c>
      <c r="C13" s="81"/>
      <c r="D13" s="81"/>
      <c r="E13" s="81"/>
      <c r="F13" s="81"/>
      <c r="G13" s="81"/>
      <c r="H13" s="82"/>
      <c r="I13" s="82"/>
      <c r="J13" s="82"/>
      <c r="K13" s="82"/>
      <c r="L13" s="82"/>
      <c r="M13" s="82"/>
      <c r="N13" s="82"/>
      <c r="O13" s="82"/>
      <c r="P13" s="82"/>
      <c r="Q13" s="82"/>
    </row>
    <row r="14" spans="1:17" x14ac:dyDescent="0.25">
      <c r="B14" s="81" t="s">
        <v>226</v>
      </c>
      <c r="C14" s="84"/>
      <c r="D14" s="72"/>
      <c r="E14" s="72"/>
      <c r="F14" s="72"/>
      <c r="G14" s="81"/>
      <c r="H14" s="83">
        <f>H17+2%</f>
        <v>-0.11670474580862349</v>
      </c>
      <c r="I14" s="83">
        <f t="shared" ref="I14:Q14" si="2">I17+2%</f>
        <v>-0.11670474580862349</v>
      </c>
      <c r="J14" s="83">
        <f t="shared" si="2"/>
        <v>-0.11670474580862349</v>
      </c>
      <c r="K14" s="83">
        <f t="shared" si="2"/>
        <v>-0.11670474580862349</v>
      </c>
      <c r="L14" s="83">
        <f t="shared" si="2"/>
        <v>-0.11670474580862349</v>
      </c>
      <c r="M14" s="83">
        <f t="shared" si="2"/>
        <v>-0.11670474580862349</v>
      </c>
      <c r="N14" s="83">
        <f t="shared" si="2"/>
        <v>-0.11670474580862349</v>
      </c>
      <c r="O14" s="83">
        <f t="shared" si="2"/>
        <v>-0.11670474580862349</v>
      </c>
      <c r="P14" s="83">
        <f t="shared" si="2"/>
        <v>-0.11670474580862349</v>
      </c>
      <c r="Q14" s="83">
        <f t="shared" si="2"/>
        <v>-0.11670474580862349</v>
      </c>
    </row>
    <row r="15" spans="1:17" x14ac:dyDescent="0.25">
      <c r="B15" s="81"/>
      <c r="C15" s="84"/>
      <c r="D15" s="84"/>
      <c r="E15" s="84"/>
      <c r="F15" s="84"/>
      <c r="G15" s="81"/>
      <c r="H15" s="84"/>
      <c r="I15" s="82"/>
      <c r="J15" s="82"/>
      <c r="K15" s="82"/>
      <c r="L15" s="82"/>
      <c r="M15" s="82"/>
      <c r="N15" s="82"/>
      <c r="O15" s="82"/>
      <c r="P15" s="82"/>
      <c r="Q15" s="82"/>
    </row>
    <row r="16" spans="1:17" x14ac:dyDescent="0.25">
      <c r="B16" s="80" t="s">
        <v>71</v>
      </c>
      <c r="C16" s="81"/>
      <c r="D16" s="81"/>
      <c r="E16" s="81"/>
      <c r="F16" s="81"/>
      <c r="G16" s="81"/>
      <c r="H16" s="82"/>
      <c r="I16" s="82"/>
      <c r="J16" s="82"/>
      <c r="K16" s="82"/>
      <c r="L16" s="82"/>
      <c r="M16" s="82"/>
      <c r="N16" s="82"/>
      <c r="O16" s="82"/>
      <c r="P16" s="82"/>
      <c r="Q16" s="82"/>
    </row>
    <row r="17" spans="2:17" x14ac:dyDescent="0.25">
      <c r="B17" s="81" t="s">
        <v>226</v>
      </c>
      <c r="C17" s="84"/>
      <c r="D17" s="72"/>
      <c r="E17" s="72"/>
      <c r="F17" s="72"/>
      <c r="G17" s="81"/>
      <c r="H17" s="83">
        <f>-'Opex comparables'!$D$18</f>
        <v>-0.13670474580862349</v>
      </c>
      <c r="I17" s="83">
        <f>-'Opex comparables'!$D$18</f>
        <v>-0.13670474580862349</v>
      </c>
      <c r="J17" s="83">
        <f>-'Opex comparables'!$D$18</f>
        <v>-0.13670474580862349</v>
      </c>
      <c r="K17" s="83">
        <f>-'Opex comparables'!$D$18</f>
        <v>-0.13670474580862349</v>
      </c>
      <c r="L17" s="83">
        <f>-'Opex comparables'!$D$18</f>
        <v>-0.13670474580862349</v>
      </c>
      <c r="M17" s="83">
        <f>-'Opex comparables'!$D$18</f>
        <v>-0.13670474580862349</v>
      </c>
      <c r="N17" s="83">
        <f>-'Opex comparables'!$D$18</f>
        <v>-0.13670474580862349</v>
      </c>
      <c r="O17" s="83">
        <f>-'Opex comparables'!$D$18</f>
        <v>-0.13670474580862349</v>
      </c>
      <c r="P17" s="83">
        <f>-'Opex comparables'!$D$18</f>
        <v>-0.13670474580862349</v>
      </c>
      <c r="Q17" s="83">
        <f>-'Opex comparables'!$D$18</f>
        <v>-0.13670474580862349</v>
      </c>
    </row>
    <row r="18" spans="2:17" x14ac:dyDescent="0.25">
      <c r="B18" s="81"/>
      <c r="C18" s="84"/>
      <c r="D18" s="84"/>
      <c r="E18" s="84"/>
      <c r="F18" s="84"/>
      <c r="G18" s="81"/>
      <c r="H18" s="84"/>
      <c r="I18" s="82"/>
      <c r="J18" s="82"/>
      <c r="K18" s="82"/>
      <c r="L18" s="82"/>
      <c r="M18" s="82"/>
      <c r="N18" s="82"/>
      <c r="O18" s="82"/>
      <c r="P18" s="82"/>
      <c r="Q18" s="82"/>
    </row>
    <row r="19" spans="2:17" x14ac:dyDescent="0.25">
      <c r="B19" s="80" t="s">
        <v>72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 x14ac:dyDescent="0.25">
      <c r="B20" s="81" t="s">
        <v>226</v>
      </c>
      <c r="C20" s="84"/>
      <c r="D20" s="72"/>
      <c r="E20" s="72"/>
      <c r="F20" s="72"/>
      <c r="G20" s="81"/>
      <c r="H20" s="83">
        <f>H17-2%</f>
        <v>-0.15670474580862348</v>
      </c>
      <c r="I20" s="83">
        <f t="shared" ref="I20:Q20" si="3">I17-2%</f>
        <v>-0.15670474580862348</v>
      </c>
      <c r="J20" s="83">
        <f t="shared" si="3"/>
        <v>-0.15670474580862348</v>
      </c>
      <c r="K20" s="83">
        <f t="shared" si="3"/>
        <v>-0.15670474580862348</v>
      </c>
      <c r="L20" s="83">
        <f t="shared" si="3"/>
        <v>-0.15670474580862348</v>
      </c>
      <c r="M20" s="83">
        <f t="shared" si="3"/>
        <v>-0.15670474580862348</v>
      </c>
      <c r="N20" s="83">
        <f t="shared" si="3"/>
        <v>-0.15670474580862348</v>
      </c>
      <c r="O20" s="83">
        <f t="shared" si="3"/>
        <v>-0.15670474580862348</v>
      </c>
      <c r="P20" s="83">
        <f t="shared" si="3"/>
        <v>-0.15670474580862348</v>
      </c>
      <c r="Q20" s="83">
        <f t="shared" si="3"/>
        <v>-0.15670474580862348</v>
      </c>
    </row>
  </sheetData>
  <mergeCells count="1">
    <mergeCell ref="C3:Q3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65FF-8701-4B5E-8FA4-1305F3C0030C}">
  <sheetPr>
    <tabColor rgb="FFC00000"/>
  </sheetPr>
  <dimension ref="B14"/>
  <sheetViews>
    <sheetView topLeftCell="A19"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0" t="s">
        <v>248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8B71-3D5F-4A96-B31A-D368DB818E80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0" t="s">
        <v>233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31"/>
  <sheetViews>
    <sheetView showGridLines="0" workbookViewId="0"/>
  </sheetViews>
  <sheetFormatPr defaultColWidth="9.109375" defaultRowHeight="13.2" x14ac:dyDescent="0.25"/>
  <cols>
    <col min="1" max="1" width="2" style="18" customWidth="1"/>
    <col min="2" max="2" width="29.33203125" style="18" bestFit="1" customWidth="1"/>
    <col min="3" max="3" width="12.88671875" style="18" bestFit="1" customWidth="1"/>
    <col min="4" max="4" width="10.5546875" style="18" customWidth="1"/>
    <col min="5" max="5" width="10.109375" style="18" customWidth="1"/>
    <col min="6" max="6" width="10" style="18" customWidth="1"/>
    <col min="7" max="12" width="10.33203125" style="18" customWidth="1"/>
    <col min="13" max="16384" width="9.109375" style="18"/>
  </cols>
  <sheetData>
    <row r="1" spans="1:17" ht="15.6" x14ac:dyDescent="0.3">
      <c r="B1" s="17" t="s">
        <v>158</v>
      </c>
    </row>
    <row r="3" spans="1:17" x14ac:dyDescent="0.25">
      <c r="B3" s="106" t="str">
        <f>"Selected case:"&amp;CHOOSE(C3," as a % of PPE"," as a % of revenue")</f>
        <v>Selected case: as a % of PPE</v>
      </c>
      <c r="C3" s="105">
        <v>1</v>
      </c>
    </row>
    <row r="4" spans="1:17" ht="5.4" customHeight="1" x14ac:dyDescent="0.25">
      <c r="B4" s="106"/>
      <c r="C4" s="107"/>
    </row>
    <row r="5" spans="1:17" x14ac:dyDescent="0.25">
      <c r="C5" s="226" t="s">
        <v>228</v>
      </c>
      <c r="D5" s="226"/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</row>
    <row r="6" spans="1:17" ht="26.4" customHeight="1" x14ac:dyDescent="0.25">
      <c r="A6" s="18" t="s">
        <v>75</v>
      </c>
      <c r="B6" s="5" t="s">
        <v>247</v>
      </c>
      <c r="C6" s="6" t="s">
        <v>229</v>
      </c>
      <c r="D6" s="6" t="s">
        <v>230</v>
      </c>
      <c r="E6" s="6" t="s">
        <v>231</v>
      </c>
      <c r="F6" s="6" t="s">
        <v>334</v>
      </c>
      <c r="G6" s="6" t="s">
        <v>367</v>
      </c>
      <c r="H6" s="87" t="s">
        <v>273</v>
      </c>
      <c r="I6" s="87" t="s">
        <v>274</v>
      </c>
      <c r="J6" s="87" t="s">
        <v>275</v>
      </c>
      <c r="K6" s="87" t="s">
        <v>276</v>
      </c>
      <c r="L6" s="87" t="s">
        <v>277</v>
      </c>
      <c r="M6" s="87" t="s">
        <v>278</v>
      </c>
      <c r="N6" s="87" t="s">
        <v>279</v>
      </c>
      <c r="O6" s="87" t="s">
        <v>280</v>
      </c>
      <c r="P6" s="87" t="s">
        <v>281</v>
      </c>
      <c r="Q6" s="87" t="s">
        <v>338</v>
      </c>
    </row>
    <row r="7" spans="1:17" x14ac:dyDescent="0.25">
      <c r="B7" s="19" t="s">
        <v>80</v>
      </c>
      <c r="C7" s="201">
        <f>738494/1000</f>
        <v>738.49400000000003</v>
      </c>
      <c r="D7" s="108">
        <f t="shared" ref="D7:Q7" si="0">C10</f>
        <v>3403.3339999999998</v>
      </c>
      <c r="E7" s="108">
        <f t="shared" si="0"/>
        <v>5982.9570000000003</v>
      </c>
      <c r="F7" s="108">
        <f t="shared" si="0"/>
        <v>10027.522000000001</v>
      </c>
      <c r="G7" s="149">
        <f t="shared" si="0"/>
        <v>11330.076999999999</v>
      </c>
      <c r="H7" s="109">
        <f t="shared" si="0"/>
        <v>10396</v>
      </c>
      <c r="I7" s="109">
        <f t="shared" si="0"/>
        <v>9898.8176691993103</v>
      </c>
      <c r="J7" s="109">
        <f t="shared" si="0"/>
        <v>9425.4127787661073</v>
      </c>
      <c r="K7" s="109">
        <f t="shared" si="0"/>
        <v>8974.6481871822725</v>
      </c>
      <c r="L7" s="109">
        <f t="shared" si="0"/>
        <v>8545.4411360261092</v>
      </c>
      <c r="M7" s="109">
        <f t="shared" si="0"/>
        <v>8136.7606491340775</v>
      </c>
      <c r="N7" s="109">
        <f t="shared" si="0"/>
        <v>7747.6250561460229</v>
      </c>
      <c r="O7" s="109">
        <f t="shared" si="0"/>
        <v>7377.0996344853356</v>
      </c>
      <c r="P7" s="109">
        <f t="shared" si="0"/>
        <v>7024.2943641099655</v>
      </c>
      <c r="Q7" s="109">
        <f t="shared" si="0"/>
        <v>6688.3617896410969</v>
      </c>
    </row>
    <row r="8" spans="1:17" x14ac:dyDescent="0.25">
      <c r="B8" s="19" t="s">
        <v>81</v>
      </c>
      <c r="C8" s="149">
        <f>C10-C7-C9</f>
        <v>3087.8399999999997</v>
      </c>
      <c r="D8" s="149">
        <f>D10-D7-D9</f>
        <v>3526.6230000000005</v>
      </c>
      <c r="E8" s="149">
        <f>E10-E7-E9</f>
        <v>5680.5650000000005</v>
      </c>
      <c r="F8" s="149">
        <f>F10-F7-F9</f>
        <v>3203.5549999999985</v>
      </c>
      <c r="G8" s="149">
        <f>G10-G7-G9</f>
        <v>1219.9230000000007</v>
      </c>
      <c r="H8" s="109">
        <f>CHOOSE($C$3,H16*H7,H17*Opex!H5)</f>
        <v>1977.5220864991363</v>
      </c>
      <c r="I8" s="109">
        <f>CHOOSE($C$3,I16*I7,I17*Opex!I5)</f>
        <v>1882.9483042583242</v>
      </c>
      <c r="J8" s="109">
        <f>CHOOSE($C$3,J16*J7,J17*Opex!J5)</f>
        <v>1792.8974552117329</v>
      </c>
      <c r="K8" s="109">
        <f>CHOOSE($C$3,K16*K7,K17*Opex!K5)</f>
        <v>1707.1532328503636</v>
      </c>
      <c r="L8" s="109">
        <f>CHOOSE($C$3,L16*L7,L17*Opex!L5)</f>
        <v>1625.5096753914872</v>
      </c>
      <c r="M8" s="109">
        <f>CHOOSE($C$3,M16*M7,M17*Opex!M5)</f>
        <v>1547.7706710484501</v>
      </c>
      <c r="N8" s="109">
        <f>CHOOSE($C$3,N16*N7,N17*Opex!N5)</f>
        <v>1473.7494869606455</v>
      </c>
      <c r="O8" s="109">
        <f>CHOOSE($C$3,O16*O7,O17*Opex!O5)</f>
        <v>1403.2683206521217</v>
      </c>
      <c r="P8" s="109">
        <f>CHOOSE($C$3,P16*P7,P17*Opex!P5)</f>
        <v>1336.1578729414066</v>
      </c>
      <c r="Q8" s="109">
        <f>CHOOSE($C$3,Q16*Q7,Q17*Opex!Q5)</f>
        <v>1941.0931202407698</v>
      </c>
    </row>
    <row r="9" spans="1:17" x14ac:dyDescent="0.25">
      <c r="B9" s="18" t="s">
        <v>82</v>
      </c>
      <c r="C9" s="165">
        <v>-423</v>
      </c>
      <c r="D9" s="165">
        <v>-947</v>
      </c>
      <c r="E9" s="165">
        <v>-1636</v>
      </c>
      <c r="F9" s="165">
        <v>-1901</v>
      </c>
      <c r="G9" s="165">
        <v>-2154</v>
      </c>
      <c r="H9" s="68">
        <f t="shared" ref="H9:Q9" si="1">-H$7/$C$13-H$8/$C$12</f>
        <v>-2474.7044172998271</v>
      </c>
      <c r="I9" s="68">
        <f t="shared" si="1"/>
        <v>-2356.3531946915268</v>
      </c>
      <c r="J9" s="68">
        <f t="shared" si="1"/>
        <v>-2243.6620467955681</v>
      </c>
      <c r="K9" s="68">
        <f t="shared" si="1"/>
        <v>-2136.3602840065273</v>
      </c>
      <c r="L9" s="68">
        <f t="shared" si="1"/>
        <v>-2034.1901622835192</v>
      </c>
      <c r="M9" s="68">
        <f t="shared" si="1"/>
        <v>-1936.9062640365055</v>
      </c>
      <c r="N9" s="68">
        <f t="shared" si="1"/>
        <v>-1844.2749086213339</v>
      </c>
      <c r="O9" s="68">
        <f t="shared" si="1"/>
        <v>-1756.0735910274916</v>
      </c>
      <c r="P9" s="68">
        <f t="shared" si="1"/>
        <v>-1672.0904474102745</v>
      </c>
      <c r="Q9" s="68">
        <f t="shared" si="1"/>
        <v>-1725.8909819763733</v>
      </c>
    </row>
    <row r="10" spans="1:17" s="21" customFormat="1" ht="14.4" thickBot="1" x14ac:dyDescent="0.3">
      <c r="B10" s="103" t="s">
        <v>83</v>
      </c>
      <c r="C10" s="110">
        <f>'Balance Sheet Input'!C12/1000</f>
        <v>3403.3339999999998</v>
      </c>
      <c r="D10" s="110">
        <f>'Balance Sheet Input'!D12/1000</f>
        <v>5982.9570000000003</v>
      </c>
      <c r="E10" s="110">
        <f>'Balance Sheet Input'!E12/1000</f>
        <v>10027.522000000001</v>
      </c>
      <c r="F10" s="110">
        <f>'Balance Sheet Input'!F12/1000</f>
        <v>11330.076999999999</v>
      </c>
      <c r="G10" s="110">
        <f>'Balance Sheet Input'!G12/1000</f>
        <v>10396</v>
      </c>
      <c r="H10" s="110">
        <f t="shared" ref="H10:Q10" si="2">SUM(H7:H9)</f>
        <v>9898.8176691993103</v>
      </c>
      <c r="I10" s="110">
        <f t="shared" si="2"/>
        <v>9425.4127787661073</v>
      </c>
      <c r="J10" s="110">
        <f t="shared" si="2"/>
        <v>8974.6481871822725</v>
      </c>
      <c r="K10" s="110">
        <f t="shared" si="2"/>
        <v>8545.4411360261092</v>
      </c>
      <c r="L10" s="110">
        <f t="shared" si="2"/>
        <v>8136.7606491340775</v>
      </c>
      <c r="M10" s="110">
        <f t="shared" si="2"/>
        <v>7747.6250561460229</v>
      </c>
      <c r="N10" s="110">
        <f t="shared" si="2"/>
        <v>7377.0996344853356</v>
      </c>
      <c r="O10" s="110">
        <f t="shared" si="2"/>
        <v>7024.2943641099655</v>
      </c>
      <c r="P10" s="110">
        <f t="shared" si="2"/>
        <v>6688.3617896410969</v>
      </c>
      <c r="Q10" s="110">
        <f t="shared" si="2"/>
        <v>6903.5639279054931</v>
      </c>
    </row>
    <row r="11" spans="1:17" ht="14.25" customHeight="1" x14ac:dyDescent="0.25"/>
    <row r="12" spans="1:17" x14ac:dyDescent="0.25">
      <c r="B12" s="19" t="s">
        <v>88</v>
      </c>
      <c r="C12" s="20">
        <v>5</v>
      </c>
    </row>
    <row r="13" spans="1:17" x14ac:dyDescent="0.25">
      <c r="B13" s="19" t="s">
        <v>87</v>
      </c>
      <c r="C13" s="20">
        <v>5</v>
      </c>
      <c r="H13" s="198"/>
      <c r="I13" s="198"/>
      <c r="J13" s="198"/>
      <c r="K13" s="198"/>
      <c r="L13" s="198"/>
      <c r="M13" s="198"/>
      <c r="N13" s="198"/>
      <c r="O13" s="198"/>
      <c r="P13" s="198"/>
      <c r="Q13" s="198"/>
    </row>
    <row r="15" spans="1:17" s="7" customFormat="1" ht="11.4" x14ac:dyDescent="0.25">
      <c r="B15" s="80" t="s">
        <v>74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1:17" s="7" customFormat="1" ht="11.4" x14ac:dyDescent="0.25">
      <c r="B16" s="81" t="s">
        <v>84</v>
      </c>
      <c r="C16" s="97"/>
      <c r="D16" s="97"/>
      <c r="E16" s="97"/>
      <c r="F16" s="97"/>
      <c r="G16" s="81"/>
      <c r="H16" s="83">
        <f>CHOOSE(Drivers!$C$3,H20,H23,H26)</f>
        <v>0.19021951582331054</v>
      </c>
      <c r="I16" s="83">
        <f>CHOOSE(Drivers!$C$3,I20,I23,I26)</f>
        <v>0.19021951582331054</v>
      </c>
      <c r="J16" s="83">
        <f>CHOOSE(Drivers!$C$3,J20,J23,J26)</f>
        <v>0.19021951582331054</v>
      </c>
      <c r="K16" s="83">
        <f>CHOOSE(Drivers!$C$3,K20,K23,K26)</f>
        <v>0.19021951582331054</v>
      </c>
      <c r="L16" s="83">
        <f>CHOOSE(Drivers!$C$3,L20,L23,L26)</f>
        <v>0.19021951582331054</v>
      </c>
      <c r="M16" s="83">
        <f>CHOOSE(Drivers!$C$3,M20,M23,M26)</f>
        <v>0.19021951582331054</v>
      </c>
      <c r="N16" s="83">
        <f>CHOOSE(Drivers!$C$3,N20,N23,N26)</f>
        <v>0.19021951582331054</v>
      </c>
      <c r="O16" s="83">
        <f>CHOOSE(Drivers!$C$3,O20,O23,O26)</f>
        <v>0.19021951582331054</v>
      </c>
      <c r="P16" s="83">
        <f>CHOOSE(Drivers!$C$3,P20,P23,P26)</f>
        <v>0.19021951582331054</v>
      </c>
      <c r="Q16" s="83">
        <f>CHOOSE(Drivers!$C$3,Q20,Q23,Q26)</f>
        <v>0.29021951582331051</v>
      </c>
    </row>
    <row r="17" spans="2:17" s="7" customFormat="1" ht="11.4" x14ac:dyDescent="0.25">
      <c r="B17" s="81" t="s">
        <v>365</v>
      </c>
      <c r="C17" s="84"/>
      <c r="D17" s="84"/>
      <c r="E17" s="84"/>
      <c r="F17" s="84"/>
      <c r="G17" s="81"/>
      <c r="H17" s="83">
        <f>CHOOSE(Drivers!$C$3,H21,H24,H27)</f>
        <v>3.3581072804977394E-2</v>
      </c>
      <c r="I17" s="83">
        <f>CHOOSE(Drivers!$C$3,I21,I24,I27)</f>
        <v>3.3581072804977394E-2</v>
      </c>
      <c r="J17" s="83">
        <f>CHOOSE(Drivers!$C$3,J21,J24,J27)</f>
        <v>3.3581072804977394E-2</v>
      </c>
      <c r="K17" s="83">
        <f>CHOOSE(Drivers!$C$3,K21,K24,K27)</f>
        <v>3.3581072804977394E-2</v>
      </c>
      <c r="L17" s="83">
        <f>CHOOSE(Drivers!$C$3,L21,L24,L27)</f>
        <v>3.3581072804977394E-2</v>
      </c>
      <c r="M17" s="83">
        <f>CHOOSE(Drivers!$C$3,M21,M24,M27)</f>
        <v>3.3581072804977394E-2</v>
      </c>
      <c r="N17" s="83">
        <f>CHOOSE(Drivers!$C$3,N21,N24,N27)</f>
        <v>3.3581072804977394E-2</v>
      </c>
      <c r="O17" s="83">
        <f>CHOOSE(Drivers!$C$3,O21,O24,O27)</f>
        <v>3.3581072804977394E-2</v>
      </c>
      <c r="P17" s="83">
        <f>CHOOSE(Drivers!$C$3,P21,P24,P27)</f>
        <v>3.3581072804977394E-2</v>
      </c>
      <c r="Q17" s="83">
        <f>CHOOSE(Drivers!$C$3,Q21,Q24,Q27)</f>
        <v>9.3581072804977392E-2</v>
      </c>
    </row>
    <row r="18" spans="2:17" s="7" customFormat="1" ht="11.4" x14ac:dyDescent="0.25">
      <c r="B18" s="96" t="s">
        <v>366</v>
      </c>
      <c r="C18" s="84"/>
      <c r="D18" s="84"/>
      <c r="E18" s="84"/>
      <c r="F18" s="84"/>
      <c r="G18" s="81"/>
      <c r="H18" s="84"/>
      <c r="I18" s="82"/>
      <c r="J18" s="82"/>
      <c r="K18" s="82"/>
      <c r="L18" s="82"/>
      <c r="M18" s="82"/>
      <c r="N18" s="82"/>
      <c r="O18" s="82"/>
      <c r="P18" s="82"/>
      <c r="Q18" s="82"/>
    </row>
    <row r="19" spans="2:17" s="7" customFormat="1" ht="11.4" x14ac:dyDescent="0.25">
      <c r="B19" s="80" t="s">
        <v>70</v>
      </c>
      <c r="C19" s="81"/>
      <c r="D19" s="81"/>
      <c r="E19" s="81"/>
      <c r="F19" s="81"/>
      <c r="G19" s="81"/>
      <c r="H19" s="82"/>
      <c r="I19" s="82"/>
      <c r="J19" s="82"/>
      <c r="K19" s="82"/>
      <c r="L19" s="82"/>
      <c r="M19" s="82"/>
      <c r="N19" s="82"/>
      <c r="O19" s="82"/>
      <c r="P19" s="82"/>
      <c r="Q19" s="82"/>
    </row>
    <row r="20" spans="2:17" s="7" customFormat="1" ht="11.4" x14ac:dyDescent="0.25">
      <c r="B20" s="81" t="s">
        <v>84</v>
      </c>
      <c r="C20" s="84"/>
      <c r="D20" s="84"/>
      <c r="E20" s="84"/>
      <c r="F20" s="84"/>
      <c r="G20" s="81"/>
      <c r="H20" s="83">
        <f>H23-5%</f>
        <v>0.19021951582331054</v>
      </c>
      <c r="I20" s="83">
        <f t="shared" ref="I20:P20" si="3">I23-5%</f>
        <v>0.19021951582331054</v>
      </c>
      <c r="J20" s="83">
        <f t="shared" si="3"/>
        <v>0.19021951582331054</v>
      </c>
      <c r="K20" s="83">
        <f t="shared" si="3"/>
        <v>0.19021951582331054</v>
      </c>
      <c r="L20" s="83">
        <f t="shared" si="3"/>
        <v>0.19021951582331054</v>
      </c>
      <c r="M20" s="83">
        <f t="shared" si="3"/>
        <v>0.19021951582331054</v>
      </c>
      <c r="N20" s="83">
        <f t="shared" si="3"/>
        <v>0.19021951582331054</v>
      </c>
      <c r="O20" s="83">
        <f t="shared" si="3"/>
        <v>0.19021951582331054</v>
      </c>
      <c r="P20" s="83">
        <f t="shared" si="3"/>
        <v>0.19021951582331054</v>
      </c>
      <c r="Q20" s="83">
        <f t="shared" ref="Q20" si="4">Q23+5%</f>
        <v>0.29021951582331051</v>
      </c>
    </row>
    <row r="21" spans="2:17" s="7" customFormat="1" ht="11.4" x14ac:dyDescent="0.25">
      <c r="B21" s="81" t="str">
        <f>B17</f>
        <v>Capex as a % of revenue</v>
      </c>
      <c r="C21" s="84"/>
      <c r="D21" s="72"/>
      <c r="E21" s="72"/>
      <c r="F21" s="72"/>
      <c r="G21" s="81"/>
      <c r="H21" s="83">
        <f>H24-3%</f>
        <v>3.3581072804977394E-2</v>
      </c>
      <c r="I21" s="83">
        <f t="shared" ref="I21:P21" si="5">I24-3%</f>
        <v>3.3581072804977394E-2</v>
      </c>
      <c r="J21" s="83">
        <f t="shared" si="5"/>
        <v>3.3581072804977394E-2</v>
      </c>
      <c r="K21" s="83">
        <f t="shared" si="5"/>
        <v>3.3581072804977394E-2</v>
      </c>
      <c r="L21" s="83">
        <f t="shared" si="5"/>
        <v>3.3581072804977394E-2</v>
      </c>
      <c r="M21" s="83">
        <f t="shared" si="5"/>
        <v>3.3581072804977394E-2</v>
      </c>
      <c r="N21" s="83">
        <f t="shared" si="5"/>
        <v>3.3581072804977394E-2</v>
      </c>
      <c r="O21" s="83">
        <f t="shared" si="5"/>
        <v>3.3581072804977394E-2</v>
      </c>
      <c r="P21" s="83">
        <f t="shared" si="5"/>
        <v>3.3581072804977394E-2</v>
      </c>
      <c r="Q21" s="83">
        <f t="shared" ref="Q21" si="6">Q24+3%</f>
        <v>9.3581072804977392E-2</v>
      </c>
    </row>
    <row r="22" spans="2:17" s="7" customFormat="1" ht="11.4" x14ac:dyDescent="0.25">
      <c r="B22" s="80" t="s">
        <v>71</v>
      </c>
      <c r="C22" s="81"/>
      <c r="D22" s="81"/>
      <c r="E22" s="81"/>
      <c r="F22" s="81"/>
      <c r="G22" s="81"/>
      <c r="H22" s="82"/>
      <c r="I22" s="82"/>
      <c r="J22" s="82"/>
      <c r="K22" s="82"/>
      <c r="L22" s="82"/>
      <c r="M22" s="82"/>
      <c r="N22" s="82"/>
      <c r="O22" s="82"/>
      <c r="P22" s="82"/>
      <c r="Q22" s="82"/>
    </row>
    <row r="23" spans="2:17" s="7" customFormat="1" ht="11.4" x14ac:dyDescent="0.25">
      <c r="B23" s="81" t="s">
        <v>84</v>
      </c>
      <c r="C23" s="84"/>
      <c r="D23" s="84"/>
      <c r="E23" s="84"/>
      <c r="F23" s="84"/>
      <c r="G23" s="81"/>
      <c r="H23" s="86">
        <f>-'PP&amp;E Comparables'!D16</f>
        <v>0.24021951582331053</v>
      </c>
      <c r="I23" s="83">
        <f t="shared" ref="I23:K23" si="7">H23</f>
        <v>0.24021951582331053</v>
      </c>
      <c r="J23" s="83">
        <f t="shared" si="7"/>
        <v>0.24021951582331053</v>
      </c>
      <c r="K23" s="83">
        <f t="shared" si="7"/>
        <v>0.24021951582331053</v>
      </c>
      <c r="L23" s="83">
        <f>K23</f>
        <v>0.24021951582331053</v>
      </c>
      <c r="M23" s="83">
        <f t="shared" ref="M23:Q23" si="8">L23</f>
        <v>0.24021951582331053</v>
      </c>
      <c r="N23" s="83">
        <f t="shared" si="8"/>
        <v>0.24021951582331053</v>
      </c>
      <c r="O23" s="83">
        <f t="shared" si="8"/>
        <v>0.24021951582331053</v>
      </c>
      <c r="P23" s="83">
        <f t="shared" si="8"/>
        <v>0.24021951582331053</v>
      </c>
      <c r="Q23" s="83">
        <f t="shared" si="8"/>
        <v>0.24021951582331053</v>
      </c>
    </row>
    <row r="24" spans="2:17" s="7" customFormat="1" ht="11.4" x14ac:dyDescent="0.25">
      <c r="B24" s="81" t="str">
        <f>B17</f>
        <v>Capex as a % of revenue</v>
      </c>
      <c r="C24" s="84"/>
      <c r="D24" s="72"/>
      <c r="E24" s="72"/>
      <c r="F24" s="72"/>
      <c r="G24" s="81"/>
      <c r="H24" s="83">
        <f>-'PP&amp;E Comparables'!G16</f>
        <v>6.3581072804977393E-2</v>
      </c>
      <c r="I24" s="83">
        <f>H24</f>
        <v>6.3581072804977393E-2</v>
      </c>
      <c r="J24" s="83">
        <f>I24</f>
        <v>6.3581072804977393E-2</v>
      </c>
      <c r="K24" s="83">
        <f>J24</f>
        <v>6.3581072804977393E-2</v>
      </c>
      <c r="L24" s="83">
        <f>K24</f>
        <v>6.3581072804977393E-2</v>
      </c>
      <c r="M24" s="83">
        <f>L24</f>
        <v>6.3581072804977393E-2</v>
      </c>
      <c r="N24" s="83">
        <f>M24</f>
        <v>6.3581072804977393E-2</v>
      </c>
      <c r="O24" s="83">
        <f>N24</f>
        <v>6.3581072804977393E-2</v>
      </c>
      <c r="P24" s="83">
        <f>O24</f>
        <v>6.3581072804977393E-2</v>
      </c>
      <c r="Q24" s="83">
        <f>P24</f>
        <v>6.3581072804977393E-2</v>
      </c>
    </row>
    <row r="25" spans="2:17" s="7" customFormat="1" ht="11.4" x14ac:dyDescent="0.25">
      <c r="B25" s="80" t="s">
        <v>72</v>
      </c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17" x14ac:dyDescent="0.25">
      <c r="B26" s="81" t="s">
        <v>84</v>
      </c>
      <c r="C26" s="84"/>
      <c r="D26" s="72"/>
      <c r="E26" s="72"/>
      <c r="F26" s="72"/>
      <c r="G26" s="81"/>
      <c r="H26" s="83">
        <f>H23+5%</f>
        <v>0.29021951582331051</v>
      </c>
      <c r="I26" s="83">
        <f t="shared" ref="I26:P26" si="9">I23+5%</f>
        <v>0.29021951582331051</v>
      </c>
      <c r="J26" s="83">
        <f t="shared" si="9"/>
        <v>0.29021951582331051</v>
      </c>
      <c r="K26" s="83">
        <f t="shared" si="9"/>
        <v>0.29021951582331051</v>
      </c>
      <c r="L26" s="83">
        <f t="shared" si="9"/>
        <v>0.29021951582331051</v>
      </c>
      <c r="M26" s="83">
        <f t="shared" si="9"/>
        <v>0.29021951582331051</v>
      </c>
      <c r="N26" s="83">
        <f t="shared" si="9"/>
        <v>0.29021951582331051</v>
      </c>
      <c r="O26" s="83">
        <f t="shared" si="9"/>
        <v>0.29021951582331051</v>
      </c>
      <c r="P26" s="83">
        <f t="shared" si="9"/>
        <v>0.29021951582331051</v>
      </c>
      <c r="Q26" s="83">
        <f t="shared" ref="Q26" si="10">Q23-5%</f>
        <v>0.19021951582331054</v>
      </c>
    </row>
    <row r="27" spans="2:17" s="7" customFormat="1" ht="11.4" x14ac:dyDescent="0.25">
      <c r="B27" s="81" t="str">
        <f>B17</f>
        <v>Capex as a % of revenue</v>
      </c>
      <c r="C27" s="84"/>
      <c r="D27" s="72"/>
      <c r="E27" s="72"/>
      <c r="F27" s="72"/>
      <c r="G27" s="81"/>
      <c r="H27" s="83">
        <f>H24+3%</f>
        <v>9.3581072804977392E-2</v>
      </c>
      <c r="I27" s="83">
        <f t="shared" ref="I27:P27" si="11">I24+3%</f>
        <v>9.3581072804977392E-2</v>
      </c>
      <c r="J27" s="83">
        <f t="shared" si="11"/>
        <v>9.3581072804977392E-2</v>
      </c>
      <c r="K27" s="83">
        <f t="shared" si="11"/>
        <v>9.3581072804977392E-2</v>
      </c>
      <c r="L27" s="83">
        <f t="shared" si="11"/>
        <v>9.3581072804977392E-2</v>
      </c>
      <c r="M27" s="83">
        <f t="shared" si="11"/>
        <v>9.3581072804977392E-2</v>
      </c>
      <c r="N27" s="83">
        <f t="shared" si="11"/>
        <v>9.3581072804977392E-2</v>
      </c>
      <c r="O27" s="83">
        <f t="shared" si="11"/>
        <v>9.3581072804977392E-2</v>
      </c>
      <c r="P27" s="83">
        <f t="shared" si="11"/>
        <v>9.3581072804977392E-2</v>
      </c>
      <c r="Q27" s="83">
        <f t="shared" ref="Q27" si="12">Q24-3%</f>
        <v>3.3581072804977394E-2</v>
      </c>
    </row>
    <row r="30" spans="2:17" x14ac:dyDescent="0.25">
      <c r="B30" s="81" t="s">
        <v>85</v>
      </c>
      <c r="C30" s="84"/>
      <c r="D30" s="72"/>
      <c r="E30" s="72"/>
      <c r="F30" s="72"/>
      <c r="G30" s="81"/>
      <c r="H30" s="83">
        <f t="shared" ref="H30:Q30" si="13">H9/H7</f>
        <v>-0.23804390316466209</v>
      </c>
      <c r="I30" s="104">
        <f t="shared" si="13"/>
        <v>-0.23804390316466209</v>
      </c>
      <c r="J30" s="104">
        <f t="shared" si="13"/>
        <v>-0.23804390316466212</v>
      </c>
      <c r="K30" s="104">
        <f t="shared" si="13"/>
        <v>-0.23804390316466212</v>
      </c>
      <c r="L30" s="104">
        <f t="shared" si="13"/>
        <v>-0.23804390316466209</v>
      </c>
      <c r="M30" s="104">
        <f t="shared" si="13"/>
        <v>-0.23804390316466209</v>
      </c>
      <c r="N30" s="104">
        <f t="shared" si="13"/>
        <v>-0.23804390316466215</v>
      </c>
      <c r="O30" s="104">
        <f t="shared" si="13"/>
        <v>-0.23804390316466212</v>
      </c>
      <c r="P30" s="104">
        <f t="shared" si="13"/>
        <v>-0.23804390316466212</v>
      </c>
      <c r="Q30" s="104">
        <f t="shared" si="13"/>
        <v>-0.25804390316466208</v>
      </c>
    </row>
    <row r="31" spans="2:17" x14ac:dyDescent="0.25">
      <c r="B31" s="81" t="s">
        <v>86</v>
      </c>
      <c r="C31" s="84"/>
      <c r="D31" s="72"/>
      <c r="E31" s="72"/>
      <c r="F31" s="72"/>
      <c r="G31" s="81"/>
      <c r="H31" s="83">
        <f>H9/'P&amp;L'!H5</f>
        <v>-6.4458935191400599E-2</v>
      </c>
      <c r="I31" s="104">
        <f>I9/'P&amp;L'!I5</f>
        <v>-4.6197014318669953E-2</v>
      </c>
      <c r="J31" s="104">
        <f>J9/'P&amp;L'!J5</f>
        <v>-3.2349754302849344E-2</v>
      </c>
      <c r="K31" s="104">
        <f>K9/'P&amp;L'!K5</f>
        <v>-2.3949637088819125E-2</v>
      </c>
      <c r="L31" s="104">
        <f>L9/'P&amp;L'!L5</f>
        <v>-1.9963572331800537E-2</v>
      </c>
      <c r="M31" s="104">
        <f>M9/'P&amp;L'!M5</f>
        <v>-1.7737746238339524E-2</v>
      </c>
      <c r="N31" s="104">
        <f>N9/'P&amp;L'!N5</f>
        <v>-1.5847125449273931E-2</v>
      </c>
      <c r="O31" s="104">
        <f>O9/'P&amp;L'!O5</f>
        <v>-1.4195963395214492E-2</v>
      </c>
      <c r="P31" s="104">
        <f>P9/'P&amp;L'!P5</f>
        <v>-1.2878923546947437E-2</v>
      </c>
      <c r="Q31" s="104">
        <f>Q9/'P&amp;L'!Q5</f>
        <v>-1.2748148628665551E-2</v>
      </c>
    </row>
  </sheetData>
  <mergeCells count="1">
    <mergeCell ref="C5:Q5"/>
  </mergeCells>
  <dataValidations count="1">
    <dataValidation type="list" allowBlank="1" showInputMessage="1" showErrorMessage="1" sqref="C3" xr:uid="{A9C92D1A-84F1-4102-A461-50019CA9BC9F}">
      <formula1>"1,2"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AEE8-32EC-42A1-A7FC-690B76486F86}">
  <dimension ref="A1:M16"/>
  <sheetViews>
    <sheetView workbookViewId="0"/>
  </sheetViews>
  <sheetFormatPr defaultColWidth="9.109375" defaultRowHeight="11.4" x14ac:dyDescent="0.25"/>
  <cols>
    <col min="1" max="1" width="2" style="7" customWidth="1"/>
    <col min="2" max="2" width="17.6640625" style="7" customWidth="1"/>
    <col min="3" max="4" width="12.88671875" style="7" customWidth="1"/>
    <col min="5" max="5" width="2" style="7" customWidth="1"/>
    <col min="6" max="7" width="12.88671875" style="7" customWidth="1"/>
    <col min="8" max="10" width="9.109375" style="7"/>
    <col min="11" max="11" width="4.6640625" style="7" customWidth="1"/>
    <col min="12" max="16384" width="9.109375" style="7"/>
  </cols>
  <sheetData>
    <row r="1" spans="1:13" ht="15.6" x14ac:dyDescent="0.25">
      <c r="A1" s="1"/>
      <c r="B1" s="2" t="s">
        <v>235</v>
      </c>
    </row>
    <row r="2" spans="1:13" ht="15.6" x14ac:dyDescent="0.25">
      <c r="A2" s="1"/>
      <c r="B2" s="2"/>
    </row>
    <row r="3" spans="1:13" ht="13.2" x14ac:dyDescent="0.2">
      <c r="A3" s="1"/>
      <c r="B3" s="91" t="s">
        <v>381</v>
      </c>
      <c r="J3" s="106" t="str">
        <f>'PP&amp;E'!B3</f>
        <v>Selected case: as a % of PPE</v>
      </c>
    </row>
    <row r="5" spans="1:13" ht="12" x14ac:dyDescent="0.25">
      <c r="C5" s="226" t="s">
        <v>368</v>
      </c>
      <c r="D5" s="226"/>
      <c r="F5" s="226" t="s">
        <v>369</v>
      </c>
      <c r="G5" s="226"/>
      <c r="I5" s="226" t="s">
        <v>382</v>
      </c>
      <c r="J5" s="226"/>
      <c r="L5" s="226" t="s">
        <v>390</v>
      </c>
      <c r="M5" s="226"/>
    </row>
    <row r="6" spans="1:13" ht="12" x14ac:dyDescent="0.25">
      <c r="B6" s="33" t="s">
        <v>327</v>
      </c>
      <c r="C6" s="59" t="s">
        <v>191</v>
      </c>
      <c r="D6" s="59" t="s">
        <v>225</v>
      </c>
      <c r="F6" s="59" t="s">
        <v>191</v>
      </c>
      <c r="G6" s="59" t="s">
        <v>225</v>
      </c>
      <c r="I6" s="59" t="s">
        <v>101</v>
      </c>
      <c r="J6" s="59" t="s">
        <v>109</v>
      </c>
      <c r="L6" s="59" t="s">
        <v>101</v>
      </c>
      <c r="M6" s="59" t="s">
        <v>109</v>
      </c>
    </row>
    <row r="7" spans="1:13" x14ac:dyDescent="0.25">
      <c r="B7" s="7" t="s">
        <v>214</v>
      </c>
      <c r="C7" s="98">
        <f>-7592/38750</f>
        <v>-0.1959225806451613</v>
      </c>
      <c r="D7" s="100">
        <f t="shared" ref="D7:D15" si="0">C7</f>
        <v>-0.1959225806451613</v>
      </c>
      <c r="F7" s="98">
        <f>-7592/137237</f>
        <v>-5.5320358212435423E-2</v>
      </c>
      <c r="G7" s="31">
        <f t="shared" ref="G7:G13" si="1">F7</f>
        <v>-5.5320358212435423E-2</v>
      </c>
      <c r="I7" s="98">
        <f>-6786/137237</f>
        <v>-4.9447306484402896E-2</v>
      </c>
      <c r="J7" s="98">
        <f>-6786/38750</f>
        <v>-0.17512258064516129</v>
      </c>
      <c r="L7" s="31">
        <f>AVERAGE('PP&amp;E'!H31:Q31)</f>
        <v>-2.6032682049198046E-2</v>
      </c>
      <c r="M7" s="31">
        <f>AVERAGE('PP&amp;E'!H30:Q30)</f>
        <v>-0.24004390316466212</v>
      </c>
    </row>
    <row r="8" spans="1:13" x14ac:dyDescent="0.25">
      <c r="B8" s="7" t="s">
        <v>215</v>
      </c>
      <c r="C8" s="100">
        <f>-7049/36178</f>
        <v>-0.19484216927414449</v>
      </c>
      <c r="D8" s="100">
        <f t="shared" si="0"/>
        <v>-0.19484216927414449</v>
      </c>
      <c r="F8" s="100">
        <f>-7049/155900</f>
        <v>-4.5214881334188585E-2</v>
      </c>
      <c r="G8" s="31">
        <f t="shared" si="1"/>
        <v>-4.5214881334188585E-2</v>
      </c>
      <c r="I8" s="100">
        <f>-9689/155900</f>
        <v>-6.2148813341885822E-2</v>
      </c>
      <c r="J8" s="100">
        <f>-9689/36178</f>
        <v>-0.26781469401293606</v>
      </c>
    </row>
    <row r="9" spans="1:13" x14ac:dyDescent="0.25">
      <c r="B9" s="7" t="s">
        <v>216</v>
      </c>
      <c r="C9" s="100">
        <f>-8385/28608</f>
        <v>-0.2930998322147651</v>
      </c>
      <c r="D9" s="100">
        <f t="shared" si="0"/>
        <v>-0.2930998322147651</v>
      </c>
      <c r="F9" s="100">
        <f>-8385/108187</f>
        <v>-7.7504690951777935E-2</v>
      </c>
      <c r="G9" s="100">
        <f t="shared" si="1"/>
        <v>-7.7504690951777935E-2</v>
      </c>
      <c r="I9" s="100">
        <f>-5445/108187</f>
        <v>-5.032952203129766E-2</v>
      </c>
      <c r="J9" s="100">
        <f>-5445/28608</f>
        <v>-0.19033137583892618</v>
      </c>
    </row>
    <row r="10" spans="1:13" x14ac:dyDescent="0.25">
      <c r="B10" s="7" t="s">
        <v>217</v>
      </c>
      <c r="C10" s="100">
        <f>-6734/22749</f>
        <v>-0.29601301156094773</v>
      </c>
      <c r="D10" s="100">
        <f t="shared" si="0"/>
        <v>-0.29601301156094773</v>
      </c>
      <c r="F10" s="100">
        <f>-6734/91682</f>
        <v>-7.3449532078270541E-2</v>
      </c>
      <c r="G10" s="31">
        <f t="shared" si="1"/>
        <v>-7.3449532078270541E-2</v>
      </c>
      <c r="I10" s="100">
        <f>-5853/91682</f>
        <v>-6.3840230361466813E-2</v>
      </c>
      <c r="J10" s="100">
        <f>-5853/22749</f>
        <v>-0.25728603455096927</v>
      </c>
    </row>
    <row r="11" spans="1:13" x14ac:dyDescent="0.25">
      <c r="B11" s="7" t="s">
        <v>370</v>
      </c>
      <c r="C11" s="100">
        <f>-7199/37143</f>
        <v>-0.19381848531351803</v>
      </c>
      <c r="D11" s="100">
        <f t="shared" si="0"/>
        <v>-0.19381848531351803</v>
      </c>
      <c r="F11" s="100">
        <f>-7199/172745</f>
        <v>-4.1674143969434717E-2</v>
      </c>
      <c r="G11" s="31">
        <f t="shared" si="1"/>
        <v>-4.1674143969434717E-2</v>
      </c>
      <c r="I11" s="100">
        <f>-7751/172745</f>
        <v>-4.4869605487857823E-2</v>
      </c>
      <c r="J11" s="100">
        <f>-7751/37143</f>
        <v>-0.20867996661551302</v>
      </c>
    </row>
    <row r="12" spans="1:13" x14ac:dyDescent="0.25">
      <c r="B12" s="7" t="s">
        <v>218</v>
      </c>
      <c r="C12" s="100">
        <f>-14230/66152</f>
        <v>-0.2151106542508163</v>
      </c>
      <c r="D12" s="100">
        <f t="shared" si="0"/>
        <v>-0.2151106542508163</v>
      </c>
      <c r="F12" s="100">
        <f>-14230/252632</f>
        <v>-5.6326989455017573E-2</v>
      </c>
      <c r="G12" s="31">
        <f t="shared" si="1"/>
        <v>-5.6326989455017573E-2</v>
      </c>
      <c r="I12" s="100">
        <f>-12046/252632</f>
        <v>-4.7682003863326897E-2</v>
      </c>
      <c r="J12" s="100">
        <f>-12046/66152</f>
        <v>-0.18209577941710001</v>
      </c>
    </row>
    <row r="13" spans="1:13" x14ac:dyDescent="0.25">
      <c r="B13" s="7" t="s">
        <v>219</v>
      </c>
      <c r="C13" s="100">
        <f>-1590/6492</f>
        <v>-0.24491682070240295</v>
      </c>
      <c r="D13" s="100">
        <f t="shared" si="0"/>
        <v>-0.24491682070240295</v>
      </c>
      <c r="F13" s="100">
        <f>-1590/24214</f>
        <v>-6.5664491616420254E-2</v>
      </c>
      <c r="G13" s="31">
        <f t="shared" si="1"/>
        <v>-6.5664491616420254E-2</v>
      </c>
      <c r="I13" s="100">
        <f>-2164/24214</f>
        <v>-8.9369786074171967E-2</v>
      </c>
      <c r="J13" s="100">
        <f>-2164/6492</f>
        <v>-0.33333333333333331</v>
      </c>
    </row>
    <row r="14" spans="1:13" x14ac:dyDescent="0.25">
      <c r="B14" s="7" t="s">
        <v>221</v>
      </c>
      <c r="C14" s="100">
        <f>-352154/1069652</f>
        <v>-0.32922296223444636</v>
      </c>
      <c r="D14" s="100">
        <f t="shared" si="0"/>
        <v>-0.32922296223444636</v>
      </c>
      <c r="F14" s="100">
        <f>-352154/3766615</f>
        <v>-9.3493494822274106E-2</v>
      </c>
      <c r="G14" s="31">
        <f>F14</f>
        <v>-9.3493494822274106E-2</v>
      </c>
      <c r="I14" s="100">
        <f>-351946/3766615</f>
        <v>-9.3438272825866198E-2</v>
      </c>
      <c r="J14" s="100">
        <f>-351946/1069652</f>
        <v>-0.32902850646752402</v>
      </c>
    </row>
    <row r="15" spans="1:13" x14ac:dyDescent="0.25">
      <c r="B15" s="7" t="s">
        <v>224</v>
      </c>
      <c r="C15" s="100">
        <f>-574/2884</f>
        <v>-0.19902912621359223</v>
      </c>
      <c r="D15" s="100">
        <f t="shared" si="0"/>
        <v>-0.19902912621359223</v>
      </c>
      <c r="F15" s="100">
        <f>-574/24120</f>
        <v>-2.3797678275290217E-2</v>
      </c>
      <c r="G15" s="200"/>
      <c r="I15" s="100">
        <f>-322/24120</f>
        <v>-1.3349917081260364E-2</v>
      </c>
      <c r="J15" s="100">
        <f>-322/2884</f>
        <v>-0.11165048543689321</v>
      </c>
    </row>
    <row r="16" spans="1:13" ht="12" x14ac:dyDescent="0.25">
      <c r="B16" s="8" t="s">
        <v>191</v>
      </c>
      <c r="C16" s="111">
        <f>AVERAGE(C7:C15)</f>
        <v>-0.24021951582331053</v>
      </c>
      <c r="D16" s="111">
        <f>AVERAGE(D7:D15)</f>
        <v>-0.24021951582331053</v>
      </c>
      <c r="F16" s="111">
        <f>AVERAGE(F7:F15)</f>
        <v>-5.9160695635012153E-2</v>
      </c>
      <c r="G16" s="111">
        <f>AVERAGE(G7:G15)</f>
        <v>-6.3581072804977393E-2</v>
      </c>
      <c r="I16" s="111">
        <f>AVERAGE(I7:I15)</f>
        <v>-5.7163939727948497E-2</v>
      </c>
      <c r="J16" s="111">
        <f>AVERAGE(J7:J15)</f>
        <v>-0.22837141736870625</v>
      </c>
    </row>
  </sheetData>
  <mergeCells count="4">
    <mergeCell ref="C5:D5"/>
    <mergeCell ref="F5:G5"/>
    <mergeCell ref="I5:J5"/>
    <mergeCell ref="L5:M5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A15F-8347-4CF2-95A0-3FD476ED76BB}">
  <sheetPr>
    <tabColor theme="5"/>
  </sheetPr>
  <dimension ref="B14"/>
  <sheetViews>
    <sheetView workbookViewId="0">
      <selection activeCell="J16" sqref="J16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0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>
      <selection activeCell="J19" sqref="J19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0" t="s">
        <v>66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F980-E91C-42CD-8BD9-14F711B36EBB}">
  <dimension ref="A1:M15"/>
  <sheetViews>
    <sheetView workbookViewId="0"/>
  </sheetViews>
  <sheetFormatPr defaultColWidth="9.109375" defaultRowHeight="11.4" x14ac:dyDescent="0.25"/>
  <cols>
    <col min="1" max="1" width="2" style="7" customWidth="1"/>
    <col min="2" max="2" width="17.6640625" style="7" customWidth="1"/>
    <col min="3" max="4" width="12.88671875" style="7" customWidth="1"/>
    <col min="5" max="5" width="2" style="7" customWidth="1"/>
    <col min="6" max="7" width="12.88671875" style="7" customWidth="1"/>
    <col min="8" max="8" width="2" style="7" customWidth="1"/>
    <col min="9" max="10" width="9.109375" style="7"/>
    <col min="11" max="11" width="2" style="7" customWidth="1"/>
    <col min="12" max="16384" width="9.109375" style="7"/>
  </cols>
  <sheetData>
    <row r="1" spans="1:13" ht="15.6" x14ac:dyDescent="0.25">
      <c r="A1" s="1"/>
      <c r="B1" s="2" t="s">
        <v>285</v>
      </c>
    </row>
    <row r="2" spans="1:13" ht="15.6" x14ac:dyDescent="0.25">
      <c r="A2" s="1"/>
      <c r="B2" s="2"/>
    </row>
    <row r="3" spans="1:13" ht="13.2" x14ac:dyDescent="0.25">
      <c r="A3" s="1"/>
      <c r="B3" s="91" t="s">
        <v>381</v>
      </c>
    </row>
    <row r="5" spans="1:13" ht="12" x14ac:dyDescent="0.25">
      <c r="C5" s="226" t="s">
        <v>50</v>
      </c>
      <c r="D5" s="226"/>
      <c r="F5" s="226" t="s">
        <v>51</v>
      </c>
      <c r="G5" s="226"/>
      <c r="I5" s="226" t="s">
        <v>52</v>
      </c>
      <c r="J5" s="226"/>
      <c r="L5" s="226" t="s">
        <v>236</v>
      </c>
      <c r="M5" s="226"/>
    </row>
    <row r="6" spans="1:13" ht="24" x14ac:dyDescent="0.25">
      <c r="B6" s="33" t="s">
        <v>166</v>
      </c>
      <c r="C6" s="59" t="s">
        <v>191</v>
      </c>
      <c r="D6" s="59" t="s">
        <v>225</v>
      </c>
      <c r="F6" s="59" t="s">
        <v>191</v>
      </c>
      <c r="G6" s="59" t="s">
        <v>225</v>
      </c>
      <c r="I6" s="59" t="s">
        <v>191</v>
      </c>
      <c r="J6" s="59" t="s">
        <v>225</v>
      </c>
      <c r="L6" s="61" t="s">
        <v>191</v>
      </c>
      <c r="M6" s="61" t="s">
        <v>225</v>
      </c>
    </row>
    <row r="7" spans="1:13" x14ac:dyDescent="0.25">
      <c r="B7" s="7" t="s">
        <v>214</v>
      </c>
      <c r="C7" s="15">
        <f>6797/122697*360</f>
        <v>19.942785887185508</v>
      </c>
      <c r="D7" s="120">
        <f>C7</f>
        <v>19.942785887185508</v>
      </c>
      <c r="F7" s="116">
        <f>10398/110651*360</f>
        <v>33.829608408419261</v>
      </c>
      <c r="G7" s="120">
        <f>F7</f>
        <v>33.829608408419261</v>
      </c>
      <c r="I7" s="116">
        <f>21018/110651*360</f>
        <v>68.381487740734372</v>
      </c>
      <c r="J7" s="120">
        <f>I7</f>
        <v>68.381487740734372</v>
      </c>
      <c r="L7" s="117">
        <f>C7+F7-I7</f>
        <v>-14.609093445129602</v>
      </c>
      <c r="M7" s="121">
        <f>L7</f>
        <v>-14.609093445129602</v>
      </c>
    </row>
    <row r="8" spans="1:13" x14ac:dyDescent="0.25">
      <c r="B8" s="7" t="s">
        <v>215</v>
      </c>
      <c r="C8" s="15">
        <f>11195/155900*360</f>
        <v>25.851186658114177</v>
      </c>
      <c r="D8" s="120">
        <f>C8</f>
        <v>25.851186658114177</v>
      </c>
      <c r="F8" s="15">
        <f>11220/134693*360</f>
        <v>29.988195377636551</v>
      </c>
      <c r="G8" s="120">
        <f>F8</f>
        <v>29.988195377636551</v>
      </c>
      <c r="I8" s="15">
        <f>21520/134693*360</f>
        <v>57.517465644094351</v>
      </c>
      <c r="J8" s="120">
        <f>I8</f>
        <v>57.517465644094351</v>
      </c>
      <c r="L8" s="117">
        <f t="shared" ref="L8:M14" si="0">C8+F8-I8</f>
        <v>-1.6780836083436199</v>
      </c>
      <c r="M8" s="121">
        <f>L8</f>
        <v>-1.6780836083436199</v>
      </c>
    </row>
    <row r="9" spans="1:13" x14ac:dyDescent="0.25">
      <c r="B9" s="7" t="s">
        <v>216</v>
      </c>
      <c r="C9" s="15">
        <f>6628/108187*360</f>
        <v>22.055145257748158</v>
      </c>
      <c r="D9" s="120">
        <f>C9</f>
        <v>22.055145257748158</v>
      </c>
      <c r="F9" s="15">
        <f>9722/93164*360</f>
        <v>37.567300674080116</v>
      </c>
      <c r="G9" s="120">
        <f>F9</f>
        <v>37.567300674080116</v>
      </c>
      <c r="I9" s="15">
        <f>21616/93164*360</f>
        <v>83.527542827701694</v>
      </c>
      <c r="J9" s="120">
        <f>I9</f>
        <v>83.527542827701694</v>
      </c>
      <c r="L9" s="117">
        <f t="shared" si="0"/>
        <v>-23.90509689587342</v>
      </c>
      <c r="M9" s="121">
        <f>L9</f>
        <v>-23.90509689587342</v>
      </c>
    </row>
    <row r="10" spans="1:13" x14ac:dyDescent="0.25">
      <c r="B10" s="7" t="s">
        <v>217</v>
      </c>
      <c r="C10" s="15">
        <f>2228/91682*360</f>
        <v>8.7485002508671279</v>
      </c>
      <c r="D10" s="120">
        <f>C10</f>
        <v>8.7485002508671279</v>
      </c>
      <c r="F10" s="15">
        <f>14404/78062*360</f>
        <v>66.427198893187466</v>
      </c>
      <c r="G10" s="120">
        <f>F10</f>
        <v>66.427198893187466</v>
      </c>
      <c r="I10" s="15">
        <f>8814/78062*360</f>
        <v>40.647690297455867</v>
      </c>
      <c r="J10" s="120">
        <f>I10</f>
        <v>40.647690297455867</v>
      </c>
      <c r="L10" s="117">
        <f t="shared" si="0"/>
        <v>34.528008846598723</v>
      </c>
      <c r="M10" s="121">
        <f>L10</f>
        <v>34.528008846598723</v>
      </c>
    </row>
    <row r="11" spans="1:13" x14ac:dyDescent="0.25">
      <c r="B11" s="7" t="s">
        <v>218</v>
      </c>
      <c r="C11" s="15">
        <f>17941/252632*360</f>
        <v>25.565882390196016</v>
      </c>
      <c r="D11" s="120">
        <f>C11</f>
        <v>25.565882390196016</v>
      </c>
      <c r="F11" s="15">
        <f>46742/203490*360</f>
        <v>82.692613887660329</v>
      </c>
      <c r="G11" s="120">
        <f>F11</f>
        <v>82.692613887660329</v>
      </c>
      <c r="I11" s="15">
        <f>22745/203490*360</f>
        <v>40.238832375055289</v>
      </c>
      <c r="J11" s="120">
        <f>I11</f>
        <v>40.238832375055289</v>
      </c>
      <c r="L11" s="117">
        <f t="shared" si="0"/>
        <v>68.019663902801057</v>
      </c>
      <c r="M11" s="121">
        <f>L11</f>
        <v>68.019663902801057</v>
      </c>
    </row>
    <row r="12" spans="1:13" x14ac:dyDescent="0.25">
      <c r="B12" s="112" t="s">
        <v>219</v>
      </c>
      <c r="C12" s="119">
        <f>1362/24214*360</f>
        <v>20.249442471297595</v>
      </c>
      <c r="D12" s="101"/>
      <c r="E12" s="112"/>
      <c r="F12" s="119">
        <f>3608/15670*360</f>
        <v>82.889597957881293</v>
      </c>
      <c r="G12" s="101"/>
      <c r="H12" s="112"/>
      <c r="I12" s="119">
        <f>7083/15670*360</f>
        <v>162.72367581365666</v>
      </c>
      <c r="J12" s="101"/>
      <c r="L12" s="117">
        <f t="shared" si="0"/>
        <v>-59.584635384477764</v>
      </c>
      <c r="M12" s="101"/>
    </row>
    <row r="13" spans="1:13" x14ac:dyDescent="0.25">
      <c r="B13" s="7" t="s">
        <v>221</v>
      </c>
      <c r="C13" s="15">
        <f>231/3766*360</f>
        <v>22.081784386617102</v>
      </c>
      <c r="D13" s="120">
        <f>C13</f>
        <v>22.081784386617102</v>
      </c>
      <c r="F13" s="15">
        <f>420/1805*360</f>
        <v>83.767313019390585</v>
      </c>
      <c r="G13" s="120">
        <f>F13</f>
        <v>83.767313019390585</v>
      </c>
      <c r="I13" s="15">
        <f>712/1805*360</f>
        <v>142.00554016620498</v>
      </c>
      <c r="J13" s="120">
        <f>I13</f>
        <v>142.00554016620498</v>
      </c>
      <c r="L13" s="117">
        <f t="shared" si="0"/>
        <v>-36.156442760197294</v>
      </c>
      <c r="M13" s="121">
        <f>L13</f>
        <v>-36.156442760197294</v>
      </c>
    </row>
    <row r="14" spans="1:13" x14ac:dyDescent="0.25">
      <c r="B14" s="7" t="s">
        <v>224</v>
      </c>
      <c r="C14" s="15">
        <f>1306/24120*360</f>
        <v>19.492537313432834</v>
      </c>
      <c r="D14" s="120">
        <f>C14</f>
        <v>19.492537313432834</v>
      </c>
      <c r="F14" s="15">
        <f>1153/20556*360</f>
        <v>20.192644483362521</v>
      </c>
      <c r="G14" s="120">
        <f>F14</f>
        <v>20.192644483362521</v>
      </c>
      <c r="I14" s="15">
        <f>3194/20556*360</f>
        <v>55.936952714535906</v>
      </c>
      <c r="J14" s="120">
        <f>I14</f>
        <v>55.936952714535906</v>
      </c>
      <c r="L14" s="117">
        <f t="shared" si="0"/>
        <v>-16.251770917740551</v>
      </c>
      <c r="M14" s="117">
        <f t="shared" si="0"/>
        <v>-16.251770917740551</v>
      </c>
    </row>
    <row r="15" spans="1:13" ht="12" x14ac:dyDescent="0.25">
      <c r="B15" s="8" t="s">
        <v>191</v>
      </c>
      <c r="C15" s="123">
        <f>AVERAGE(C7:C14)</f>
        <v>20.498408076932314</v>
      </c>
      <c r="D15" s="123">
        <f>AVERAGE(D7:D14)</f>
        <v>20.533974592022989</v>
      </c>
      <c r="F15" s="123">
        <f>AVERAGE(F7:F14)</f>
        <v>54.669309087702267</v>
      </c>
      <c r="G15" s="123">
        <f>AVERAGE(G7:G14)</f>
        <v>50.637839249105262</v>
      </c>
      <c r="I15" s="123">
        <f>AVERAGE(I7:I14)</f>
        <v>81.372398447429887</v>
      </c>
      <c r="J15" s="123">
        <f>AVERAGE(J7:J14)</f>
        <v>69.750787395111772</v>
      </c>
      <c r="L15" s="118">
        <f>AVERAGE(L7:L14)</f>
        <v>-6.2046812827953088</v>
      </c>
      <c r="M15" s="118">
        <f>AVERAGE(M7:M14)</f>
        <v>1.4210264460164705</v>
      </c>
    </row>
  </sheetData>
  <mergeCells count="4">
    <mergeCell ref="C5:D5"/>
    <mergeCell ref="F5:G5"/>
    <mergeCell ref="I5:J5"/>
    <mergeCell ref="L5:M5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Q14"/>
  <sheetViews>
    <sheetView workbookViewId="0"/>
  </sheetViews>
  <sheetFormatPr defaultColWidth="9.109375" defaultRowHeight="13.2" x14ac:dyDescent="0.25"/>
  <cols>
    <col min="1" max="1" width="2" style="18" customWidth="1"/>
    <col min="2" max="2" width="19.109375" style="18" customWidth="1"/>
    <col min="3" max="6" width="10.109375" style="18" bestFit="1" customWidth="1"/>
    <col min="7" max="7" width="10" style="18" bestFit="1" customWidth="1"/>
    <col min="8" max="17" width="10.109375" style="18" bestFit="1" customWidth="1"/>
    <col min="18" max="16384" width="9.109375" style="18"/>
  </cols>
  <sheetData>
    <row r="1" spans="2:17" ht="15.6" x14ac:dyDescent="0.3">
      <c r="B1" s="17" t="s">
        <v>89</v>
      </c>
    </row>
    <row r="3" spans="2:17" x14ac:dyDescent="0.25">
      <c r="C3" s="226" t="s">
        <v>237</v>
      </c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</row>
    <row r="4" spans="2:17" ht="28.95" customHeight="1" x14ac:dyDescent="0.25">
      <c r="B4" s="5" t="s">
        <v>247</v>
      </c>
      <c r="C4" s="6" t="s">
        <v>229</v>
      </c>
      <c r="D4" s="6" t="s">
        <v>230</v>
      </c>
      <c r="E4" s="6" t="s">
        <v>231</v>
      </c>
      <c r="F4" s="6" t="s">
        <v>334</v>
      </c>
      <c r="G4" s="6" t="s">
        <v>367</v>
      </c>
      <c r="H4" s="87" t="s">
        <v>273</v>
      </c>
      <c r="I4" s="87" t="s">
        <v>274</v>
      </c>
      <c r="J4" s="87" t="s">
        <v>275</v>
      </c>
      <c r="K4" s="87" t="s">
        <v>276</v>
      </c>
      <c r="L4" s="87" t="s">
        <v>277</v>
      </c>
      <c r="M4" s="87" t="s">
        <v>278</v>
      </c>
      <c r="N4" s="87" t="s">
        <v>279</v>
      </c>
      <c r="O4" s="87" t="s">
        <v>280</v>
      </c>
      <c r="P4" s="87" t="s">
        <v>281</v>
      </c>
      <c r="Q4" s="87" t="s">
        <v>338</v>
      </c>
    </row>
    <row r="5" spans="2:17" x14ac:dyDescent="0.25">
      <c r="B5" s="7" t="s">
        <v>90</v>
      </c>
      <c r="C5" s="114">
        <f>'Balance Sheet Input'!C6/1000</f>
        <v>168.965</v>
      </c>
      <c r="D5" s="114">
        <f>'Balance Sheet Input'!D6/1000</f>
        <v>499.142</v>
      </c>
      <c r="E5" s="114">
        <f>'Balance Sheet Input'!E6/1000</f>
        <v>515.38099999999997</v>
      </c>
      <c r="F5" s="114">
        <f>'Balance Sheet Input'!F6/1000</f>
        <v>949.02200000000005</v>
      </c>
      <c r="G5" s="150">
        <f>'Balance Sheet Input'!G6/1000</f>
        <v>1324</v>
      </c>
      <c r="H5" s="115">
        <f>H11*('P&amp;L'!H5)/360</f>
        <v>1751.0557775791181</v>
      </c>
      <c r="I5" s="115">
        <f>I11*('P&amp;L'!I5)/360</f>
        <v>2326.4099837632552</v>
      </c>
      <c r="J5" s="115">
        <f>J11*('P&amp;L'!J5)/360</f>
        <v>3163.3425914357417</v>
      </c>
      <c r="K5" s="115">
        <f>K11*('P&amp;L'!K5)/360</f>
        <v>4068.5094814068998</v>
      </c>
      <c r="L5" s="115">
        <f>L11*('P&amp;L'!L5)/360</f>
        <v>4647.4322321503168</v>
      </c>
      <c r="M5" s="115">
        <f>M11*('P&amp;L'!M5)/360</f>
        <v>4980.4655443669935</v>
      </c>
      <c r="N5" s="115">
        <f>N11*('P&amp;L'!N5)/360</f>
        <v>5308.0491492177407</v>
      </c>
      <c r="O5" s="115">
        <f>O11*('P&amp;L'!O5)/360</f>
        <v>5642.058886647389</v>
      </c>
      <c r="P5" s="115">
        <f>P11*('P&amp;L'!P5)/360</f>
        <v>5921.6123617190015</v>
      </c>
      <c r="Q5" s="115">
        <f>Q11*('P&amp;L'!Q5)/360</f>
        <v>6174.8443533974159</v>
      </c>
    </row>
    <row r="6" spans="2:17" x14ac:dyDescent="0.25">
      <c r="B6" s="7" t="s">
        <v>9</v>
      </c>
      <c r="C6" s="114">
        <f>'Balance Sheet Input'!C7/1000</f>
        <v>1277.838</v>
      </c>
      <c r="D6" s="114">
        <f>'Balance Sheet Input'!D7/1000</f>
        <v>2067.4540000000002</v>
      </c>
      <c r="E6" s="114">
        <f>'Balance Sheet Input'!E7/1000</f>
        <v>2263.5369999999998</v>
      </c>
      <c r="F6" s="114">
        <f>'Balance Sheet Input'!F7/1000</f>
        <v>3113.4459999999999</v>
      </c>
      <c r="G6" s="150">
        <f>'Balance Sheet Input'!G7/1000</f>
        <v>3552</v>
      </c>
      <c r="H6" s="115">
        <f>-H12*('P&amp;L'!H$6)/360</f>
        <v>7827.8631416870594</v>
      </c>
      <c r="I6" s="115">
        <f>-I12*('P&amp;L'!I$6)/360</f>
        <v>10507.521419943452</v>
      </c>
      <c r="J6" s="115">
        <f>-J12*('P&amp;L'!J$6)/360</f>
        <v>14357.123274336753</v>
      </c>
      <c r="K6" s="115">
        <f>-K12*('P&amp;L'!K$6)/360</f>
        <v>18532.26848858919</v>
      </c>
      <c r="L6" s="115">
        <f>-L12*('P&amp;L'!L$6)/360</f>
        <v>21165.578498859359</v>
      </c>
      <c r="M6" s="115">
        <f>-M12*('P&amp;L'!M$6)/360</f>
        <v>22705.209565658301</v>
      </c>
      <c r="N6" s="115">
        <f>-N12*('P&amp;L'!N$6)/360</f>
        <v>24218.308625352031</v>
      </c>
      <c r="O6" s="115">
        <f>-O12*('P&amp;L'!O$6)/360</f>
        <v>25763.903386684378</v>
      </c>
      <c r="P6" s="115">
        <f>-P12*('P&amp;L'!P$6)/360</f>
        <v>27053.369099271451</v>
      </c>
      <c r="Q6" s="115">
        <f>-Q12*('P&amp;L'!Q$6)/360</f>
        <v>28226.569871116342</v>
      </c>
    </row>
    <row r="7" spans="2:17" x14ac:dyDescent="0.25">
      <c r="B7" s="7" t="s">
        <v>91</v>
      </c>
      <c r="C7" s="114">
        <f>'Balance Sheet Input'!C19/1000</f>
        <v>916.14800000000002</v>
      </c>
      <c r="D7" s="114">
        <f>'Balance Sheet Input'!D19/1000</f>
        <v>1860.3409999999999</v>
      </c>
      <c r="E7" s="114">
        <f>'Balance Sheet Input'!E19/1000</f>
        <v>2390.25</v>
      </c>
      <c r="F7" s="114">
        <f>'Balance Sheet Input'!F19/1000</f>
        <v>3404.451</v>
      </c>
      <c r="G7" s="150">
        <f>'Balance Sheet Input'!G19/1000</f>
        <v>3771</v>
      </c>
      <c r="H7" s="115">
        <f>-H13*('P&amp;L'!H$6)/360</f>
        <v>7109.3116498347044</v>
      </c>
      <c r="I7" s="115">
        <f>-I13*('P&amp;L'!I$6)/360</f>
        <v>9542.9931629581461</v>
      </c>
      <c r="J7" s="115">
        <f>-J13*('P&amp;L'!J$6)/360</f>
        <v>13039.224358533857</v>
      </c>
      <c r="K7" s="115">
        <f>-K13*('P&amp;L'!K$6)/360</f>
        <v>16831.115960900235</v>
      </c>
      <c r="L7" s="115">
        <f>-L13*('P&amp;L'!L$6)/360</f>
        <v>19222.703702635496</v>
      </c>
      <c r="M7" s="115">
        <f>-M13*('P&amp;L'!M$6)/360</f>
        <v>20621.005752827212</v>
      </c>
      <c r="N7" s="115">
        <f>-N13*('P&amp;L'!N$6)/360</f>
        <v>21995.211277084269</v>
      </c>
      <c r="O7" s="115">
        <f>-O13*('P&amp;L'!O$6)/360</f>
        <v>23398.929589959036</v>
      </c>
      <c r="P7" s="115">
        <f>-P13*('P&amp;L'!P$6)/360</f>
        <v>24570.029984361434</v>
      </c>
      <c r="Q7" s="115">
        <f>-Q13*('P&amp;L'!Q$6)/360</f>
        <v>25635.537871239791</v>
      </c>
    </row>
    <row r="8" spans="2:17" ht="13.8" thickBot="1" x14ac:dyDescent="0.3">
      <c r="B8" s="103" t="s">
        <v>236</v>
      </c>
      <c r="C8" s="110">
        <f>C5+C6-C7</f>
        <v>530.65499999999986</v>
      </c>
      <c r="D8" s="110">
        <f>D5+D6-D7</f>
        <v>706.25500000000011</v>
      </c>
      <c r="E8" s="110">
        <f>E5+E6-E7</f>
        <v>388.66799999999967</v>
      </c>
      <c r="F8" s="110">
        <f>F5+F6-F7</f>
        <v>658.01699999999983</v>
      </c>
      <c r="G8" s="110">
        <f>G5+G6-G7</f>
        <v>1105</v>
      </c>
      <c r="H8" s="110">
        <f t="shared" ref="H8:L8" si="0">H5+H6-H7</f>
        <v>2469.6072694314735</v>
      </c>
      <c r="I8" s="110">
        <f t="shared" si="0"/>
        <v>3290.9382407485609</v>
      </c>
      <c r="J8" s="110">
        <f t="shared" si="0"/>
        <v>4481.2415072386375</v>
      </c>
      <c r="K8" s="110">
        <f t="shared" si="0"/>
        <v>5769.6620090958531</v>
      </c>
      <c r="L8" s="110">
        <f t="shared" si="0"/>
        <v>6590.3070283741799</v>
      </c>
      <c r="M8" s="110">
        <f>M5+M6-M7</f>
        <v>7064.6693571980832</v>
      </c>
      <c r="N8" s="110">
        <f>N5+N6-N7</f>
        <v>7531.1464974855007</v>
      </c>
      <c r="O8" s="110">
        <f>O5+O6-O7</f>
        <v>8007.0326833727304</v>
      </c>
      <c r="P8" s="110">
        <f>P5+P6-P7</f>
        <v>8404.9514766290158</v>
      </c>
      <c r="Q8" s="110">
        <f>Q5+Q6-Q7</f>
        <v>8765.8763532739649</v>
      </c>
    </row>
    <row r="9" spans="2:17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2:17" x14ac:dyDescent="0.25">
      <c r="B10" s="96" t="s">
        <v>69</v>
      </c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</row>
    <row r="11" spans="2:17" x14ac:dyDescent="0.25">
      <c r="B11" s="81" t="s">
        <v>50</v>
      </c>
      <c r="C11" s="113">
        <f>'Balance Sheet Input'!C40</f>
        <v>15.033866572747325</v>
      </c>
      <c r="D11" s="113">
        <f>'Balance Sheet Input'!D40</f>
        <v>25.66967594325364</v>
      </c>
      <c r="E11" s="113">
        <f>'Balance Sheet Input'!E40</f>
        <v>15.77864519794662</v>
      </c>
      <c r="F11" s="113">
        <f>'Balance Sheet Input'!F40</f>
        <v>15.919279326831946</v>
      </c>
      <c r="G11" s="113">
        <f>'Balance Sheet Input'!G40</f>
        <v>9.6964765237204009</v>
      </c>
      <c r="H11" s="113">
        <f t="shared" ref="H11:Q13" si="1">AVERAGE($C11:$G11)</f>
        <v>16.419588712899987</v>
      </c>
      <c r="I11" s="113">
        <f t="shared" si="1"/>
        <v>16.419588712899987</v>
      </c>
      <c r="J11" s="113">
        <f t="shared" si="1"/>
        <v>16.419588712899987</v>
      </c>
      <c r="K11" s="113">
        <f t="shared" si="1"/>
        <v>16.419588712899987</v>
      </c>
      <c r="L11" s="113">
        <f t="shared" si="1"/>
        <v>16.419588712899987</v>
      </c>
      <c r="M11" s="113">
        <f t="shared" si="1"/>
        <v>16.419588712899987</v>
      </c>
      <c r="N11" s="113">
        <f t="shared" si="1"/>
        <v>16.419588712899987</v>
      </c>
      <c r="O11" s="113">
        <f t="shared" si="1"/>
        <v>16.419588712899987</v>
      </c>
      <c r="P11" s="113">
        <f t="shared" si="1"/>
        <v>16.419588712899987</v>
      </c>
      <c r="Q11" s="113">
        <f t="shared" si="1"/>
        <v>16.419588712899987</v>
      </c>
    </row>
    <row r="12" spans="2:17" x14ac:dyDescent="0.25">
      <c r="B12" s="81" t="s">
        <v>51</v>
      </c>
      <c r="C12" s="113">
        <f>'Balance Sheet Input'!C41</f>
        <v>147.32375944829212</v>
      </c>
      <c r="D12" s="113">
        <f>'Balance Sheet Input'!D41</f>
        <v>137.80793667692734</v>
      </c>
      <c r="E12" s="113">
        <f>'Balance Sheet Input'!E41</f>
        <v>85.449953986173199</v>
      </c>
      <c r="F12" s="113">
        <f>'Balance Sheet Input'!F41</f>
        <v>64.344949009563962</v>
      </c>
      <c r="G12" s="113">
        <f>'Balance Sheet Input'!G41</f>
        <v>31.174606270417865</v>
      </c>
      <c r="H12" s="113">
        <f t="shared" si="1"/>
        <v>93.22024107827491</v>
      </c>
      <c r="I12" s="113">
        <f t="shared" si="1"/>
        <v>93.22024107827491</v>
      </c>
      <c r="J12" s="113">
        <f t="shared" si="1"/>
        <v>93.22024107827491</v>
      </c>
      <c r="K12" s="113">
        <f t="shared" si="1"/>
        <v>93.22024107827491</v>
      </c>
      <c r="L12" s="113">
        <f t="shared" si="1"/>
        <v>93.22024107827491</v>
      </c>
      <c r="M12" s="113">
        <f t="shared" si="1"/>
        <v>93.22024107827491</v>
      </c>
      <c r="N12" s="113">
        <f t="shared" si="1"/>
        <v>93.22024107827491</v>
      </c>
      <c r="O12" s="113">
        <f t="shared" si="1"/>
        <v>93.22024107827491</v>
      </c>
      <c r="P12" s="113">
        <f t="shared" si="1"/>
        <v>93.22024107827491</v>
      </c>
      <c r="Q12" s="113">
        <f t="shared" si="1"/>
        <v>93.22024107827491</v>
      </c>
    </row>
    <row r="13" spans="2:17" x14ac:dyDescent="0.25">
      <c r="B13" s="81" t="s">
        <v>52</v>
      </c>
      <c r="C13" s="113">
        <f>'Balance Sheet Input'!C42</f>
        <v>105.62400521117225</v>
      </c>
      <c r="D13" s="113">
        <f>'Balance Sheet Input'!D42</f>
        <v>124.00264031291226</v>
      </c>
      <c r="E13" s="113">
        <f>'Balance Sheet Input'!E42</f>
        <v>90.233449912879919</v>
      </c>
      <c r="F13" s="113">
        <f>'Balance Sheet Input'!F42</f>
        <v>70.359089574882319</v>
      </c>
      <c r="G13" s="113">
        <f>'Balance Sheet Input'!G42</f>
        <v>33.096689258374376</v>
      </c>
      <c r="H13" s="113">
        <f t="shared" si="1"/>
        <v>84.663174854044229</v>
      </c>
      <c r="I13" s="113">
        <f t="shared" si="1"/>
        <v>84.663174854044229</v>
      </c>
      <c r="J13" s="113">
        <f t="shared" si="1"/>
        <v>84.663174854044229</v>
      </c>
      <c r="K13" s="113">
        <f t="shared" si="1"/>
        <v>84.663174854044229</v>
      </c>
      <c r="L13" s="113">
        <f t="shared" si="1"/>
        <v>84.663174854044229</v>
      </c>
      <c r="M13" s="113">
        <f t="shared" si="1"/>
        <v>84.663174854044229</v>
      </c>
      <c r="N13" s="113">
        <f t="shared" si="1"/>
        <v>84.663174854044229</v>
      </c>
      <c r="O13" s="113">
        <f t="shared" si="1"/>
        <v>84.663174854044229</v>
      </c>
      <c r="P13" s="113">
        <f t="shared" si="1"/>
        <v>84.663174854044229</v>
      </c>
      <c r="Q13" s="113">
        <f t="shared" si="1"/>
        <v>84.663174854044229</v>
      </c>
    </row>
    <row r="14" spans="2:17" x14ac:dyDescent="0.25">
      <c r="B14" s="122" t="s">
        <v>236</v>
      </c>
      <c r="C14" s="113">
        <f t="shared" ref="C14:I14" si="2">C11+C12-C13</f>
        <v>56.73362080986719</v>
      </c>
      <c r="D14" s="113">
        <f t="shared" si="2"/>
        <v>39.474972307268729</v>
      </c>
      <c r="E14" s="113">
        <f t="shared" si="2"/>
        <v>10.995149271239896</v>
      </c>
      <c r="F14" s="113">
        <f t="shared" si="2"/>
        <v>9.9051387615135837</v>
      </c>
      <c r="G14" s="113">
        <f t="shared" si="2"/>
        <v>7.7743935357638918</v>
      </c>
      <c r="H14" s="113">
        <f t="shared" si="2"/>
        <v>24.976654937130661</v>
      </c>
      <c r="I14" s="113">
        <f t="shared" si="2"/>
        <v>24.976654937130661</v>
      </c>
      <c r="J14" s="113">
        <f t="shared" ref="J14:Q14" si="3">J11+J12-J13</f>
        <v>24.976654937130661</v>
      </c>
      <c r="K14" s="113">
        <f t="shared" si="3"/>
        <v>24.976654937130661</v>
      </c>
      <c r="L14" s="113">
        <f t="shared" si="3"/>
        <v>24.976654937130661</v>
      </c>
      <c r="M14" s="113">
        <f t="shared" si="3"/>
        <v>24.976654937130661</v>
      </c>
      <c r="N14" s="113">
        <f t="shared" si="3"/>
        <v>24.976654937130661</v>
      </c>
      <c r="O14" s="113">
        <f t="shared" si="3"/>
        <v>24.976654937130661</v>
      </c>
      <c r="P14" s="113">
        <f t="shared" si="3"/>
        <v>24.976654937130661</v>
      </c>
      <c r="Q14" s="113">
        <f t="shared" si="3"/>
        <v>24.976654937130661</v>
      </c>
    </row>
  </sheetData>
  <mergeCells count="1">
    <mergeCell ref="C3:Q3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19BB-8F65-4CBF-B186-7ADBEC03EC4E}">
  <dimension ref="B1"/>
  <sheetViews>
    <sheetView workbookViewId="0"/>
  </sheetViews>
  <sheetFormatPr defaultColWidth="9.109375" defaultRowHeight="13.2" x14ac:dyDescent="0.25"/>
  <cols>
    <col min="1" max="1" width="2" style="18" customWidth="1"/>
    <col min="2" max="2" width="19.109375" style="18" customWidth="1"/>
    <col min="3" max="14" width="9.6640625" style="18" customWidth="1"/>
    <col min="15" max="16384" width="9.109375" style="18"/>
  </cols>
  <sheetData>
    <row r="1" spans="2:2" ht="15.6" x14ac:dyDescent="0.3">
      <c r="B1" s="17"/>
    </row>
  </sheetData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F2B3-ACA7-4D38-9118-B9003E910A5A}">
  <sheetPr>
    <tabColor theme="5"/>
  </sheetPr>
  <dimension ref="B14"/>
  <sheetViews>
    <sheetView workbookViewId="0">
      <selection activeCell="G12" sqref="G12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0" t="s">
        <v>93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20"/>
  <sheetViews>
    <sheetView workbookViewId="0"/>
  </sheetViews>
  <sheetFormatPr defaultColWidth="9.109375" defaultRowHeight="11.4" x14ac:dyDescent="0.2"/>
  <cols>
    <col min="1" max="1" width="2" style="19" customWidth="1"/>
    <col min="2" max="2" width="36.5546875" style="19" customWidth="1"/>
    <col min="3" max="6" width="10.109375" style="19" bestFit="1" customWidth="1"/>
    <col min="7" max="7" width="10" style="19" bestFit="1" customWidth="1"/>
    <col min="8" max="17" width="10.109375" style="19" bestFit="1" customWidth="1"/>
    <col min="18" max="16384" width="9.109375" style="19"/>
  </cols>
  <sheetData>
    <row r="1" spans="1:17" ht="15.6" x14ac:dyDescent="0.3">
      <c r="B1" s="17" t="s">
        <v>93</v>
      </c>
      <c r="C1" s="25"/>
    </row>
    <row r="3" spans="1:17" x14ac:dyDescent="0.2">
      <c r="B3" s="19" t="s">
        <v>136</v>
      </c>
    </row>
    <row r="4" spans="1:17" ht="12" x14ac:dyDescent="0.25">
      <c r="B4" s="19" t="s">
        <v>137</v>
      </c>
      <c r="C4" s="124">
        <v>0.5</v>
      </c>
    </row>
    <row r="5" spans="1:17" ht="12" x14ac:dyDescent="0.25">
      <c r="B5" s="19" t="s">
        <v>113</v>
      </c>
      <c r="C5" s="124">
        <v>0.5</v>
      </c>
    </row>
    <row r="6" spans="1:17" x14ac:dyDescent="0.2">
      <c r="C6" s="43"/>
    </row>
    <row r="7" spans="1:17" x14ac:dyDescent="0.2">
      <c r="B7" s="19" t="s">
        <v>328</v>
      </c>
      <c r="C7" s="42">
        <f>Drivers!C11</f>
        <v>4.3240000000000001E-2</v>
      </c>
    </row>
    <row r="8" spans="1:17" x14ac:dyDescent="0.2">
      <c r="C8" s="43"/>
    </row>
    <row r="9" spans="1:17" ht="12" x14ac:dyDescent="0.2">
      <c r="C9" s="226" t="s">
        <v>241</v>
      </c>
      <c r="D9" s="226"/>
      <c r="E9" s="226"/>
      <c r="F9" s="226"/>
      <c r="G9" s="226"/>
      <c r="H9" s="226"/>
      <c r="I9" s="226"/>
      <c r="J9" s="226"/>
      <c r="K9" s="226"/>
      <c r="L9" s="226"/>
      <c r="M9" s="226"/>
      <c r="N9" s="226"/>
      <c r="O9" s="226"/>
      <c r="P9" s="226"/>
      <c r="Q9" s="226"/>
    </row>
    <row r="10" spans="1:17" ht="27" customHeight="1" x14ac:dyDescent="0.25">
      <c r="B10" s="5" t="s">
        <v>247</v>
      </c>
      <c r="C10" s="6" t="s">
        <v>229</v>
      </c>
      <c r="D10" s="6" t="s">
        <v>230</v>
      </c>
      <c r="E10" s="6" t="s">
        <v>231</v>
      </c>
      <c r="F10" s="6" t="s">
        <v>334</v>
      </c>
      <c r="G10" s="6" t="s">
        <v>367</v>
      </c>
      <c r="H10" s="87" t="s">
        <v>273</v>
      </c>
      <c r="I10" s="87" t="s">
        <v>274</v>
      </c>
      <c r="J10" s="87" t="s">
        <v>275</v>
      </c>
      <c r="K10" s="87" t="s">
        <v>276</v>
      </c>
      <c r="L10" s="87" t="s">
        <v>277</v>
      </c>
      <c r="M10" s="87" t="s">
        <v>278</v>
      </c>
      <c r="N10" s="87" t="s">
        <v>279</v>
      </c>
      <c r="O10" s="87" t="s">
        <v>280</v>
      </c>
      <c r="P10" s="87" t="s">
        <v>281</v>
      </c>
      <c r="Q10" s="87" t="s">
        <v>338</v>
      </c>
    </row>
    <row r="11" spans="1:17" s="23" customFormat="1" x14ac:dyDescent="0.2">
      <c r="A11" s="19"/>
      <c r="B11" s="7" t="s">
        <v>28</v>
      </c>
      <c r="C11" s="24">
        <f>'Balance Sheet Input'!C29/1000</f>
        <v>2021.0930000000001</v>
      </c>
      <c r="D11" s="24">
        <f>'Balance Sheet Input'!D29/1000</f>
        <v>5860.049</v>
      </c>
      <c r="E11" s="24">
        <f>'Balance Sheet Input'!E29/1000</f>
        <v>9415.7000000000007</v>
      </c>
      <c r="F11" s="24">
        <f>'Balance Sheet Input'!F29/1000</f>
        <v>9403.6720000000005</v>
      </c>
      <c r="G11" s="24">
        <f>'Balance Sheet Input'!G29/1000</f>
        <v>11634</v>
      </c>
      <c r="H11" s="174">
        <f>G11+G19</f>
        <v>11634</v>
      </c>
      <c r="I11" s="174">
        <f>H11+H19</f>
        <v>11634</v>
      </c>
      <c r="J11" s="174">
        <f t="shared" ref="J11:Q11" si="0">I11+I19</f>
        <v>11634</v>
      </c>
      <c r="K11" s="174">
        <f t="shared" si="0"/>
        <v>11634</v>
      </c>
      <c r="L11" s="174">
        <f t="shared" si="0"/>
        <v>11634</v>
      </c>
      <c r="M11" s="174">
        <f t="shared" si="0"/>
        <v>11634</v>
      </c>
      <c r="N11" s="174">
        <f t="shared" si="0"/>
        <v>11634</v>
      </c>
      <c r="O11" s="174">
        <f t="shared" si="0"/>
        <v>11634</v>
      </c>
      <c r="P11" s="174">
        <f t="shared" si="0"/>
        <v>11634</v>
      </c>
      <c r="Q11" s="174">
        <f t="shared" si="0"/>
        <v>11634</v>
      </c>
    </row>
    <row r="12" spans="1:17" s="23" customFormat="1" x14ac:dyDescent="0.2">
      <c r="A12" s="19"/>
      <c r="B12" s="19" t="str">
        <f>'P&amp;L Input'!B17</f>
        <v>Interest expense</v>
      </c>
      <c r="C12" s="24">
        <f>'P&amp;L Input'!C17/1000</f>
        <v>-118.851</v>
      </c>
      <c r="D12" s="24">
        <f>'P&amp;L Input'!D17/1000</f>
        <v>-198.81</v>
      </c>
      <c r="E12" s="24">
        <f>'P&amp;L Input'!E17/1000</f>
        <v>-471.25900000000001</v>
      </c>
      <c r="F12" s="24">
        <f>'P&amp;L Input'!F17/1000</f>
        <v>-663.07100000000003</v>
      </c>
      <c r="G12" s="24">
        <f>'P&amp;L Input'!G17/1000</f>
        <v>-685</v>
      </c>
      <c r="H12" s="175">
        <f>-G11*H13</f>
        <v>-503.05416000000002</v>
      </c>
      <c r="I12" s="175">
        <f t="shared" ref="I12:Q12" si="1">-H11*I13</f>
        <v>-503.05416000000002</v>
      </c>
      <c r="J12" s="175">
        <f t="shared" si="1"/>
        <v>-503.05416000000002</v>
      </c>
      <c r="K12" s="175">
        <f t="shared" si="1"/>
        <v>-503.05416000000002</v>
      </c>
      <c r="L12" s="175">
        <f t="shared" si="1"/>
        <v>-503.05416000000002</v>
      </c>
      <c r="M12" s="175">
        <f t="shared" si="1"/>
        <v>-503.05416000000002</v>
      </c>
      <c r="N12" s="175">
        <f t="shared" si="1"/>
        <v>-503.05416000000002</v>
      </c>
      <c r="O12" s="175">
        <f t="shared" si="1"/>
        <v>-503.05416000000002</v>
      </c>
      <c r="P12" s="175">
        <f t="shared" si="1"/>
        <v>-503.05416000000002</v>
      </c>
      <c r="Q12" s="175">
        <f t="shared" si="1"/>
        <v>-503.05416000000002</v>
      </c>
    </row>
    <row r="13" spans="1:17" x14ac:dyDescent="0.2">
      <c r="B13" s="19" t="s">
        <v>123</v>
      </c>
      <c r="C13" s="41">
        <f>C12/C11</f>
        <v>-5.8805309800192267E-2</v>
      </c>
      <c r="D13" s="41">
        <f>D12/D11</f>
        <v>-3.3926337476017691E-2</v>
      </c>
      <c r="E13" s="41">
        <f>E12/E11</f>
        <v>-5.0050341450980806E-2</v>
      </c>
      <c r="F13" s="41">
        <f>F12/F11</f>
        <v>-7.0511923427359013E-2</v>
      </c>
      <c r="G13" s="41">
        <f>G12/G11</f>
        <v>-5.887914732680076E-2</v>
      </c>
      <c r="H13" s="125">
        <f t="shared" ref="H13:Q13" si="2">$C$7</f>
        <v>4.3240000000000001E-2</v>
      </c>
      <c r="I13" s="125">
        <f t="shared" si="2"/>
        <v>4.3240000000000001E-2</v>
      </c>
      <c r="J13" s="125">
        <f t="shared" si="2"/>
        <v>4.3240000000000001E-2</v>
      </c>
      <c r="K13" s="125">
        <f t="shared" si="2"/>
        <v>4.3240000000000001E-2</v>
      </c>
      <c r="L13" s="125">
        <f t="shared" si="2"/>
        <v>4.3240000000000001E-2</v>
      </c>
      <c r="M13" s="125">
        <f t="shared" si="2"/>
        <v>4.3240000000000001E-2</v>
      </c>
      <c r="N13" s="125">
        <f t="shared" si="2"/>
        <v>4.3240000000000001E-2</v>
      </c>
      <c r="O13" s="125">
        <f t="shared" si="2"/>
        <v>4.3240000000000001E-2</v>
      </c>
      <c r="P13" s="125">
        <f t="shared" si="2"/>
        <v>4.3240000000000001E-2</v>
      </c>
      <c r="Q13" s="125">
        <f t="shared" si="2"/>
        <v>4.3240000000000001E-2</v>
      </c>
    </row>
    <row r="14" spans="1:17" x14ac:dyDescent="0.2">
      <c r="C14" s="41"/>
      <c r="D14" s="41"/>
      <c r="E14" s="41"/>
      <c r="F14" s="41"/>
      <c r="G14" s="41"/>
      <c r="H14" s="42"/>
      <c r="I14" s="42"/>
      <c r="J14" s="42"/>
      <c r="K14" s="42"/>
      <c r="L14" s="42"/>
    </row>
    <row r="15" spans="1:17" x14ac:dyDescent="0.2">
      <c r="C15" s="41"/>
      <c r="D15" s="41"/>
      <c r="E15" s="41"/>
      <c r="F15" s="41"/>
      <c r="G15" s="41"/>
      <c r="H15" s="42"/>
      <c r="I15" s="42"/>
      <c r="J15" s="42"/>
      <c r="K15" s="42"/>
      <c r="L15" s="42"/>
    </row>
    <row r="16" spans="1:17" ht="12" x14ac:dyDescent="0.2">
      <c r="C16" s="226" t="s">
        <v>244</v>
      </c>
      <c r="D16" s="226"/>
      <c r="E16" s="226"/>
      <c r="F16" s="226"/>
      <c r="G16" s="226"/>
      <c r="H16" s="226"/>
      <c r="I16" s="226"/>
      <c r="J16" s="226"/>
      <c r="K16" s="226"/>
      <c r="L16" s="226"/>
      <c r="M16" s="226"/>
      <c r="N16" s="226"/>
      <c r="O16" s="226"/>
      <c r="P16" s="226"/>
      <c r="Q16" s="226"/>
    </row>
    <row r="17" spans="2:17" ht="24" x14ac:dyDescent="0.2">
      <c r="C17" s="6" t="s">
        <v>45</v>
      </c>
      <c r="D17" s="6" t="s">
        <v>46</v>
      </c>
      <c r="E17" s="6" t="s">
        <v>47</v>
      </c>
      <c r="F17" s="6" t="s">
        <v>160</v>
      </c>
      <c r="G17" s="6" t="s">
        <v>167</v>
      </c>
      <c r="H17" s="87" t="s">
        <v>177</v>
      </c>
      <c r="I17" s="87" t="s">
        <v>178</v>
      </c>
      <c r="J17" s="87" t="s">
        <v>179</v>
      </c>
      <c r="K17" s="87" t="s">
        <v>180</v>
      </c>
      <c r="L17" s="87" t="s">
        <v>181</v>
      </c>
      <c r="M17" s="87" t="s">
        <v>256</v>
      </c>
      <c r="N17" s="87" t="s">
        <v>257</v>
      </c>
      <c r="O17" s="87" t="s">
        <v>258</v>
      </c>
      <c r="P17" s="87" t="s">
        <v>259</v>
      </c>
      <c r="Q17" s="87" t="s">
        <v>260</v>
      </c>
    </row>
    <row r="18" spans="2:17" ht="12" x14ac:dyDescent="0.25">
      <c r="B18" s="27" t="s">
        <v>127</v>
      </c>
      <c r="C18" s="27"/>
      <c r="D18" s="27"/>
      <c r="E18" s="27"/>
      <c r="F18" s="27"/>
      <c r="G18" s="44"/>
      <c r="H18" s="173">
        <f>'Cash Flow'!H20</f>
        <v>7254.9229923502598</v>
      </c>
      <c r="I18" s="173">
        <f>'Cash Flow'!I20</f>
        <v>7290.1162383142628</v>
      </c>
      <c r="J18" s="173">
        <f>'Cash Flow'!J20</f>
        <v>9823.5486672041116</v>
      </c>
      <c r="K18" s="173">
        <f>'Cash Flow'!K20</f>
        <v>11301.152609250908</v>
      </c>
      <c r="L18" s="173">
        <f>'Cash Flow'!L20</f>
        <v>10245.649862338007</v>
      </c>
      <c r="M18" s="173">
        <f>'Cash Flow'!M20</f>
        <v>9217.2462854551686</v>
      </c>
      <c r="N18" s="173">
        <f>'Cash Flow'!N20</f>
        <v>9563.2618223041864</v>
      </c>
      <c r="O18" s="173">
        <f>'Cash Flow'!O20</f>
        <v>9976.7233659458689</v>
      </c>
      <c r="P18" s="173">
        <f>'Cash Flow'!P20</f>
        <v>9992.5854797955926</v>
      </c>
      <c r="Q18" s="173">
        <f>'Cash Flow'!Q20</f>
        <v>9585.8144639464772</v>
      </c>
    </row>
    <row r="19" spans="2:17" x14ac:dyDescent="0.2">
      <c r="B19" s="19" t="s">
        <v>137</v>
      </c>
      <c r="G19" s="23"/>
      <c r="H19" s="174">
        <f t="shared" ref="H19:H20" si="3">IF(H$18&lt;0,-H$18*$C4,0)</f>
        <v>0</v>
      </c>
      <c r="I19" s="174">
        <f t="shared" ref="I19:Q19" si="4">IF(I$18&lt;0,-I$18*$C4,0)</f>
        <v>0</v>
      </c>
      <c r="J19" s="174">
        <f t="shared" si="4"/>
        <v>0</v>
      </c>
      <c r="K19" s="174">
        <f t="shared" si="4"/>
        <v>0</v>
      </c>
      <c r="L19" s="174">
        <f t="shared" si="4"/>
        <v>0</v>
      </c>
      <c r="M19" s="174">
        <f>IF(M$18&lt;0,-M$18*$C4,0)</f>
        <v>0</v>
      </c>
      <c r="N19" s="174">
        <f t="shared" si="4"/>
        <v>0</v>
      </c>
      <c r="O19" s="174">
        <f t="shared" si="4"/>
        <v>0</v>
      </c>
      <c r="P19" s="174">
        <f t="shared" si="4"/>
        <v>0</v>
      </c>
      <c r="Q19" s="174">
        <f t="shared" si="4"/>
        <v>0</v>
      </c>
    </row>
    <row r="20" spans="2:17" x14ac:dyDescent="0.2">
      <c r="B20" s="19" t="s">
        <v>113</v>
      </c>
      <c r="G20" s="23"/>
      <c r="H20" s="174">
        <f t="shared" si="3"/>
        <v>0</v>
      </c>
      <c r="I20" s="174">
        <f t="shared" ref="I20:Q20" si="5">IF(I$18&lt;0,-I$18*$C5,0)</f>
        <v>0</v>
      </c>
      <c r="J20" s="174">
        <f t="shared" si="5"/>
        <v>0</v>
      </c>
      <c r="K20" s="174">
        <f t="shared" si="5"/>
        <v>0</v>
      </c>
      <c r="L20" s="174">
        <f t="shared" si="5"/>
        <v>0</v>
      </c>
      <c r="M20" s="174">
        <f t="shared" si="5"/>
        <v>0</v>
      </c>
      <c r="N20" s="174">
        <f t="shared" si="5"/>
        <v>0</v>
      </c>
      <c r="O20" s="174">
        <f t="shared" si="5"/>
        <v>0</v>
      </c>
      <c r="P20" s="174">
        <f t="shared" si="5"/>
        <v>0</v>
      </c>
      <c r="Q20" s="174">
        <f t="shared" si="5"/>
        <v>0</v>
      </c>
    </row>
  </sheetData>
  <mergeCells count="2">
    <mergeCell ref="C9:Q9"/>
    <mergeCell ref="C16:Q16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Q24"/>
  <sheetViews>
    <sheetView workbookViewId="0">
      <selection activeCell="F29" sqref="F29"/>
    </sheetView>
  </sheetViews>
  <sheetFormatPr defaultColWidth="9.109375" defaultRowHeight="11.4" x14ac:dyDescent="0.2"/>
  <cols>
    <col min="1" max="1" width="2" style="19" customWidth="1"/>
    <col min="2" max="2" width="27.109375" style="19" bestFit="1" customWidth="1"/>
    <col min="3" max="17" width="10.109375" style="19" bestFit="1" customWidth="1"/>
    <col min="18" max="16384" width="9.109375" style="19"/>
  </cols>
  <sheetData>
    <row r="1" spans="2:17" ht="15.6" x14ac:dyDescent="0.3">
      <c r="B1" s="17" t="s">
        <v>95</v>
      </c>
      <c r="C1" s="25"/>
    </row>
    <row r="4" spans="2:17" x14ac:dyDescent="0.2">
      <c r="B4" s="19" t="s">
        <v>96</v>
      </c>
      <c r="C4" s="26">
        <f>Drivers!C7</f>
        <v>6.9699999999999996E-3</v>
      </c>
    </row>
    <row r="5" spans="2:17" x14ac:dyDescent="0.2">
      <c r="B5" s="19" t="s">
        <v>97</v>
      </c>
      <c r="C5" s="26">
        <f>Drivers!C8</f>
        <v>0.05</v>
      </c>
    </row>
    <row r="6" spans="2:17" x14ac:dyDescent="0.2">
      <c r="B6" s="19" t="s">
        <v>329</v>
      </c>
      <c r="C6" s="19">
        <f>Drivers!C9</f>
        <v>1.64</v>
      </c>
    </row>
    <row r="7" spans="2:17" x14ac:dyDescent="0.2">
      <c r="B7" s="19" t="s">
        <v>252</v>
      </c>
      <c r="C7" s="43">
        <f>Drivers!C12</f>
        <v>0.21</v>
      </c>
    </row>
    <row r="9" spans="2:17" ht="12" x14ac:dyDescent="0.25">
      <c r="B9" s="27" t="s">
        <v>153</v>
      </c>
      <c r="C9" s="28">
        <f>C4+C5*C6</f>
        <v>8.8970000000000007E-2</v>
      </c>
    </row>
    <row r="10" spans="2:17" ht="12" x14ac:dyDescent="0.25">
      <c r="B10" s="27" t="s">
        <v>330</v>
      </c>
      <c r="C10" s="28">
        <f>Drivers!C11</f>
        <v>4.3240000000000001E-2</v>
      </c>
    </row>
    <row r="13" spans="2:17" ht="12" x14ac:dyDescent="0.2">
      <c r="C13" s="226" t="s">
        <v>242</v>
      </c>
      <c r="D13" s="226"/>
      <c r="E13" s="226"/>
      <c r="F13" s="226"/>
      <c r="G13" s="226"/>
      <c r="H13" s="226"/>
      <c r="I13" s="226"/>
      <c r="J13" s="226"/>
      <c r="K13" s="226"/>
      <c r="L13" s="226"/>
      <c r="M13" s="226"/>
      <c r="N13" s="226"/>
      <c r="O13" s="226"/>
      <c r="P13" s="226"/>
      <c r="Q13" s="226"/>
    </row>
    <row r="14" spans="2:17" ht="28.2" customHeight="1" x14ac:dyDescent="0.25">
      <c r="B14" s="5" t="s">
        <v>247</v>
      </c>
      <c r="C14" s="6" t="s">
        <v>229</v>
      </c>
      <c r="D14" s="6" t="s">
        <v>230</v>
      </c>
      <c r="E14" s="6" t="s">
        <v>231</v>
      </c>
      <c r="F14" s="6" t="s">
        <v>334</v>
      </c>
      <c r="G14" s="6" t="s">
        <v>367</v>
      </c>
      <c r="H14" s="87" t="s">
        <v>273</v>
      </c>
      <c r="I14" s="87" t="s">
        <v>274</v>
      </c>
      <c r="J14" s="87" t="s">
        <v>275</v>
      </c>
      <c r="K14" s="87" t="s">
        <v>276</v>
      </c>
      <c r="L14" s="87" t="s">
        <v>277</v>
      </c>
      <c r="M14" s="87" t="s">
        <v>278</v>
      </c>
      <c r="N14" s="87" t="s">
        <v>279</v>
      </c>
      <c r="O14" s="87" t="s">
        <v>280</v>
      </c>
      <c r="P14" s="87" t="s">
        <v>281</v>
      </c>
      <c r="Q14" s="87" t="s">
        <v>338</v>
      </c>
    </row>
    <row r="15" spans="2:17" x14ac:dyDescent="0.2">
      <c r="B15" s="19" t="s">
        <v>137</v>
      </c>
      <c r="C15" s="178">
        <f>'Balance Sheet'!C28</f>
        <v>2649.02</v>
      </c>
      <c r="D15" s="178">
        <f>'Balance Sheet'!D28</f>
        <v>6844.26</v>
      </c>
      <c r="E15" s="178">
        <f>'Balance Sheet'!E28</f>
        <v>10212.249</v>
      </c>
      <c r="F15" s="178">
        <f>'Balance Sheet'!F28</f>
        <v>11971.370999999999</v>
      </c>
      <c r="G15" s="178">
        <f>'Balance Sheet'!G28</f>
        <v>13419</v>
      </c>
      <c r="H15" s="144">
        <f>'Balance Sheet'!H28</f>
        <v>13419</v>
      </c>
      <c r="I15" s="144">
        <f>'Balance Sheet'!I28</f>
        <v>13419</v>
      </c>
      <c r="J15" s="144">
        <f>'Balance Sheet'!J28</f>
        <v>13419</v>
      </c>
      <c r="K15" s="144">
        <f>'Balance Sheet'!K28</f>
        <v>13419</v>
      </c>
      <c r="L15" s="144">
        <f>'Balance Sheet'!L28</f>
        <v>13419</v>
      </c>
      <c r="M15" s="144">
        <f>'Balance Sheet'!M28</f>
        <v>13419</v>
      </c>
      <c r="N15" s="144">
        <f>'Balance Sheet'!N28</f>
        <v>13419</v>
      </c>
      <c r="O15" s="144">
        <f>'Balance Sheet'!O28</f>
        <v>13419</v>
      </c>
      <c r="P15" s="144">
        <f>'Balance Sheet'!P28</f>
        <v>13419</v>
      </c>
      <c r="Q15" s="144">
        <f>'Balance Sheet'!Q28</f>
        <v>13419</v>
      </c>
    </row>
    <row r="16" spans="2:17" x14ac:dyDescent="0.2">
      <c r="B16" s="19" t="s">
        <v>113</v>
      </c>
      <c r="C16" s="178">
        <f>'Balance Sheet'!C32</f>
        <v>1083.704</v>
      </c>
      <c r="D16" s="178">
        <f>'Balance Sheet'!D32</f>
        <v>5538.0860000000002</v>
      </c>
      <c r="E16" s="178">
        <f>'Balance Sheet'!E32</f>
        <v>5234.5879999999997</v>
      </c>
      <c r="F16" s="178">
        <f>'Balance Sheet'!F32</f>
        <v>5757.64</v>
      </c>
      <c r="G16" s="178">
        <f>'Balance Sheet'!G32</f>
        <v>7467</v>
      </c>
      <c r="H16" s="144">
        <f>'Balance Sheet'!H32</f>
        <v>9978.0622939258756</v>
      </c>
      <c r="I16" s="144">
        <f>'Balance Sheet'!I32</f>
        <v>13116.467214422075</v>
      </c>
      <c r="J16" s="144">
        <f>'Balance Sheet'!J32</f>
        <v>17314.886286241286</v>
      </c>
      <c r="K16" s="144">
        <f>'Balance Sheet'!K32</f>
        <v>22624.079676977479</v>
      </c>
      <c r="L16" s="144">
        <f>'Balance Sheet'!L32</f>
        <v>28756.613265853717</v>
      </c>
      <c r="M16" s="144">
        <f>'Balance Sheet'!M32</f>
        <v>35287.175434323268</v>
      </c>
      <c r="N16" s="144">
        <f>'Balance Sheet'!N32</f>
        <v>42213.334054041574</v>
      </c>
      <c r="O16" s="144">
        <f>'Balance Sheet'!O32</f>
        <v>49534.265657253301</v>
      </c>
      <c r="P16" s="144">
        <f>'Balance Sheet'!P32</f>
        <v>57198.23301270981</v>
      </c>
      <c r="Q16" s="144">
        <f>'Balance Sheet'!Q32</f>
        <v>65157.239997459597</v>
      </c>
    </row>
    <row r="17" spans="2:17" x14ac:dyDescent="0.2">
      <c r="H17" s="127"/>
      <c r="I17" s="127"/>
      <c r="J17" s="127"/>
      <c r="K17" s="127"/>
      <c r="L17" s="127"/>
      <c r="M17" s="127"/>
      <c r="N17" s="127"/>
      <c r="O17" s="127"/>
      <c r="P17" s="127"/>
      <c r="Q17" s="127"/>
    </row>
    <row r="18" spans="2:17" x14ac:dyDescent="0.2">
      <c r="B18" s="19" t="s">
        <v>154</v>
      </c>
      <c r="C18" s="43">
        <f t="shared" ref="C18:G19" si="0">C15/(C$15+C$16)</f>
        <v>0.70967475763008459</v>
      </c>
      <c r="D18" s="43">
        <f t="shared" si="0"/>
        <v>0.55274339773739156</v>
      </c>
      <c r="E18" s="43">
        <f t="shared" si="0"/>
        <v>0.66112233850852442</v>
      </c>
      <c r="F18" s="43">
        <f t="shared" si="0"/>
        <v>0.67524189589594141</v>
      </c>
      <c r="G18" s="43">
        <f t="shared" si="0"/>
        <v>0.6424877908646941</v>
      </c>
      <c r="H18" s="179">
        <f t="shared" ref="H18:L19" si="1">H15/(H$15+H$16)</f>
        <v>0.5735335415798638</v>
      </c>
      <c r="I18" s="179">
        <f t="shared" si="1"/>
        <v>0.50570053625084654</v>
      </c>
      <c r="J18" s="179">
        <f t="shared" si="1"/>
        <v>0.43661904241531979</v>
      </c>
      <c r="K18" s="179">
        <f t="shared" si="1"/>
        <v>0.37230447898078445</v>
      </c>
      <c r="L18" s="179">
        <f t="shared" si="1"/>
        <v>0.3181696473602747</v>
      </c>
      <c r="M18" s="179">
        <f t="shared" ref="M18:Q19" si="2">M15/(M$15+M$16)</f>
        <v>0.27550921172397419</v>
      </c>
      <c r="N18" s="179">
        <f t="shared" si="2"/>
        <v>0.24120864652136839</v>
      </c>
      <c r="O18" s="179">
        <f t="shared" si="2"/>
        <v>0.21315812388604657</v>
      </c>
      <c r="P18" s="179">
        <f t="shared" si="2"/>
        <v>0.19002443776839606</v>
      </c>
      <c r="Q18" s="179">
        <f t="shared" si="2"/>
        <v>0.17077681498165145</v>
      </c>
    </row>
    <row r="19" spans="2:17" x14ac:dyDescent="0.2">
      <c r="B19" s="19" t="s">
        <v>155</v>
      </c>
      <c r="C19" s="43">
        <f t="shared" si="0"/>
        <v>0.29032524236991536</v>
      </c>
      <c r="D19" s="43">
        <f t="shared" si="0"/>
        <v>0.44725660226260838</v>
      </c>
      <c r="E19" s="43">
        <f t="shared" si="0"/>
        <v>0.33887766149147558</v>
      </c>
      <c r="F19" s="43">
        <f t="shared" si="0"/>
        <v>0.32475810410405864</v>
      </c>
      <c r="G19" s="43">
        <f t="shared" si="0"/>
        <v>0.35751220913530596</v>
      </c>
      <c r="H19" s="179">
        <f t="shared" si="1"/>
        <v>0.4264664584201362</v>
      </c>
      <c r="I19" s="179">
        <f t="shared" si="1"/>
        <v>0.49429946374915346</v>
      </c>
      <c r="J19" s="179">
        <f t="shared" si="1"/>
        <v>0.56338095758468021</v>
      </c>
      <c r="K19" s="179">
        <f t="shared" si="1"/>
        <v>0.62769552101921566</v>
      </c>
      <c r="L19" s="179">
        <f t="shared" si="1"/>
        <v>0.68183035263972536</v>
      </c>
      <c r="M19" s="179">
        <f t="shared" si="2"/>
        <v>0.72449078827602575</v>
      </c>
      <c r="N19" s="179">
        <f t="shared" si="2"/>
        <v>0.75879135347863158</v>
      </c>
      <c r="O19" s="179">
        <f t="shared" si="2"/>
        <v>0.7868418761139534</v>
      </c>
      <c r="P19" s="179">
        <f t="shared" si="2"/>
        <v>0.80997556223160394</v>
      </c>
      <c r="Q19" s="179">
        <f t="shared" si="2"/>
        <v>0.82922318501834846</v>
      </c>
    </row>
    <row r="20" spans="2:17" x14ac:dyDescent="0.2">
      <c r="G20" s="56"/>
      <c r="H20" s="128"/>
      <c r="I20" s="128"/>
      <c r="J20" s="128"/>
      <c r="K20" s="128"/>
      <c r="L20" s="128"/>
      <c r="M20" s="128"/>
      <c r="N20" s="128"/>
      <c r="O20" s="128"/>
      <c r="P20" s="128"/>
      <c r="Q20" s="128"/>
    </row>
    <row r="21" spans="2:17" x14ac:dyDescent="0.2">
      <c r="B21" s="19" t="s">
        <v>153</v>
      </c>
      <c r="C21" s="42">
        <f>$C$9</f>
        <v>8.8970000000000007E-2</v>
      </c>
      <c r="D21" s="42">
        <f>$C$9</f>
        <v>8.8970000000000007E-2</v>
      </c>
      <c r="E21" s="42">
        <f>$C$9</f>
        <v>8.8970000000000007E-2</v>
      </c>
      <c r="F21" s="42">
        <f>$C$9</f>
        <v>8.8970000000000007E-2</v>
      </c>
      <c r="G21" s="42">
        <f>$C$9</f>
        <v>8.8970000000000007E-2</v>
      </c>
      <c r="H21" s="126">
        <f t="shared" ref="H21:Q21" si="3">$C$9</f>
        <v>8.8970000000000007E-2</v>
      </c>
      <c r="I21" s="126">
        <f t="shared" si="3"/>
        <v>8.8970000000000007E-2</v>
      </c>
      <c r="J21" s="126">
        <f t="shared" si="3"/>
        <v>8.8970000000000007E-2</v>
      </c>
      <c r="K21" s="126">
        <f t="shared" si="3"/>
        <v>8.8970000000000007E-2</v>
      </c>
      <c r="L21" s="126">
        <f t="shared" si="3"/>
        <v>8.8970000000000007E-2</v>
      </c>
      <c r="M21" s="126">
        <f t="shared" si="3"/>
        <v>8.8970000000000007E-2</v>
      </c>
      <c r="N21" s="126">
        <f t="shared" si="3"/>
        <v>8.8970000000000007E-2</v>
      </c>
      <c r="O21" s="126">
        <f t="shared" si="3"/>
        <v>8.8970000000000007E-2</v>
      </c>
      <c r="P21" s="126">
        <f t="shared" si="3"/>
        <v>8.8970000000000007E-2</v>
      </c>
      <c r="Q21" s="126">
        <f t="shared" si="3"/>
        <v>8.8970000000000007E-2</v>
      </c>
    </row>
    <row r="22" spans="2:17" x14ac:dyDescent="0.2">
      <c r="B22" s="19" t="s">
        <v>243</v>
      </c>
      <c r="C22" s="42">
        <f>$C$10</f>
        <v>4.3240000000000001E-2</v>
      </c>
      <c r="D22" s="42">
        <f>$C$10</f>
        <v>4.3240000000000001E-2</v>
      </c>
      <c r="E22" s="42">
        <f>$C$10</f>
        <v>4.3240000000000001E-2</v>
      </c>
      <c r="F22" s="42">
        <f>$C$10</f>
        <v>4.3240000000000001E-2</v>
      </c>
      <c r="G22" s="42">
        <f>$C$10</f>
        <v>4.3240000000000001E-2</v>
      </c>
      <c r="H22" s="126">
        <f t="shared" ref="H22:Q22" si="4">$C$10</f>
        <v>4.3240000000000001E-2</v>
      </c>
      <c r="I22" s="126">
        <f t="shared" si="4"/>
        <v>4.3240000000000001E-2</v>
      </c>
      <c r="J22" s="126">
        <f t="shared" si="4"/>
        <v>4.3240000000000001E-2</v>
      </c>
      <c r="K22" s="126">
        <f t="shared" si="4"/>
        <v>4.3240000000000001E-2</v>
      </c>
      <c r="L22" s="126">
        <f t="shared" si="4"/>
        <v>4.3240000000000001E-2</v>
      </c>
      <c r="M22" s="126">
        <f t="shared" si="4"/>
        <v>4.3240000000000001E-2</v>
      </c>
      <c r="N22" s="126">
        <f t="shared" si="4"/>
        <v>4.3240000000000001E-2</v>
      </c>
      <c r="O22" s="126">
        <f t="shared" si="4"/>
        <v>4.3240000000000001E-2</v>
      </c>
      <c r="P22" s="126">
        <f t="shared" si="4"/>
        <v>4.3240000000000001E-2</v>
      </c>
      <c r="Q22" s="126">
        <f t="shared" si="4"/>
        <v>4.3240000000000001E-2</v>
      </c>
    </row>
    <row r="23" spans="2:17" x14ac:dyDescent="0.2">
      <c r="G23" s="56"/>
      <c r="H23" s="128"/>
      <c r="I23" s="128"/>
      <c r="J23" s="128"/>
      <c r="K23" s="128"/>
      <c r="L23" s="128"/>
      <c r="M23" s="128"/>
      <c r="N23" s="128"/>
      <c r="O23" s="128"/>
      <c r="P23" s="128"/>
      <c r="Q23" s="128"/>
    </row>
    <row r="24" spans="2:17" ht="12.6" thickBot="1" x14ac:dyDescent="0.3">
      <c r="B24" s="103" t="s">
        <v>95</v>
      </c>
      <c r="C24" s="180">
        <f>C18*C22*(1-$C$7)+C19*C21</f>
        <v>5.0072442664392008E-2</v>
      </c>
      <c r="D24" s="180">
        <f>D18*D22*(1-$C$7)+D19*D21</f>
        <v>5.8673913272654477E-2</v>
      </c>
      <c r="E24" s="180">
        <f>E18*E22*(1-$C$7)+E19*E21</f>
        <v>5.2733620177412378E-2</v>
      </c>
      <c r="F24" s="180">
        <f>F18*F22*(1-$C$7)+F19*F21</f>
        <v>5.1959721589185104E-2</v>
      </c>
      <c r="G24" s="180">
        <f>G18*G22*(1-$C$7)+G19*G21</f>
        <v>5.3754987187589781E-2</v>
      </c>
      <c r="H24" s="180">
        <f t="shared" ref="H24:Q24" si="5">H18*H22*(1-$C$7)+H19*H21</f>
        <v>5.753439717259104E-2</v>
      </c>
      <c r="I24" s="180">
        <f t="shared" si="5"/>
        <v>6.1252351327876604E-2</v>
      </c>
      <c r="J24" s="180">
        <f t="shared" si="5"/>
        <v>6.5038735637599362E-2</v>
      </c>
      <c r="K24" s="180">
        <f t="shared" si="5"/>
        <v>6.8563842585271623E-2</v>
      </c>
      <c r="L24" s="180">
        <f t="shared" si="5"/>
        <v>7.153099436032441E-2</v>
      </c>
      <c r="M24" s="180">
        <f t="shared" si="5"/>
        <v>7.3869229901724287E-2</v>
      </c>
      <c r="N24" s="180">
        <f t="shared" si="5"/>
        <v>7.5749257600705194E-2</v>
      </c>
      <c r="O24" s="180">
        <f t="shared" si="5"/>
        <v>7.7286717966556229E-2</v>
      </c>
      <c r="P24" s="180">
        <f t="shared" si="5"/>
        <v>7.8554684556139107E-2</v>
      </c>
      <c r="Q24" s="180">
        <f t="shared" si="5"/>
        <v>7.9609654460129686E-2</v>
      </c>
    </row>
  </sheetData>
  <mergeCells count="1">
    <mergeCell ref="C13:Q13"/>
  </mergeCells>
  <conditionalFormatting sqref="C9:D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{328DD8D1-DBA5-4DE7-BF91-E3ABDD57820A}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8DD8D1-DBA5-4DE7-BF91-E3ABDD5782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C9:D9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0" t="s">
        <v>67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8"/>
  <sheetViews>
    <sheetView workbookViewId="0"/>
  </sheetViews>
  <sheetFormatPr defaultColWidth="9.109375" defaultRowHeight="13.2" x14ac:dyDescent="0.25"/>
  <cols>
    <col min="1" max="1" width="2" style="18" customWidth="1"/>
    <col min="2" max="2" width="22.44140625" style="18" bestFit="1" customWidth="1"/>
    <col min="3" max="12" width="9.6640625" style="18" customWidth="1"/>
    <col min="13" max="16384" width="9.109375" style="18"/>
  </cols>
  <sheetData>
    <row r="1" spans="2:17" ht="15.6" x14ac:dyDescent="0.3">
      <c r="B1" s="17" t="s">
        <v>98</v>
      </c>
      <c r="C1" s="17"/>
    </row>
    <row r="3" spans="2:17" x14ac:dyDescent="0.25">
      <c r="C3" s="226" t="s">
        <v>245</v>
      </c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</row>
    <row r="4" spans="2:17" ht="24" x14ac:dyDescent="0.25">
      <c r="B4" s="5" t="s">
        <v>247</v>
      </c>
      <c r="C4" s="6" t="s">
        <v>46</v>
      </c>
      <c r="D4" s="6" t="s">
        <v>47</v>
      </c>
      <c r="E4" s="6" t="s">
        <v>160</v>
      </c>
      <c r="F4" s="6" t="s">
        <v>333</v>
      </c>
      <c r="G4" s="6" t="s">
        <v>332</v>
      </c>
      <c r="H4" s="87" t="s">
        <v>178</v>
      </c>
      <c r="I4" s="87" t="s">
        <v>179</v>
      </c>
      <c r="J4" s="87" t="s">
        <v>180</v>
      </c>
      <c r="K4" s="87" t="s">
        <v>181</v>
      </c>
      <c r="L4" s="87" t="s">
        <v>256</v>
      </c>
      <c r="M4" s="87" t="s">
        <v>257</v>
      </c>
      <c r="N4" s="87" t="s">
        <v>258</v>
      </c>
      <c r="O4" s="87" t="s">
        <v>259</v>
      </c>
      <c r="P4" s="87" t="s">
        <v>260</v>
      </c>
      <c r="Q4" s="87" t="s">
        <v>337</v>
      </c>
    </row>
    <row r="5" spans="2:17" x14ac:dyDescent="0.25">
      <c r="B5" s="19" t="s">
        <v>101</v>
      </c>
      <c r="C5" s="108">
        <f>'Revenue automotive'!C11+'Revenue Energy &amp; Other'!C7</f>
        <v>4046.0250000000001</v>
      </c>
      <c r="D5" s="108">
        <f>'Revenue automotive'!D11+'Revenue Energy &amp; Other'!D7</f>
        <v>7000.1319999999996</v>
      </c>
      <c r="E5" s="108">
        <f>'Revenue automotive'!E11+'Revenue Energy &amp; Other'!E7</f>
        <v>11758.751</v>
      </c>
      <c r="F5" s="108">
        <f>'Revenue automotive'!F11+'Revenue Energy &amp; Other'!F7</f>
        <v>21461.268</v>
      </c>
      <c r="G5" s="13">
        <f>'Revenue automotive'!G11+'Revenue Energy &amp; Other'!G7</f>
        <v>24578</v>
      </c>
      <c r="H5" s="140">
        <f>'Revenue automotive'!H11+'Revenue Energy &amp; Other'!H7</f>
        <v>38391.95310862</v>
      </c>
      <c r="I5" s="140">
        <f>'Revenue automotive'!I11+'Revenue Energy &amp; Other'!I7</f>
        <v>51006.612211716805</v>
      </c>
      <c r="J5" s="140">
        <f>'Revenue automotive'!J11+'Revenue Energy &amp; Other'!J7</f>
        <v>69356.386011189825</v>
      </c>
      <c r="K5" s="140">
        <f>'Revenue automotive'!K11+'Revenue Energy &amp; Other'!K7</f>
        <v>89202.198600490941</v>
      </c>
      <c r="L5" s="140">
        <f>'Revenue automotive'!L11+'Revenue Energy &amp; Other'!L7</f>
        <v>101895.098155514</v>
      </c>
      <c r="M5" s="140">
        <f>'Revenue automotive'!M11+'Revenue Energy &amp; Other'!M7</f>
        <v>109196.86402153785</v>
      </c>
      <c r="N5" s="140">
        <f>'Revenue automotive'!N11+'Revenue Energy &amp; Other'!N7</f>
        <v>116379.14488181408</v>
      </c>
      <c r="O5" s="140">
        <f>'Revenue automotive'!O11+'Revenue Energy &amp; Other'!O7</f>
        <v>123702.31890140475</v>
      </c>
      <c r="P5" s="140">
        <f>'Revenue automotive'!P11+'Revenue Energy &amp; Other'!P7</f>
        <v>129831.53765258536</v>
      </c>
      <c r="Q5" s="140">
        <f>'Revenue automotive'!Q11+'Revenue Energy &amp; Other'!Q7</f>
        <v>135383.65705083843</v>
      </c>
    </row>
    <row r="6" spans="2:17" x14ac:dyDescent="0.25">
      <c r="B6" s="19" t="s">
        <v>92</v>
      </c>
      <c r="C6" s="108">
        <f>'Cost of sales Energy &amp; Other'!C7+'Cost of sales automotive'!C11</f>
        <v>-3122.5219999999999</v>
      </c>
      <c r="D6" s="108">
        <f>'Cost of sales Energy &amp; Other'!D7+'Cost of sales automotive'!D11</f>
        <v>-5400.875</v>
      </c>
      <c r="E6" s="108">
        <f>'Cost of sales Energy &amp; Other'!E7+'Cost of sales automotive'!E11</f>
        <v>-9536.2639999999992</v>
      </c>
      <c r="F6" s="108">
        <f>'Cost of sales Energy &amp; Other'!F7+'Cost of sales automotive'!F11</f>
        <v>-17419.246999999999</v>
      </c>
      <c r="G6" s="108">
        <f>'Cost of sales Energy &amp; Other'!G7+'Cost of sales automotive'!G11</f>
        <v>-20509</v>
      </c>
      <c r="H6" s="148">
        <f>'Cost of sales Energy &amp; Other'!H7+'Cost of sales automotive'!H11</f>
        <v>-30229.815954252954</v>
      </c>
      <c r="I6" s="148">
        <f>'Cost of sales Energy &amp; Other'!I7+'Cost of sales automotive'!I11</f>
        <v>-40578.179882665063</v>
      </c>
      <c r="J6" s="148">
        <f>'Cost of sales Energy &amp; Other'!J7+'Cost of sales automotive'!J11</f>
        <v>-55444.657930259003</v>
      </c>
      <c r="K6" s="148">
        <f>'Cost of sales Energy &amp; Other'!K7+'Cost of sales automotive'!K11</f>
        <v>-71568.326564293093</v>
      </c>
      <c r="L6" s="148">
        <f>'Cost of sales Energy &amp; Other'!L7+'Cost of sales automotive'!L11</f>
        <v>-81737.701720717043</v>
      </c>
      <c r="M6" s="148">
        <f>'Cost of sales Energy &amp; Other'!M7+'Cost of sales automotive'!M11</f>
        <v>-87683.483212337669</v>
      </c>
      <c r="N6" s="148">
        <f>'Cost of sales Energy &amp; Other'!N7+'Cost of sales automotive'!N11</f>
        <v>-93526.802808908513</v>
      </c>
      <c r="O6" s="148">
        <f>'Cost of sales Energy &amp; Other'!O7+'Cost of sales automotive'!O11</f>
        <v>-99495.615028697095</v>
      </c>
      <c r="P6" s="148">
        <f>'Cost of sales Energy &amp; Other'!P7+'Cost of sales automotive'!P11</f>
        <v>-104475.30239231981</v>
      </c>
      <c r="Q6" s="148">
        <f>'Cost of sales Energy &amp; Other'!Q7+'Cost of sales automotive'!Q11</f>
        <v>-109005.99522231925</v>
      </c>
    </row>
    <row r="7" spans="2:17" x14ac:dyDescent="0.25">
      <c r="B7" s="29" t="s">
        <v>1</v>
      </c>
      <c r="C7" s="141">
        <f>SUM(C5:C6)</f>
        <v>923.50300000000016</v>
      </c>
      <c r="D7" s="141">
        <f t="shared" ref="D7:G9" si="0">SUM(D5:D6)</f>
        <v>1599.2569999999996</v>
      </c>
      <c r="E7" s="141">
        <f t="shared" si="0"/>
        <v>2222.487000000001</v>
      </c>
      <c r="F7" s="141">
        <f t="shared" si="0"/>
        <v>4042.0210000000006</v>
      </c>
      <c r="G7" s="151">
        <f t="shared" si="0"/>
        <v>4069</v>
      </c>
      <c r="H7" s="142">
        <f t="shared" ref="H7:Q7" si="1">SUM(H5:H6)</f>
        <v>8162.1371543670466</v>
      </c>
      <c r="I7" s="142">
        <f t="shared" si="1"/>
        <v>10428.432329051742</v>
      </c>
      <c r="J7" s="142">
        <f t="shared" si="1"/>
        <v>13911.728080930821</v>
      </c>
      <c r="K7" s="142">
        <f t="shared" si="1"/>
        <v>17633.872036197849</v>
      </c>
      <c r="L7" s="142">
        <f t="shared" si="1"/>
        <v>20157.39643479696</v>
      </c>
      <c r="M7" s="142">
        <f t="shared" si="1"/>
        <v>21513.380809200185</v>
      </c>
      <c r="N7" s="142">
        <f t="shared" si="1"/>
        <v>22852.342072905565</v>
      </c>
      <c r="O7" s="142">
        <f t="shared" si="1"/>
        <v>24206.703872707658</v>
      </c>
      <c r="P7" s="142">
        <f t="shared" si="1"/>
        <v>25356.235260265559</v>
      </c>
      <c r="Q7" s="142">
        <f t="shared" si="1"/>
        <v>26377.66182851918</v>
      </c>
    </row>
    <row r="8" spans="2:17" x14ac:dyDescent="0.25">
      <c r="B8" s="19" t="s">
        <v>102</v>
      </c>
      <c r="C8" s="108">
        <f>Opex!C7</f>
        <v>-1640.1320000000001</v>
      </c>
      <c r="D8" s="108">
        <f>Opex!D7</f>
        <v>-2266.5970000000002</v>
      </c>
      <c r="E8" s="108">
        <f>Opex!E7</f>
        <v>-3854.5729999999999</v>
      </c>
      <c r="F8" s="108">
        <f>Opex!F7</f>
        <v>-4430.0940000000001</v>
      </c>
      <c r="G8" s="13">
        <f>Opex!G7</f>
        <v>-4138</v>
      </c>
      <c r="H8" s="140">
        <f>Opex!H7</f>
        <v>-4480.5231286380895</v>
      </c>
      <c r="I8" s="140">
        <f>Opex!I7</f>
        <v>-5952.71371272744</v>
      </c>
      <c r="J8" s="140">
        <f>Opex!J7</f>
        <v>-8094.2193996406786</v>
      </c>
      <c r="K8" s="140">
        <f>Opex!K7</f>
        <v>-10410.319913240644</v>
      </c>
      <c r="L8" s="140">
        <f>Opex!L7</f>
        <v>-11891.641529384002</v>
      </c>
      <c r="M8" s="140">
        <f>Opex!M7</f>
        <v>-12743.792258732399</v>
      </c>
      <c r="N8" s="140">
        <f>Opex!N7</f>
        <v>-13581.998520857076</v>
      </c>
      <c r="O8" s="140">
        <f>Opex!O7</f>
        <v>-14436.647683325722</v>
      </c>
      <c r="P8" s="140">
        <f>Opex!P7</f>
        <v>-15151.956599687705</v>
      </c>
      <c r="Q8" s="140">
        <f>Opex!Q7</f>
        <v>-15799.915282759956</v>
      </c>
    </row>
    <row r="9" spans="2:17" x14ac:dyDescent="0.25">
      <c r="B9" s="29" t="s">
        <v>43</v>
      </c>
      <c r="C9" s="141">
        <f>SUM(C7:C8)</f>
        <v>-716.62899999999991</v>
      </c>
      <c r="D9" s="143">
        <f>SUM(D7:D8)</f>
        <v>-667.3400000000006</v>
      </c>
      <c r="E9" s="143">
        <f>SUM(E7:E8)</f>
        <v>-1632.0859999999989</v>
      </c>
      <c r="F9" s="143">
        <f>SUM(F7:F8)</f>
        <v>-388.07299999999941</v>
      </c>
      <c r="G9" s="151">
        <f t="shared" si="0"/>
        <v>-69</v>
      </c>
      <c r="H9" s="142">
        <f t="shared" ref="H9:Q9" si="2">SUM(H7:H8)</f>
        <v>3681.6140257289571</v>
      </c>
      <c r="I9" s="142">
        <f t="shared" si="2"/>
        <v>4475.7186163243023</v>
      </c>
      <c r="J9" s="142">
        <f t="shared" si="2"/>
        <v>5817.5086812901427</v>
      </c>
      <c r="K9" s="142">
        <f t="shared" si="2"/>
        <v>7223.5521229572041</v>
      </c>
      <c r="L9" s="142">
        <f t="shared" si="2"/>
        <v>8265.7549054129577</v>
      </c>
      <c r="M9" s="142">
        <f t="shared" si="2"/>
        <v>8769.5885504677863</v>
      </c>
      <c r="N9" s="142">
        <f t="shared" si="2"/>
        <v>9270.3435520484891</v>
      </c>
      <c r="O9" s="142">
        <f t="shared" si="2"/>
        <v>9770.0561893819358</v>
      </c>
      <c r="P9" s="142">
        <f t="shared" si="2"/>
        <v>10204.278660577855</v>
      </c>
      <c r="Q9" s="142">
        <f t="shared" si="2"/>
        <v>10577.746545759224</v>
      </c>
    </row>
    <row r="10" spans="2:17" x14ac:dyDescent="0.25">
      <c r="B10" s="19" t="s">
        <v>103</v>
      </c>
      <c r="C10" s="108">
        <f>Financing!C12+('P&amp;L Input'!C16+'P&amp;L Input'!C18)/1000</f>
        <v>-158.995</v>
      </c>
      <c r="D10" s="108">
        <f>Financing!D12+('P&amp;L Input'!D16+'P&amp;L Input'!D18)/1000</f>
        <v>-79.007999999999996</v>
      </c>
      <c r="E10" s="108">
        <f>Financing!E12+('P&amp;L Input'!E16+'P&amp;L Input'!E18)/1000</f>
        <v>-576.94600000000003</v>
      </c>
      <c r="F10" s="108">
        <f>Financing!F12+('P&amp;L Input'!F16+'P&amp;L Input'!F18)/1000</f>
        <v>-616.67200000000003</v>
      </c>
      <c r="G10" s="13">
        <f>Financing!G12+('P&amp;L Input'!G16+'P&amp;L Input'!G18)/1000</f>
        <v>-596</v>
      </c>
      <c r="H10" s="140">
        <f>Financing!H12</f>
        <v>-503.05416000000002</v>
      </c>
      <c r="I10" s="140">
        <f>Financing!I12</f>
        <v>-503.05416000000002</v>
      </c>
      <c r="J10" s="140">
        <f>Financing!J12</f>
        <v>-503.05416000000002</v>
      </c>
      <c r="K10" s="140">
        <f>Financing!K12</f>
        <v>-503.05416000000002</v>
      </c>
      <c r="L10" s="140">
        <f>Financing!L12</f>
        <v>-503.05416000000002</v>
      </c>
      <c r="M10" s="140">
        <f>Financing!M12</f>
        <v>-503.05416000000002</v>
      </c>
      <c r="N10" s="140">
        <f>Financing!N12</f>
        <v>-503.05416000000002</v>
      </c>
      <c r="O10" s="140">
        <f>Financing!O12</f>
        <v>-503.05416000000002</v>
      </c>
      <c r="P10" s="140">
        <f>Financing!P12</f>
        <v>-503.05416000000002</v>
      </c>
      <c r="Q10" s="140">
        <f>Financing!Q12</f>
        <v>-503.05416000000002</v>
      </c>
    </row>
    <row r="11" spans="2:17" x14ac:dyDescent="0.25">
      <c r="B11" s="29" t="s">
        <v>44</v>
      </c>
      <c r="C11" s="143">
        <f t="shared" ref="C11:Q11" si="3">SUM(C9:C10)</f>
        <v>-875.62399999999991</v>
      </c>
      <c r="D11" s="143">
        <f t="shared" si="3"/>
        <v>-746.34800000000064</v>
      </c>
      <c r="E11" s="143">
        <f t="shared" si="3"/>
        <v>-2209.0319999999988</v>
      </c>
      <c r="F11" s="143">
        <f t="shared" si="3"/>
        <v>-1004.7449999999994</v>
      </c>
      <c r="G11" s="143">
        <f t="shared" si="3"/>
        <v>-665</v>
      </c>
      <c r="H11" s="142">
        <f t="shared" si="3"/>
        <v>3178.559865728957</v>
      </c>
      <c r="I11" s="142">
        <f t="shared" si="3"/>
        <v>3972.6644563243021</v>
      </c>
      <c r="J11" s="142">
        <f t="shared" si="3"/>
        <v>5314.454521290143</v>
      </c>
      <c r="K11" s="142">
        <f t="shared" si="3"/>
        <v>6720.4979629572044</v>
      </c>
      <c r="L11" s="142">
        <f t="shared" si="3"/>
        <v>7762.700745412958</v>
      </c>
      <c r="M11" s="142">
        <f t="shared" si="3"/>
        <v>8266.5343904677866</v>
      </c>
      <c r="N11" s="142">
        <f t="shared" si="3"/>
        <v>8767.2893920484894</v>
      </c>
      <c r="O11" s="142">
        <f t="shared" si="3"/>
        <v>9267.0020293819362</v>
      </c>
      <c r="P11" s="142">
        <f t="shared" si="3"/>
        <v>9701.224500577855</v>
      </c>
      <c r="Q11" s="142">
        <f t="shared" si="3"/>
        <v>10074.692385759225</v>
      </c>
    </row>
    <row r="12" spans="2:17" x14ac:dyDescent="0.25">
      <c r="B12" s="19" t="s">
        <v>99</v>
      </c>
      <c r="C12" s="108">
        <f>'P&amp;L Input'!C20/1000</f>
        <v>-13.039</v>
      </c>
      <c r="D12" s="108">
        <f>'P&amp;L Input'!D20/1000</f>
        <v>-26.698</v>
      </c>
      <c r="E12" s="108">
        <f>'P&amp;L Input'!E20/1000</f>
        <v>-31.545999999999999</v>
      </c>
      <c r="F12" s="108">
        <f>'P&amp;L Input'!F20/1000</f>
        <v>-57.837000000000003</v>
      </c>
      <c r="G12" s="108">
        <f>'P&amp;L Input'!G20/1000</f>
        <v>-110</v>
      </c>
      <c r="H12" s="144">
        <f>IF(H11&gt;0,-H11*Drivers!$C$12,0)</f>
        <v>-667.49757180308097</v>
      </c>
      <c r="I12" s="144">
        <f>IF(I11&gt;0,-I11*Drivers!$C$12,0)</f>
        <v>-834.25953582810337</v>
      </c>
      <c r="J12" s="144">
        <f>IF(J11&gt;0,-J11*Drivers!$C$12,0)</f>
        <v>-1116.03544947093</v>
      </c>
      <c r="K12" s="144">
        <f>IF(K11&gt;0,-K11*Drivers!$C$12,0)</f>
        <v>-1411.3045722210129</v>
      </c>
      <c r="L12" s="144">
        <f>IF(L11&gt;0,-L11*Drivers!$C$12,0)</f>
        <v>-1630.1671565367212</v>
      </c>
      <c r="M12" s="144">
        <f>IF(M11&gt;0,-M11*Drivers!$C$12,0)</f>
        <v>-1735.9722219982352</v>
      </c>
      <c r="N12" s="144">
        <f>IF(N11&gt;0,-N11*Drivers!$C$12,0)</f>
        <v>-1841.1307723301827</v>
      </c>
      <c r="O12" s="144">
        <f>IF(O11&gt;0,-O11*Drivers!$C$12,0)</f>
        <v>-1946.0704261702065</v>
      </c>
      <c r="P12" s="144">
        <f>IF(P11&gt;0,-P11*Drivers!$C$12,0)</f>
        <v>-2037.2571451213494</v>
      </c>
      <c r="Q12" s="144">
        <f>IF(Q11&gt;0,-Q11*Drivers!$C$12,0)</f>
        <v>-2115.6854010094371</v>
      </c>
    </row>
    <row r="13" spans="2:17" x14ac:dyDescent="0.25">
      <c r="B13" s="19" t="s">
        <v>250</v>
      </c>
      <c r="C13" s="108">
        <f>'P&amp;L Input'!C22/1000</f>
        <v>0</v>
      </c>
      <c r="D13" s="108">
        <f>'P&amp;L Input'!D22/1000</f>
        <v>98.132000000000005</v>
      </c>
      <c r="E13" s="108">
        <f>'P&amp;L Input'!E22/1000</f>
        <v>279.178</v>
      </c>
      <c r="F13" s="108">
        <f>'P&amp;L Input'!F22/1000</f>
        <v>86.491</v>
      </c>
      <c r="G13" s="108">
        <f>'P&amp;L Input'!G22/1000</f>
        <v>-87</v>
      </c>
      <c r="H13" s="144">
        <v>0</v>
      </c>
      <c r="I13" s="144">
        <v>0</v>
      </c>
      <c r="J13" s="144">
        <v>0</v>
      </c>
      <c r="K13" s="144">
        <v>0</v>
      </c>
      <c r="L13" s="144">
        <v>0</v>
      </c>
      <c r="M13" s="144">
        <v>0</v>
      </c>
      <c r="N13" s="144">
        <v>0</v>
      </c>
      <c r="O13" s="144">
        <v>0</v>
      </c>
      <c r="P13" s="144">
        <v>0</v>
      </c>
      <c r="Q13" s="144">
        <v>0</v>
      </c>
    </row>
    <row r="14" spans="2:17" ht="13.8" thickBot="1" x14ac:dyDescent="0.3">
      <c r="B14" s="103" t="s">
        <v>100</v>
      </c>
      <c r="C14" s="110">
        <f>SUM(C11:C13)</f>
        <v>-888.6629999999999</v>
      </c>
      <c r="D14" s="110">
        <f t="shared" ref="D14:Q14" si="4">SUM(D11:D13)</f>
        <v>-674.91400000000067</v>
      </c>
      <c r="E14" s="110">
        <f t="shared" si="4"/>
        <v>-1961.3999999999987</v>
      </c>
      <c r="F14" s="110">
        <f t="shared" si="4"/>
        <v>-976.09099999999944</v>
      </c>
      <c r="G14" s="110">
        <f t="shared" si="4"/>
        <v>-862</v>
      </c>
      <c r="H14" s="110">
        <f t="shared" si="4"/>
        <v>2511.062293925876</v>
      </c>
      <c r="I14" s="110">
        <f t="shared" si="4"/>
        <v>3138.4049204961989</v>
      </c>
      <c r="J14" s="110">
        <f t="shared" si="4"/>
        <v>4198.4190718192131</v>
      </c>
      <c r="K14" s="110">
        <f t="shared" si="4"/>
        <v>5309.1933907361918</v>
      </c>
      <c r="L14" s="110">
        <f t="shared" si="4"/>
        <v>6132.5335888762365</v>
      </c>
      <c r="M14" s="110">
        <f t="shared" si="4"/>
        <v>6530.5621684695516</v>
      </c>
      <c r="N14" s="110">
        <f t="shared" si="4"/>
        <v>6926.1586197183069</v>
      </c>
      <c r="O14" s="110">
        <f t="shared" si="4"/>
        <v>7320.9316032117295</v>
      </c>
      <c r="P14" s="110">
        <f t="shared" si="4"/>
        <v>7663.9673554565052</v>
      </c>
      <c r="Q14" s="110">
        <f t="shared" si="4"/>
        <v>7959.0069847497871</v>
      </c>
    </row>
    <row r="15" spans="2:17" x14ac:dyDescent="0.25">
      <c r="C15" s="30"/>
    </row>
    <row r="16" spans="2:17" x14ac:dyDescent="0.25">
      <c r="B16" s="147" t="s">
        <v>114</v>
      </c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</row>
    <row r="17" spans="2:17" x14ac:dyDescent="0.25">
      <c r="B17" s="146" t="s">
        <v>249</v>
      </c>
      <c r="C17" s="154">
        <f>'P&amp;L Input'!C23/1000</f>
        <v>-888.66300000000001</v>
      </c>
      <c r="D17" s="154">
        <f>'P&amp;L Input'!D23/1000</f>
        <v>-674.91399999999999</v>
      </c>
      <c r="E17" s="154">
        <f>'P&amp;L Input'!E23/1000</f>
        <v>-1961.4</v>
      </c>
      <c r="F17" s="154">
        <f>'P&amp;L Input'!F23/1000</f>
        <v>-976.09100000000001</v>
      </c>
      <c r="G17" s="154">
        <f>'P&amp;L Input'!G23/1000</f>
        <v>-862</v>
      </c>
      <c r="H17" s="146"/>
      <c r="I17" s="146"/>
      <c r="J17" s="146"/>
      <c r="K17" s="146"/>
      <c r="L17" s="146"/>
      <c r="M17" s="146"/>
      <c r="N17" s="146"/>
      <c r="O17" s="146"/>
      <c r="P17" s="146"/>
      <c r="Q17" s="146"/>
    </row>
    <row r="18" spans="2:17" x14ac:dyDescent="0.25">
      <c r="B18" s="146" t="s">
        <v>75</v>
      </c>
      <c r="C18" s="155">
        <f>C14-C17</f>
        <v>0</v>
      </c>
      <c r="D18" s="155">
        <f>D14-D17</f>
        <v>0</v>
      </c>
      <c r="E18" s="155">
        <f>E14-E17</f>
        <v>0</v>
      </c>
      <c r="F18" s="155">
        <f>F14-F17</f>
        <v>0</v>
      </c>
      <c r="G18" s="155">
        <f>G14-G17</f>
        <v>0</v>
      </c>
      <c r="H18" s="146"/>
      <c r="I18" s="146"/>
      <c r="J18" s="146"/>
      <c r="K18" s="146"/>
      <c r="L18" s="146"/>
      <c r="M18" s="146"/>
      <c r="N18" s="146"/>
      <c r="O18" s="146"/>
      <c r="P18" s="146"/>
      <c r="Q18" s="146"/>
    </row>
  </sheetData>
  <mergeCells count="1">
    <mergeCell ref="C3:Q3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S40"/>
  <sheetViews>
    <sheetView zoomScale="90" zoomScaleNormal="90" workbookViewId="0">
      <selection activeCell="G5" sqref="G5"/>
    </sheetView>
  </sheetViews>
  <sheetFormatPr defaultColWidth="9.109375" defaultRowHeight="13.2" x14ac:dyDescent="0.25"/>
  <cols>
    <col min="1" max="1" width="2" style="1" customWidth="1"/>
    <col min="2" max="2" width="22.44140625" style="1" customWidth="1"/>
    <col min="3" max="6" width="10.44140625" style="1" customWidth="1"/>
    <col min="7" max="7" width="10.88671875" style="1" customWidth="1"/>
    <col min="8" max="9" width="9.88671875" style="1" bestFit="1" customWidth="1"/>
    <col min="10" max="12" width="10" style="1" bestFit="1" customWidth="1"/>
    <col min="13" max="17" width="9.6640625" style="1" customWidth="1"/>
    <col min="18" max="18" width="1.109375" style="1" customWidth="1"/>
    <col min="19" max="19" width="11.88671875" style="1" customWidth="1"/>
    <col min="20" max="16384" width="9.109375" style="1"/>
  </cols>
  <sheetData>
    <row r="1" spans="2:19" ht="15.6" x14ac:dyDescent="0.3">
      <c r="B1" s="17" t="s">
        <v>246</v>
      </c>
    </row>
    <row r="2" spans="2:19" ht="15.6" x14ac:dyDescent="0.3">
      <c r="B2" s="17"/>
    </row>
    <row r="3" spans="2:19" x14ac:dyDescent="0.25">
      <c r="C3" s="226" t="s">
        <v>251</v>
      </c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</row>
    <row r="4" spans="2:19" s="7" customFormat="1" ht="24" x14ac:dyDescent="0.25">
      <c r="B4" s="5" t="s">
        <v>247</v>
      </c>
      <c r="C4" s="6" t="s">
        <v>229</v>
      </c>
      <c r="D4" s="6" t="s">
        <v>230</v>
      </c>
      <c r="E4" s="6" t="s">
        <v>231</v>
      </c>
      <c r="F4" s="6" t="s">
        <v>334</v>
      </c>
      <c r="G4" s="6" t="s">
        <v>367</v>
      </c>
      <c r="H4" s="87" t="s">
        <v>273</v>
      </c>
      <c r="I4" s="87" t="s">
        <v>274</v>
      </c>
      <c r="J4" s="87" t="s">
        <v>275</v>
      </c>
      <c r="K4" s="87" t="s">
        <v>276</v>
      </c>
      <c r="L4" s="87" t="s">
        <v>277</v>
      </c>
      <c r="M4" s="87" t="s">
        <v>278</v>
      </c>
      <c r="N4" s="87" t="s">
        <v>279</v>
      </c>
      <c r="O4" s="87" t="s">
        <v>280</v>
      </c>
      <c r="P4" s="87" t="s">
        <v>281</v>
      </c>
      <c r="Q4" s="87" t="s">
        <v>338</v>
      </c>
      <c r="S4" s="33" t="s">
        <v>117</v>
      </c>
    </row>
    <row r="5" spans="2:19" s="7" customFormat="1" ht="11.4" x14ac:dyDescent="0.2">
      <c r="B5" s="7" t="s">
        <v>105</v>
      </c>
      <c r="C5" s="108">
        <f>('Balance Sheet Input'!C4)/1000</f>
        <v>1196.9079999999999</v>
      </c>
      <c r="D5" s="108">
        <f>('Balance Sheet Input'!D4)/1000</f>
        <v>3393.2159999999999</v>
      </c>
      <c r="E5" s="108">
        <f>('Balance Sheet Input'!E4)/1000</f>
        <v>3367.9140000000002</v>
      </c>
      <c r="F5" s="108">
        <f>('Balance Sheet Input'!F4)/1000</f>
        <v>3685.6179999999999</v>
      </c>
      <c r="G5" s="108">
        <f>('Balance Sheet Input'!G4)/1000</f>
        <v>6268</v>
      </c>
      <c r="H5" s="140">
        <f>G5+'Cash Flow'!H28</f>
        <v>13125.510205950261</v>
      </c>
      <c r="I5" s="140">
        <f>H5+'Cash Flow'!I28</f>
        <v>20018.213657864522</v>
      </c>
      <c r="J5" s="140">
        <f>I5+'Cash Flow'!J28</f>
        <v>29444.349538668634</v>
      </c>
      <c r="K5" s="140">
        <f>J5+'Cash Flow'!K28</f>
        <v>40348.089361519538</v>
      </c>
      <c r="L5" s="140">
        <f>K5+'Cash Flow'!L28</f>
        <v>50196.326437457545</v>
      </c>
      <c r="M5" s="140">
        <f>L5+'Cash Flow'!M28</f>
        <v>59016.159936512711</v>
      </c>
      <c r="N5" s="140">
        <f>M5+'Cash Flow'!N28</f>
        <v>68182.008972416894</v>
      </c>
      <c r="O5" s="140">
        <f>N5+'Cash Flow'!O28</f>
        <v>77761.319551962762</v>
      </c>
      <c r="P5" s="140">
        <f>O5+'Cash Flow'!P28</f>
        <v>87356.492245358357</v>
      </c>
      <c r="Q5" s="140">
        <f>P5+'Cash Flow'!Q28</f>
        <v>96544.893922904826</v>
      </c>
      <c r="S5" s="7" t="s">
        <v>120</v>
      </c>
    </row>
    <row r="6" spans="2:19" s="7" customFormat="1" ht="11.4" x14ac:dyDescent="0.2">
      <c r="B6" s="7" t="s">
        <v>134</v>
      </c>
      <c r="C6" s="108">
        <f>+'Balance Sheet Input'!C5/1000</f>
        <v>22.628</v>
      </c>
      <c r="D6" s="108">
        <f>+'Balance Sheet Input'!D5/1000</f>
        <v>105.51900000000001</v>
      </c>
      <c r="E6" s="108">
        <f>+'Balance Sheet Input'!E5/1000</f>
        <v>155.32300000000001</v>
      </c>
      <c r="F6" s="108">
        <f>+'Balance Sheet Input'!F5/1000</f>
        <v>192.55099999999999</v>
      </c>
      <c r="G6" s="108">
        <f>+'Balance Sheet Input'!G5/1000</f>
        <v>246</v>
      </c>
      <c r="H6" s="140">
        <f t="shared" ref="H6:Q6" si="0">$G$6</f>
        <v>246</v>
      </c>
      <c r="I6" s="140">
        <f t="shared" si="0"/>
        <v>246</v>
      </c>
      <c r="J6" s="140">
        <f t="shared" si="0"/>
        <v>246</v>
      </c>
      <c r="K6" s="140">
        <f t="shared" si="0"/>
        <v>246</v>
      </c>
      <c r="L6" s="140">
        <f t="shared" si="0"/>
        <v>246</v>
      </c>
      <c r="M6" s="140">
        <f t="shared" si="0"/>
        <v>246</v>
      </c>
      <c r="N6" s="140">
        <f t="shared" si="0"/>
        <v>246</v>
      </c>
      <c r="O6" s="140">
        <f t="shared" si="0"/>
        <v>246</v>
      </c>
      <c r="P6" s="140">
        <f t="shared" si="0"/>
        <v>246</v>
      </c>
      <c r="Q6" s="140">
        <f t="shared" si="0"/>
        <v>246</v>
      </c>
      <c r="S6" s="7" t="s">
        <v>116</v>
      </c>
    </row>
    <row r="7" spans="2:19" s="7" customFormat="1" ht="11.4" x14ac:dyDescent="0.2">
      <c r="B7" s="7" t="s">
        <v>90</v>
      </c>
      <c r="C7" s="108">
        <f>('Balance Sheet Input'!C6)/1000</f>
        <v>168.965</v>
      </c>
      <c r="D7" s="108">
        <f>('Balance Sheet Input'!D6)/1000</f>
        <v>499.142</v>
      </c>
      <c r="E7" s="108">
        <f>('Balance Sheet Input'!E6)/1000</f>
        <v>515.38099999999997</v>
      </c>
      <c r="F7" s="108">
        <f>('Balance Sheet Input'!F6)/1000</f>
        <v>949.02200000000005</v>
      </c>
      <c r="G7" s="108">
        <f>('Balance Sheet Input'!G6)/1000</f>
        <v>1324</v>
      </c>
      <c r="H7" s="140">
        <f>'Working capital'!H5</f>
        <v>1751.0557775791181</v>
      </c>
      <c r="I7" s="140">
        <f>'Working capital'!I5</f>
        <v>2326.4099837632552</v>
      </c>
      <c r="J7" s="140">
        <f>'Working capital'!J5</f>
        <v>3163.3425914357417</v>
      </c>
      <c r="K7" s="140">
        <f>'Working capital'!K5</f>
        <v>4068.5094814068998</v>
      </c>
      <c r="L7" s="140">
        <f>'Working capital'!L5</f>
        <v>4647.4322321503168</v>
      </c>
      <c r="M7" s="140">
        <f>'Working capital'!M5</f>
        <v>4980.4655443669935</v>
      </c>
      <c r="N7" s="140">
        <f>'Working capital'!N5</f>
        <v>5308.0491492177407</v>
      </c>
      <c r="O7" s="140">
        <f>'Working capital'!O5</f>
        <v>5642.058886647389</v>
      </c>
      <c r="P7" s="140">
        <f>'Working capital'!P5</f>
        <v>5921.6123617190015</v>
      </c>
      <c r="Q7" s="140">
        <f>'Working capital'!Q5</f>
        <v>6174.8443533974159</v>
      </c>
      <c r="S7" s="7" t="s">
        <v>119</v>
      </c>
    </row>
    <row r="8" spans="2:19" s="7" customFormat="1" ht="11.4" x14ac:dyDescent="0.2">
      <c r="B8" s="7" t="s">
        <v>9</v>
      </c>
      <c r="C8" s="108">
        <f>('Balance Sheet Input'!C7)/1000</f>
        <v>1277.838</v>
      </c>
      <c r="D8" s="108">
        <f>('Balance Sheet Input'!D7)/1000</f>
        <v>2067.4540000000002</v>
      </c>
      <c r="E8" s="108">
        <f>('Balance Sheet Input'!E7)/1000</f>
        <v>2263.5369999999998</v>
      </c>
      <c r="F8" s="108">
        <f>('Balance Sheet Input'!F7)/1000</f>
        <v>3113.4459999999999</v>
      </c>
      <c r="G8" s="108">
        <f>('Balance Sheet Input'!G7)/1000</f>
        <v>3552</v>
      </c>
      <c r="H8" s="140">
        <f>'Working capital'!H6</f>
        <v>7827.8631416870594</v>
      </c>
      <c r="I8" s="140">
        <f>'Working capital'!I6</f>
        <v>10507.521419943452</v>
      </c>
      <c r="J8" s="140">
        <f>'Working capital'!J6</f>
        <v>14357.123274336753</v>
      </c>
      <c r="K8" s="140">
        <f>'Working capital'!K6</f>
        <v>18532.26848858919</v>
      </c>
      <c r="L8" s="140">
        <f>'Working capital'!L6</f>
        <v>21165.578498859359</v>
      </c>
      <c r="M8" s="140">
        <f>'Working capital'!M6</f>
        <v>22705.209565658301</v>
      </c>
      <c r="N8" s="140">
        <f>'Working capital'!N6</f>
        <v>24218.308625352031</v>
      </c>
      <c r="O8" s="140">
        <f>'Working capital'!O6</f>
        <v>25763.903386684378</v>
      </c>
      <c r="P8" s="140">
        <f>'Working capital'!P6</f>
        <v>27053.369099271451</v>
      </c>
      <c r="Q8" s="140">
        <f>'Working capital'!Q6</f>
        <v>28226.569871116342</v>
      </c>
      <c r="S8" s="7" t="s">
        <v>119</v>
      </c>
    </row>
    <row r="9" spans="2:19" s="7" customFormat="1" ht="11.4" x14ac:dyDescent="0.2">
      <c r="B9" s="7" t="s">
        <v>106</v>
      </c>
      <c r="C9" s="108">
        <f>('Balance Sheet Input'!C8)/1000</f>
        <v>115.667</v>
      </c>
      <c r="D9" s="108">
        <f>('Balance Sheet Input'!D8)/1000</f>
        <v>194.465</v>
      </c>
      <c r="E9" s="108">
        <f>('Balance Sheet Input'!E8)/1000</f>
        <v>268.36500000000001</v>
      </c>
      <c r="F9" s="108">
        <f>('Balance Sheet Input'!F8)/1000</f>
        <v>365.67099999999999</v>
      </c>
      <c r="G9" s="108">
        <f>('Balance Sheet Input'!G8)/1000</f>
        <v>713</v>
      </c>
      <c r="H9" s="140">
        <f>H10*('P&amp;L'!H$5)</f>
        <v>883.94269898227265</v>
      </c>
      <c r="I9" s="140">
        <f>I10*('P&amp;L'!I$5)</f>
        <v>1174.3847033987938</v>
      </c>
      <c r="J9" s="140">
        <f>J10*('P&amp;L'!J$5)</f>
        <v>1596.872940247013</v>
      </c>
      <c r="K9" s="140">
        <f>K10*('P&amp;L'!K$5)</f>
        <v>2053.8062224390155</v>
      </c>
      <c r="L9" s="140">
        <f>L10*('P&amp;L'!L$5)</f>
        <v>2346.049648003599</v>
      </c>
      <c r="M9" s="140">
        <f>M10*('P&amp;L'!M$5)</f>
        <v>2514.1667169291859</v>
      </c>
      <c r="N9" s="140">
        <f>N10*('P&amp;L'!N$5)</f>
        <v>2679.5327432555678</v>
      </c>
      <c r="O9" s="140">
        <f>O10*('P&amp;L'!O$5)</f>
        <v>2848.1427170612615</v>
      </c>
      <c r="P9" s="140">
        <f>P10*('P&amp;L'!P$5)</f>
        <v>2989.2628666468499</v>
      </c>
      <c r="Q9" s="140">
        <f>Q10*('P&amp;L'!Q$5)</f>
        <v>3117.0957849690421</v>
      </c>
      <c r="S9" s="7" t="s">
        <v>121</v>
      </c>
    </row>
    <row r="10" spans="2:19" s="7" customFormat="1" ht="11.4" x14ac:dyDescent="0.25">
      <c r="B10" s="170" t="s">
        <v>115</v>
      </c>
      <c r="C10" s="171">
        <f>C9/('P&amp;L'!C$5)</f>
        <v>2.8587811493997195E-2</v>
      </c>
      <c r="D10" s="171">
        <f>D9/('P&amp;L'!D$5)</f>
        <v>2.7780190430694737E-2</v>
      </c>
      <c r="E10" s="171">
        <f>E9/('P&amp;L'!E$5)</f>
        <v>2.2822576989681983E-2</v>
      </c>
      <c r="F10" s="171">
        <f>F9/('P&amp;L'!F$5)</f>
        <v>1.7038648415368559E-2</v>
      </c>
      <c r="G10" s="171">
        <f>G9/('P&amp;L'!G$5)</f>
        <v>2.9009683456749938E-2</v>
      </c>
      <c r="H10" s="172">
        <f>AVERAGE($F$10:$G$10)</f>
        <v>2.302416593605925E-2</v>
      </c>
      <c r="I10" s="172">
        <f t="shared" ref="I10:Q10" si="1">AVERAGE($F$10:$G$10)</f>
        <v>2.302416593605925E-2</v>
      </c>
      <c r="J10" s="172">
        <f t="shared" si="1"/>
        <v>2.302416593605925E-2</v>
      </c>
      <c r="K10" s="172">
        <f t="shared" si="1"/>
        <v>2.302416593605925E-2</v>
      </c>
      <c r="L10" s="172">
        <f t="shared" si="1"/>
        <v>2.302416593605925E-2</v>
      </c>
      <c r="M10" s="172">
        <f t="shared" si="1"/>
        <v>2.302416593605925E-2</v>
      </c>
      <c r="N10" s="172">
        <f t="shared" si="1"/>
        <v>2.302416593605925E-2</v>
      </c>
      <c r="O10" s="172">
        <f t="shared" si="1"/>
        <v>2.302416593605925E-2</v>
      </c>
      <c r="P10" s="172">
        <f t="shared" si="1"/>
        <v>2.302416593605925E-2</v>
      </c>
      <c r="Q10" s="172">
        <f t="shared" si="1"/>
        <v>2.302416593605925E-2</v>
      </c>
    </row>
    <row r="11" spans="2:19" s="7" customFormat="1" ht="11.4" x14ac:dyDescent="0.2">
      <c r="B11" s="7" t="s">
        <v>107</v>
      </c>
      <c r="C11" s="108">
        <f>('Balance Sheet Input'!C10)/1000+'Balance Sheet Input'!C13/1000</f>
        <v>1791.403</v>
      </c>
      <c r="D11" s="108">
        <f>('Balance Sheet Input'!D10)/1000+'Balance Sheet Input'!D13/1000</f>
        <v>3134.08</v>
      </c>
      <c r="E11" s="108">
        <f>('Balance Sheet Input'!E10)/1000+'Balance Sheet Input'!E13/1000</f>
        <v>4116.6040000000003</v>
      </c>
      <c r="F11" s="108">
        <f>('Balance Sheet Input'!F10)/1000+'Balance Sheet Input'!F13/1000</f>
        <v>2089.7579999999998</v>
      </c>
      <c r="G11" s="108">
        <f>('Balance Sheet Input'!G10)/1000+'Balance Sheet Input'!G13/1000</f>
        <v>3665</v>
      </c>
      <c r="H11" s="140">
        <f t="shared" ref="H11:Q11" si="2">$G$11</f>
        <v>3665</v>
      </c>
      <c r="I11" s="140">
        <f t="shared" si="2"/>
        <v>3665</v>
      </c>
      <c r="J11" s="140">
        <f t="shared" si="2"/>
        <v>3665</v>
      </c>
      <c r="K11" s="140">
        <f t="shared" si="2"/>
        <v>3665</v>
      </c>
      <c r="L11" s="140">
        <f t="shared" si="2"/>
        <v>3665</v>
      </c>
      <c r="M11" s="140">
        <f t="shared" si="2"/>
        <v>3665</v>
      </c>
      <c r="N11" s="140">
        <f t="shared" si="2"/>
        <v>3665</v>
      </c>
      <c r="O11" s="140">
        <f t="shared" si="2"/>
        <v>3665</v>
      </c>
      <c r="P11" s="140">
        <f t="shared" si="2"/>
        <v>3665</v>
      </c>
      <c r="Q11" s="140">
        <f t="shared" si="2"/>
        <v>3665</v>
      </c>
      <c r="S11" s="7" t="s">
        <v>116</v>
      </c>
    </row>
    <row r="12" spans="2:19" s="7" customFormat="1" ht="11.4" x14ac:dyDescent="0.2">
      <c r="B12" s="7" t="s">
        <v>108</v>
      </c>
      <c r="C12" s="108">
        <f>('Balance Sheet Input'!C11)/1000</f>
        <v>0</v>
      </c>
      <c r="D12" s="108">
        <f>('Balance Sheet Input'!D11)/1000</f>
        <v>5919.88</v>
      </c>
      <c r="E12" s="108">
        <f>('Balance Sheet Input'!E11)/1000</f>
        <v>6347.49</v>
      </c>
      <c r="F12" s="108">
        <f>('Balance Sheet Input'!F11)/1000</f>
        <v>6271.3959999999997</v>
      </c>
      <c r="G12" s="108">
        <f>('Balance Sheet Input'!G11)/1000</f>
        <v>6138</v>
      </c>
      <c r="H12" s="140">
        <f t="shared" ref="H12:Q12" si="3">$G$12</f>
        <v>6138</v>
      </c>
      <c r="I12" s="140">
        <f t="shared" si="3"/>
        <v>6138</v>
      </c>
      <c r="J12" s="140">
        <f t="shared" si="3"/>
        <v>6138</v>
      </c>
      <c r="K12" s="140">
        <f t="shared" si="3"/>
        <v>6138</v>
      </c>
      <c r="L12" s="140">
        <f t="shared" si="3"/>
        <v>6138</v>
      </c>
      <c r="M12" s="140">
        <f t="shared" si="3"/>
        <v>6138</v>
      </c>
      <c r="N12" s="140">
        <f t="shared" si="3"/>
        <v>6138</v>
      </c>
      <c r="O12" s="140">
        <f t="shared" si="3"/>
        <v>6138</v>
      </c>
      <c r="P12" s="140">
        <f t="shared" si="3"/>
        <v>6138</v>
      </c>
      <c r="Q12" s="140">
        <f t="shared" si="3"/>
        <v>6138</v>
      </c>
      <c r="S12" s="7" t="s">
        <v>116</v>
      </c>
    </row>
    <row r="13" spans="2:19" s="7" customFormat="1" ht="11.4" x14ac:dyDescent="0.2">
      <c r="B13" s="7" t="s">
        <v>109</v>
      </c>
      <c r="C13" s="108">
        <f>('Balance Sheet Input'!C12)/1000</f>
        <v>3403.3339999999998</v>
      </c>
      <c r="D13" s="108">
        <f>('Balance Sheet Input'!D12)/1000</f>
        <v>5982.9570000000003</v>
      </c>
      <c r="E13" s="108">
        <f>('Balance Sheet Input'!E12)/1000</f>
        <v>10027.522000000001</v>
      </c>
      <c r="F13" s="108">
        <f>('Balance Sheet Input'!F12)/1000</f>
        <v>11330.076999999999</v>
      </c>
      <c r="G13" s="108">
        <f>('Balance Sheet Input'!G12)/1000</f>
        <v>10396</v>
      </c>
      <c r="H13" s="140">
        <f>'PP&amp;E'!H10</f>
        <v>9898.8176691993103</v>
      </c>
      <c r="I13" s="140">
        <f>'PP&amp;E'!I10</f>
        <v>9425.4127787661073</v>
      </c>
      <c r="J13" s="140">
        <f>'PP&amp;E'!J10</f>
        <v>8974.6481871822725</v>
      </c>
      <c r="K13" s="140">
        <f>'PP&amp;E'!K10</f>
        <v>8545.4411360261092</v>
      </c>
      <c r="L13" s="140">
        <f>'PP&amp;E'!L10</f>
        <v>8136.7606491340775</v>
      </c>
      <c r="M13" s="140">
        <f>'PP&amp;E'!M10</f>
        <v>7747.6250561460229</v>
      </c>
      <c r="N13" s="140">
        <f>'PP&amp;E'!N10</f>
        <v>7377.0996344853356</v>
      </c>
      <c r="O13" s="140">
        <f>'PP&amp;E'!O10</f>
        <v>7024.2943641099655</v>
      </c>
      <c r="P13" s="140">
        <f>'PP&amp;E'!P10</f>
        <v>6688.3617896410969</v>
      </c>
      <c r="Q13" s="140">
        <f>'PP&amp;E'!Q10</f>
        <v>6903.5639279054931</v>
      </c>
      <c r="S13" s="7" t="s">
        <v>118</v>
      </c>
    </row>
    <row r="14" spans="2:19" s="7" customFormat="1" ht="11.4" x14ac:dyDescent="0.2">
      <c r="B14" s="7" t="s">
        <v>111</v>
      </c>
      <c r="C14" s="108">
        <f>('Balance Sheet Input'!C14)/1000</f>
        <v>12.816000000000001</v>
      </c>
      <c r="D14" s="108">
        <f>('Balance Sheet Input'!D14)/1000</f>
        <v>376.14499999999998</v>
      </c>
      <c r="E14" s="108">
        <f>('Balance Sheet Input'!E14)/1000</f>
        <v>361.50200000000001</v>
      </c>
      <c r="F14" s="108">
        <f>('Balance Sheet Input'!F14)/1000</f>
        <v>282.49200000000002</v>
      </c>
      <c r="G14" s="108">
        <f>('Balance Sheet Input'!G14)/1000</f>
        <v>339</v>
      </c>
      <c r="H14" s="140">
        <f t="shared" ref="H14:Q14" si="4">$G$14</f>
        <v>339</v>
      </c>
      <c r="I14" s="140">
        <f t="shared" si="4"/>
        <v>339</v>
      </c>
      <c r="J14" s="140">
        <f t="shared" si="4"/>
        <v>339</v>
      </c>
      <c r="K14" s="140">
        <f t="shared" si="4"/>
        <v>339</v>
      </c>
      <c r="L14" s="140">
        <f t="shared" si="4"/>
        <v>339</v>
      </c>
      <c r="M14" s="140">
        <f t="shared" si="4"/>
        <v>339</v>
      </c>
      <c r="N14" s="140">
        <f t="shared" si="4"/>
        <v>339</v>
      </c>
      <c r="O14" s="140">
        <f t="shared" si="4"/>
        <v>339</v>
      </c>
      <c r="P14" s="140">
        <f t="shared" si="4"/>
        <v>339</v>
      </c>
      <c r="Q14" s="140">
        <f t="shared" si="4"/>
        <v>339</v>
      </c>
      <c r="S14" s="7" t="s">
        <v>116</v>
      </c>
    </row>
    <row r="15" spans="2:19" s="7" customFormat="1" ht="11.4" x14ac:dyDescent="0.2">
      <c r="B15" s="7" t="s">
        <v>18</v>
      </c>
      <c r="C15" s="108">
        <f>('Balance Sheet Input'!C17+'Balance Sheet Input'!C16+'Balance Sheet Input'!C15)/1000</f>
        <v>78.38</v>
      </c>
      <c r="D15" s="108">
        <f>('Balance Sheet Input'!D17+'Balance Sheet Input'!D16+'Balance Sheet Input'!D15)/1000</f>
        <v>991.21799999999996</v>
      </c>
      <c r="E15" s="108">
        <f>('Balance Sheet Input'!E17+'Balance Sheet Input'!E16+'Balance Sheet Input'!E15)/1000</f>
        <v>1231.7339999999999</v>
      </c>
      <c r="F15" s="108">
        <f>('Balance Sheet Input'!F17+'Balance Sheet Input'!F16+'Balance Sheet Input'!F15)/1000</f>
        <v>1459.5830000000001</v>
      </c>
      <c r="G15" s="108">
        <f>('Balance Sheet Input'!G17+'Balance Sheet Input'!G16+'Balance Sheet Input'!G15)/1000</f>
        <v>1668</v>
      </c>
      <c r="H15" s="140">
        <f>H16*('P&amp;L'!H$5)</f>
        <v>2608.2662070417837</v>
      </c>
      <c r="I15" s="140">
        <f>I16*('P&amp;L'!I$5)</f>
        <v>3465.2788460932716</v>
      </c>
      <c r="J15" s="140">
        <f>J16*('P&amp;L'!J$5)</f>
        <v>4711.9227657869569</v>
      </c>
      <c r="K15" s="140">
        <f>K16*('P&amp;L'!K$5)</f>
        <v>6060.2043231619655</v>
      </c>
      <c r="L15" s="140">
        <f>L16*('P&amp;L'!L$5)</f>
        <v>6922.5324491907786</v>
      </c>
      <c r="M15" s="140">
        <f>M16*('P&amp;L'!M$5)</f>
        <v>7418.5986197812272</v>
      </c>
      <c r="N15" s="140">
        <f>N16*('P&amp;L'!N$5)</f>
        <v>7906.5472376684311</v>
      </c>
      <c r="O15" s="140">
        <f>O16*('P&amp;L'!O$5)</f>
        <v>8404.0678318810787</v>
      </c>
      <c r="P15" s="140">
        <f>P16*('P&amp;L'!P$5)</f>
        <v>8820.4736890939475</v>
      </c>
      <c r="Q15" s="140">
        <f>Q16*('P&amp;L'!Q$5)</f>
        <v>9197.6726652167126</v>
      </c>
      <c r="S15" s="7" t="s">
        <v>121</v>
      </c>
    </row>
    <row r="16" spans="2:19" s="7" customFormat="1" ht="11.4" x14ac:dyDescent="0.25">
      <c r="B16" s="170" t="s">
        <v>115</v>
      </c>
      <c r="C16" s="171">
        <f>C15/('P&amp;L'!C$5)</f>
        <v>1.9372099776941563E-2</v>
      </c>
      <c r="D16" s="171">
        <f>D15/('P&amp;L'!D$5)</f>
        <v>0.14159990125900485</v>
      </c>
      <c r="E16" s="171">
        <f>E15/('P&amp;L'!E$5)</f>
        <v>0.10475041099177965</v>
      </c>
      <c r="F16" s="171">
        <f>F15/('P&amp;L'!F$5)</f>
        <v>6.8010100801126946E-2</v>
      </c>
      <c r="G16" s="171">
        <f>G15/('P&amp;L'!G$5)</f>
        <v>6.7865570835706726E-2</v>
      </c>
      <c r="H16" s="172">
        <f>AVERAGE($F$16:$G$16)</f>
        <v>6.7937835818416836E-2</v>
      </c>
      <c r="I16" s="172">
        <f t="shared" ref="I16:Q16" si="5">AVERAGE($F$16:$G$16)</f>
        <v>6.7937835818416836E-2</v>
      </c>
      <c r="J16" s="172">
        <f t="shared" si="5"/>
        <v>6.7937835818416836E-2</v>
      </c>
      <c r="K16" s="172">
        <f t="shared" si="5"/>
        <v>6.7937835818416836E-2</v>
      </c>
      <c r="L16" s="172">
        <f t="shared" si="5"/>
        <v>6.7937835818416836E-2</v>
      </c>
      <c r="M16" s="172">
        <f t="shared" si="5"/>
        <v>6.7937835818416836E-2</v>
      </c>
      <c r="N16" s="172">
        <f t="shared" si="5"/>
        <v>6.7937835818416836E-2</v>
      </c>
      <c r="O16" s="172">
        <f t="shared" si="5"/>
        <v>6.7937835818416836E-2</v>
      </c>
      <c r="P16" s="172">
        <f t="shared" si="5"/>
        <v>6.7937835818416836E-2</v>
      </c>
      <c r="Q16" s="172">
        <f t="shared" si="5"/>
        <v>6.7937835818416836E-2</v>
      </c>
    </row>
    <row r="17" spans="2:19" s="7" customFormat="1" ht="12.6" thickBot="1" x14ac:dyDescent="0.3">
      <c r="B17" s="103" t="s">
        <v>19</v>
      </c>
      <c r="C17" s="110">
        <f>C5+C6+C7+C8+C9+C11+C13+C15+C12+C14</f>
        <v>8067.9389999999994</v>
      </c>
      <c r="D17" s="110">
        <f>D5+D6+D7+D8+D9+D11+D13+D15+D12+D14</f>
        <v>22664.076000000001</v>
      </c>
      <c r="E17" s="110">
        <f>E5+E6+E7+E8+E9+E11+E13+E15+E12+E14</f>
        <v>28655.372000000003</v>
      </c>
      <c r="F17" s="110">
        <f>F5+F6+F7+F8+F9+F11+F13+F15+F12+F14</f>
        <v>29739.613999999994</v>
      </c>
      <c r="G17" s="110">
        <f>G5+G6+G7+G8+G9+G11+G13+G15+G12+G14</f>
        <v>34309</v>
      </c>
      <c r="H17" s="110">
        <f t="shared" ref="H17:Q17" si="6">H5+H6+H7+H8+H9+H11+H13+H15+H12+H14</f>
        <v>46483.455700439808</v>
      </c>
      <c r="I17" s="110">
        <f t="shared" si="6"/>
        <v>57305.221389829399</v>
      </c>
      <c r="J17" s="110">
        <f t="shared" si="6"/>
        <v>72636.25929765738</v>
      </c>
      <c r="K17" s="110">
        <f t="shared" si="6"/>
        <v>89996.319013142725</v>
      </c>
      <c r="L17" s="110">
        <f t="shared" si="6"/>
        <v>103802.67991479569</v>
      </c>
      <c r="M17" s="110">
        <f>M5+M6+M7+M8+M9+M11+M13+M15+M12+M14</f>
        <v>114770.22543939445</v>
      </c>
      <c r="N17" s="110">
        <f t="shared" si="6"/>
        <v>126059.54636239599</v>
      </c>
      <c r="O17" s="110">
        <f t="shared" si="6"/>
        <v>137831.78673834683</v>
      </c>
      <c r="P17" s="110">
        <f t="shared" si="6"/>
        <v>149217.57205173071</v>
      </c>
      <c r="Q17" s="110">
        <f t="shared" si="6"/>
        <v>160552.64052550984</v>
      </c>
    </row>
    <row r="18" spans="2:19" s="7" customFormat="1" ht="11.4" x14ac:dyDescent="0.25"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</row>
    <row r="19" spans="2:19" s="7" customFormat="1" ht="11.4" x14ac:dyDescent="0.2">
      <c r="B19" s="7" t="s">
        <v>20</v>
      </c>
      <c r="C19" s="108">
        <f>'Balance Sheet Input'!C19/1000</f>
        <v>916.14800000000002</v>
      </c>
      <c r="D19" s="108">
        <f>'Balance Sheet Input'!D19/1000</f>
        <v>1860.3409999999999</v>
      </c>
      <c r="E19" s="108">
        <f>'Balance Sheet Input'!E19/1000</f>
        <v>2390.25</v>
      </c>
      <c r="F19" s="108">
        <f>'Balance Sheet Input'!F19/1000</f>
        <v>3404.451</v>
      </c>
      <c r="G19" s="108">
        <f>'Balance Sheet Input'!G19/1000</f>
        <v>3771</v>
      </c>
      <c r="H19" s="140">
        <f>'Working capital'!H7</f>
        <v>7109.3116498347044</v>
      </c>
      <c r="I19" s="140">
        <f>'Working capital'!I7</f>
        <v>9542.9931629581461</v>
      </c>
      <c r="J19" s="140">
        <f>'Working capital'!J7</f>
        <v>13039.224358533857</v>
      </c>
      <c r="K19" s="140">
        <f>'Working capital'!K7</f>
        <v>16831.115960900235</v>
      </c>
      <c r="L19" s="140">
        <f>'Working capital'!L7</f>
        <v>19222.703702635496</v>
      </c>
      <c r="M19" s="140">
        <f>'Working capital'!M7</f>
        <v>20621.005752827212</v>
      </c>
      <c r="N19" s="140">
        <f>'Working capital'!N7</f>
        <v>21995.211277084269</v>
      </c>
      <c r="O19" s="140">
        <f>'Working capital'!O7</f>
        <v>23398.929589959036</v>
      </c>
      <c r="P19" s="140">
        <f>'Working capital'!P7</f>
        <v>24570.029984361434</v>
      </c>
      <c r="Q19" s="140">
        <f>'Working capital'!Q7</f>
        <v>25635.537871239791</v>
      </c>
      <c r="S19" s="7" t="s">
        <v>119</v>
      </c>
    </row>
    <row r="20" spans="2:19" s="7" customFormat="1" ht="11.4" x14ac:dyDescent="0.2">
      <c r="B20" s="7" t="s">
        <v>38</v>
      </c>
      <c r="C20" s="108">
        <f>'Balance Sheet Input'!C20/1000</f>
        <v>422.798</v>
      </c>
      <c r="D20" s="108">
        <f>'Balance Sheet Input'!D20/1000</f>
        <v>1210.028</v>
      </c>
      <c r="E20" s="108">
        <f>'Balance Sheet Input'!E20/1000</f>
        <v>1731.366</v>
      </c>
      <c r="F20" s="108">
        <f>'Balance Sheet Input'!F20/1000</f>
        <v>2094.2530000000002</v>
      </c>
      <c r="G20" s="108">
        <f>'Balance Sheet Input'!G20/1000</f>
        <v>2905</v>
      </c>
      <c r="H20" s="140">
        <f>H21*('P&amp;L'!H$5)</f>
        <v>4142.0702854155488</v>
      </c>
      <c r="I20" s="140">
        <f>I21*('P&amp;L'!I$5)</f>
        <v>5503.0535228078752</v>
      </c>
      <c r="J20" s="140">
        <f>J21*('P&amp;L'!J$5)</f>
        <v>7482.7926776212471</v>
      </c>
      <c r="K20" s="140">
        <f>K21*('P&amp;L'!K$5)</f>
        <v>9623.937994805261</v>
      </c>
      <c r="L20" s="140">
        <f>L21*('P&amp;L'!L$5)</f>
        <v>10993.362518060912</v>
      </c>
      <c r="M20" s="140">
        <f>M21*('P&amp;L'!M$5)</f>
        <v>11781.142898474231</v>
      </c>
      <c r="N20" s="140">
        <f>N21*('P&amp;L'!N$5)</f>
        <v>12556.032158436872</v>
      </c>
      <c r="O20" s="140">
        <f>O21*('P&amp;L'!O$5)</f>
        <v>13346.122243607952</v>
      </c>
      <c r="P20" s="140">
        <f>P21*('P&amp;L'!P$5)</f>
        <v>14007.397662189789</v>
      </c>
      <c r="Q20" s="140">
        <f>Q21*('P&amp;L'!Q$5)</f>
        <v>14606.410395809216</v>
      </c>
      <c r="S20" s="7" t="s">
        <v>121</v>
      </c>
    </row>
    <row r="21" spans="2:19" s="7" customFormat="1" ht="11.4" x14ac:dyDescent="0.25">
      <c r="B21" s="170" t="s">
        <v>115</v>
      </c>
      <c r="C21" s="171">
        <f>C20/('P&amp;L'!C$5)</f>
        <v>0.1044971298990985</v>
      </c>
      <c r="D21" s="171">
        <f>D20/('P&amp;L'!D$5)</f>
        <v>0.17285788325134441</v>
      </c>
      <c r="E21" s="171">
        <f>E20/('P&amp;L'!E$5)</f>
        <v>0.14724063805756241</v>
      </c>
      <c r="F21" s="171">
        <f>F20/('P&amp;L'!F$5)</f>
        <v>9.758291075811551E-2</v>
      </c>
      <c r="G21" s="171">
        <f>G20/('P&amp;L'!G$5)</f>
        <v>0.11819513385954919</v>
      </c>
      <c r="H21" s="172">
        <f>AVERAGE($F$21:$G$21)</f>
        <v>0.10788902230883235</v>
      </c>
      <c r="I21" s="172">
        <f t="shared" ref="I21:Q21" si="7">AVERAGE($F$21:$G$21)</f>
        <v>0.10788902230883235</v>
      </c>
      <c r="J21" s="172">
        <f t="shared" si="7"/>
        <v>0.10788902230883235</v>
      </c>
      <c r="K21" s="172">
        <f t="shared" si="7"/>
        <v>0.10788902230883235</v>
      </c>
      <c r="L21" s="172">
        <f t="shared" si="7"/>
        <v>0.10788902230883235</v>
      </c>
      <c r="M21" s="172">
        <f t="shared" si="7"/>
        <v>0.10788902230883235</v>
      </c>
      <c r="N21" s="172">
        <f t="shared" si="7"/>
        <v>0.10788902230883235</v>
      </c>
      <c r="O21" s="172">
        <f t="shared" si="7"/>
        <v>0.10788902230883235</v>
      </c>
      <c r="P21" s="172">
        <f t="shared" si="7"/>
        <v>0.10788902230883235</v>
      </c>
      <c r="Q21" s="172">
        <f t="shared" si="7"/>
        <v>0.10788902230883235</v>
      </c>
    </row>
    <row r="22" spans="2:19" s="7" customFormat="1" ht="11.4" x14ac:dyDescent="0.2">
      <c r="B22" s="7" t="s">
        <v>21</v>
      </c>
      <c r="C22" s="108">
        <f>'Balance Sheet Input'!C21/1000</f>
        <v>423.96100000000001</v>
      </c>
      <c r="D22" s="108">
        <f>'Balance Sheet Input'!D21/1000</f>
        <v>763.12599999999998</v>
      </c>
      <c r="E22" s="108">
        <f>'Balance Sheet Input'!E21/1000</f>
        <v>1015.253</v>
      </c>
      <c r="F22" s="108">
        <f>'Balance Sheet Input'!F21/1000</f>
        <v>630.29200000000003</v>
      </c>
      <c r="G22" s="108">
        <f>'Balance Sheet Input'!G21/1000</f>
        <v>1163</v>
      </c>
      <c r="H22" s="140">
        <f>H23*('P&amp;L'!H$5)</f>
        <v>1472.092505705617</v>
      </c>
      <c r="I22" s="140">
        <f>I23*('P&amp;L'!I$5)</f>
        <v>1955.7861869091007</v>
      </c>
      <c r="J22" s="140">
        <f>J23*('P&amp;L'!J$5)</f>
        <v>2659.3858296564372</v>
      </c>
      <c r="K22" s="140">
        <f>K23*('P&amp;L'!K$5)</f>
        <v>3420.3492508111908</v>
      </c>
      <c r="L22" s="140">
        <f>L23*('P&amp;L'!L$5)</f>
        <v>3907.0429664905919</v>
      </c>
      <c r="M22" s="140">
        <f>M23*('P&amp;L'!M$5)</f>
        <v>4187.0202518185788</v>
      </c>
      <c r="N22" s="140">
        <f>N23*('P&amp;L'!N$5)</f>
        <v>4462.4160306780714</v>
      </c>
      <c r="O22" s="140">
        <f>O23*('P&amp;L'!O$5)</f>
        <v>4743.2141854819492</v>
      </c>
      <c r="P22" s="140">
        <f>P23*('P&amp;L'!P$5)</f>
        <v>4978.2315851937001</v>
      </c>
      <c r="Q22" s="140">
        <f>Q23*('P&amp;L'!Q$5)</f>
        <v>5191.1208157526944</v>
      </c>
      <c r="S22" s="7" t="s">
        <v>121</v>
      </c>
    </row>
    <row r="23" spans="2:19" s="7" customFormat="1" ht="11.4" x14ac:dyDescent="0.25">
      <c r="B23" s="170" t="s">
        <v>115</v>
      </c>
      <c r="C23" s="171">
        <f>C22/('P&amp;L'!C$5)</f>
        <v>0.10478457251252773</v>
      </c>
      <c r="D23" s="171">
        <f>D22/('P&amp;L'!D$5)</f>
        <v>0.10901594427076518</v>
      </c>
      <c r="E23" s="171">
        <f>E22/('P&amp;L'!E$5)</f>
        <v>8.6340207391074106E-2</v>
      </c>
      <c r="F23" s="171">
        <f>F22/('P&amp;L'!F$5)</f>
        <v>2.9368814554666577E-2</v>
      </c>
      <c r="G23" s="171">
        <f>G22/('P&amp;L'!G$5)</f>
        <v>4.7318740336886649E-2</v>
      </c>
      <c r="H23" s="172">
        <f>AVERAGE($F$23:$G$23)</f>
        <v>3.8343777445776613E-2</v>
      </c>
      <c r="I23" s="172">
        <f t="shared" ref="I23:Q23" si="8">AVERAGE($F$23:$G$23)</f>
        <v>3.8343777445776613E-2</v>
      </c>
      <c r="J23" s="172">
        <f t="shared" si="8"/>
        <v>3.8343777445776613E-2</v>
      </c>
      <c r="K23" s="172">
        <f t="shared" si="8"/>
        <v>3.8343777445776613E-2</v>
      </c>
      <c r="L23" s="172">
        <f t="shared" si="8"/>
        <v>3.8343777445776613E-2</v>
      </c>
      <c r="M23" s="172">
        <f t="shared" si="8"/>
        <v>3.8343777445776613E-2</v>
      </c>
      <c r="N23" s="172">
        <f t="shared" si="8"/>
        <v>3.8343777445776613E-2</v>
      </c>
      <c r="O23" s="172">
        <f t="shared" si="8"/>
        <v>3.8343777445776613E-2</v>
      </c>
      <c r="P23" s="172">
        <f t="shared" si="8"/>
        <v>3.8343777445776613E-2</v>
      </c>
      <c r="Q23" s="172">
        <f t="shared" si="8"/>
        <v>3.8343777445776613E-2</v>
      </c>
    </row>
    <row r="24" spans="2:19" s="7" customFormat="1" ht="11.4" x14ac:dyDescent="0.2">
      <c r="B24" s="7" t="s">
        <v>22</v>
      </c>
      <c r="C24" s="108">
        <f>'Balance Sheet Input'!C22/1000</f>
        <v>136.83099999999999</v>
      </c>
      <c r="D24" s="108">
        <f>'Balance Sheet Input'!D22/1000</f>
        <v>179.50399999999999</v>
      </c>
      <c r="E24" s="108">
        <f>'Balance Sheet Input'!E22/1000</f>
        <v>787.33299999999997</v>
      </c>
      <c r="F24" s="108">
        <f>'Balance Sheet Input'!F22/1000</f>
        <v>502.84</v>
      </c>
      <c r="G24" s="108">
        <f>'Balance Sheet Input'!G22/1000</f>
        <v>317</v>
      </c>
      <c r="H24" s="140">
        <f>H25*('P&amp;L'!H$5)</f>
        <v>1438.2478120017738</v>
      </c>
      <c r="I24" s="140">
        <f>I25*('P&amp;L'!I$5)</f>
        <v>1910.8209525983552</v>
      </c>
      <c r="J24" s="140">
        <f>J25*('P&amp;L'!J$5)</f>
        <v>2598.2442244270019</v>
      </c>
      <c r="K24" s="140">
        <f>K25*('P&amp;L'!K$5)</f>
        <v>3341.7124312463861</v>
      </c>
      <c r="L24" s="140">
        <f>L25*('P&amp;L'!L$5)</f>
        <v>3817.2166329034608</v>
      </c>
      <c r="M24" s="140">
        <f>M25*('P&amp;L'!M$5)</f>
        <v>4090.7569956676602</v>
      </c>
      <c r="N24" s="140">
        <f>N25*('P&amp;L'!N$5)</f>
        <v>4359.8211848025221</v>
      </c>
      <c r="O24" s="140">
        <f>O25*('P&amp;L'!O$5)</f>
        <v>4634.163544535706</v>
      </c>
      <c r="P24" s="140">
        <f>P25*('P&amp;L'!P$5)</f>
        <v>4863.7776887608006</v>
      </c>
      <c r="Q24" s="140">
        <f>Q25*('P&amp;L'!Q$5)</f>
        <v>5071.7724097878263</v>
      </c>
      <c r="S24" s="7" t="s">
        <v>121</v>
      </c>
    </row>
    <row r="25" spans="2:19" s="7" customFormat="1" ht="11.4" x14ac:dyDescent="0.25">
      <c r="B25" s="170" t="s">
        <v>115</v>
      </c>
      <c r="C25" s="171">
        <f>C24/('P&amp;L'!C$5)</f>
        <v>3.3818624452394634E-2</v>
      </c>
      <c r="D25" s="171">
        <f>D24/('P&amp;L'!D$5)</f>
        <v>2.5642945018751074E-2</v>
      </c>
      <c r="E25" s="171">
        <f>E24/('P&amp;L'!E$5)</f>
        <v>6.6957196389310386E-2</v>
      </c>
      <c r="F25" s="171">
        <f>F24/('P&amp;L'!F$5)</f>
        <v>2.3430116058380145E-2</v>
      </c>
      <c r="G25" s="171">
        <f>G24/('P&amp;L'!G$5)</f>
        <v>1.2897713402229637E-2</v>
      </c>
      <c r="H25" s="172">
        <f>AVERAGE($C$25:$F$25)</f>
        <v>3.7462220479709055E-2</v>
      </c>
      <c r="I25" s="172">
        <f t="shared" ref="I25:Q25" si="9">AVERAGE($C$25:$F$25)</f>
        <v>3.7462220479709055E-2</v>
      </c>
      <c r="J25" s="172">
        <f t="shared" si="9"/>
        <v>3.7462220479709055E-2</v>
      </c>
      <c r="K25" s="172">
        <f t="shared" si="9"/>
        <v>3.7462220479709055E-2</v>
      </c>
      <c r="L25" s="172">
        <f t="shared" si="9"/>
        <v>3.7462220479709055E-2</v>
      </c>
      <c r="M25" s="172">
        <f t="shared" si="9"/>
        <v>3.7462220479709055E-2</v>
      </c>
      <c r="N25" s="172">
        <f t="shared" si="9"/>
        <v>3.7462220479709055E-2</v>
      </c>
      <c r="O25" s="172">
        <f t="shared" si="9"/>
        <v>3.7462220479709055E-2</v>
      </c>
      <c r="P25" s="172">
        <f t="shared" si="9"/>
        <v>3.7462220479709055E-2</v>
      </c>
      <c r="Q25" s="172">
        <f t="shared" si="9"/>
        <v>3.7462220479709055E-2</v>
      </c>
    </row>
    <row r="26" spans="2:19" s="7" customFormat="1" ht="11.4" x14ac:dyDescent="0.2">
      <c r="B26" s="7" t="s">
        <v>23</v>
      </c>
      <c r="C26" s="108">
        <f>'Balance Sheet Input'!C23/1000</f>
        <v>283.37</v>
      </c>
      <c r="D26" s="108">
        <f>'Balance Sheet Input'!D23/1000</f>
        <v>663.85900000000004</v>
      </c>
      <c r="E26" s="108">
        <f>'Balance Sheet Input'!E23/1000</f>
        <v>853.91899999999998</v>
      </c>
      <c r="F26" s="108">
        <f>'Balance Sheet Input'!F23/1000</f>
        <v>792.601</v>
      </c>
      <c r="G26" s="108">
        <f>'Balance Sheet Input'!G23/1000</f>
        <v>726</v>
      </c>
      <c r="H26" s="140">
        <f>H27*('P&amp;L'!H$5)</f>
        <v>1275.9624465922134</v>
      </c>
      <c r="I26" s="140">
        <f>I27*('P&amp;L'!I$5)</f>
        <v>1695.2125755599996</v>
      </c>
      <c r="J26" s="140">
        <f>J27*('P&amp;L'!J$5)</f>
        <v>2305.0701205863379</v>
      </c>
      <c r="K26" s="140">
        <f>K27*('P&amp;L'!K$5)</f>
        <v>2964.6487441174663</v>
      </c>
      <c r="L26" s="140">
        <f>L27*('P&amp;L'!L$5)</f>
        <v>3386.4992064983471</v>
      </c>
      <c r="M26" s="140">
        <f>M27*('P&amp;L'!M$5)</f>
        <v>3629.174514329025</v>
      </c>
      <c r="N26" s="140">
        <f>N27*('P&amp;L'!N$5)</f>
        <v>3867.8787196780581</v>
      </c>
      <c r="O26" s="140">
        <f>O27*('P&amp;L'!O$5)</f>
        <v>4111.2655307741434</v>
      </c>
      <c r="P26" s="140">
        <f>P27*('P&amp;L'!P$5)</f>
        <v>4314.9710555055572</v>
      </c>
      <c r="Q26" s="140">
        <f>Q27*('P&amp;L'!Q$5)</f>
        <v>4499.4965947799956</v>
      </c>
      <c r="S26" s="7" t="s">
        <v>121</v>
      </c>
    </row>
    <row r="27" spans="2:19" s="7" customFormat="1" ht="11.4" x14ac:dyDescent="0.25">
      <c r="B27" s="170" t="s">
        <v>115</v>
      </c>
      <c r="C27" s="171">
        <f>C26/('P&amp;L'!C$5)</f>
        <v>7.0036640900637048E-2</v>
      </c>
      <c r="D27" s="171">
        <f>D26/('P&amp;L'!D$5)</f>
        <v>9.4835211678865494E-2</v>
      </c>
      <c r="E27" s="171">
        <f>E26/('P&amp;L'!E$5)</f>
        <v>7.2619872637833732E-2</v>
      </c>
      <c r="F27" s="171">
        <f>F26/('P&amp;L'!F$5)</f>
        <v>3.6931694809458605E-2</v>
      </c>
      <c r="G27" s="171">
        <f>G26/('P&amp;L'!G$5)</f>
        <v>2.9538611766620555E-2</v>
      </c>
      <c r="H27" s="172">
        <f>AVERAGE($F$27:$G$27)</f>
        <v>3.3235153288039582E-2</v>
      </c>
      <c r="I27" s="172">
        <f t="shared" ref="I27:Q27" si="10">AVERAGE($F$27:$G$27)</f>
        <v>3.3235153288039582E-2</v>
      </c>
      <c r="J27" s="172">
        <f t="shared" si="10"/>
        <v>3.3235153288039582E-2</v>
      </c>
      <c r="K27" s="172">
        <f t="shared" si="10"/>
        <v>3.3235153288039582E-2</v>
      </c>
      <c r="L27" s="172">
        <f t="shared" si="10"/>
        <v>3.3235153288039582E-2</v>
      </c>
      <c r="M27" s="172">
        <f t="shared" si="10"/>
        <v>3.3235153288039582E-2</v>
      </c>
      <c r="N27" s="172">
        <f t="shared" si="10"/>
        <v>3.3235153288039582E-2</v>
      </c>
      <c r="O27" s="172">
        <f t="shared" si="10"/>
        <v>3.3235153288039582E-2</v>
      </c>
      <c r="P27" s="172">
        <f t="shared" si="10"/>
        <v>3.3235153288039582E-2</v>
      </c>
      <c r="Q27" s="172">
        <f t="shared" si="10"/>
        <v>3.3235153288039582E-2</v>
      </c>
    </row>
    <row r="28" spans="2:19" s="7" customFormat="1" ht="11.4" x14ac:dyDescent="0.2">
      <c r="B28" s="7" t="s">
        <v>110</v>
      </c>
      <c r="C28" s="108">
        <f>('Balance Sheet Input'!C24+'Balance Sheet Input'!C29)/1000</f>
        <v>2649.02</v>
      </c>
      <c r="D28" s="108">
        <f>('Balance Sheet Input'!D24+'Balance Sheet Input'!D29)/1000</f>
        <v>6844.26</v>
      </c>
      <c r="E28" s="108">
        <f>('Balance Sheet Input'!E24+'Balance Sheet Input'!E29)/1000</f>
        <v>10212.249</v>
      </c>
      <c r="F28" s="108">
        <f>('Balance Sheet Input'!F24+'Balance Sheet Input'!F29)/1000</f>
        <v>11971.370999999999</v>
      </c>
      <c r="G28" s="108">
        <f>('Balance Sheet Input'!G24+'Balance Sheet Input'!G29)/1000</f>
        <v>13419</v>
      </c>
      <c r="H28" s="140">
        <f>G28+Financing!H19</f>
        <v>13419</v>
      </c>
      <c r="I28" s="140">
        <f>H28+Financing!I19</f>
        <v>13419</v>
      </c>
      <c r="J28" s="140">
        <f>I28+Financing!J19</f>
        <v>13419</v>
      </c>
      <c r="K28" s="140">
        <f>J28+Financing!K19</f>
        <v>13419</v>
      </c>
      <c r="L28" s="140">
        <f>K28+Financing!L19</f>
        <v>13419</v>
      </c>
      <c r="M28" s="140">
        <f>L28+Financing!M19</f>
        <v>13419</v>
      </c>
      <c r="N28" s="140">
        <f>M28+Financing!N19</f>
        <v>13419</v>
      </c>
      <c r="O28" s="140">
        <f>N28+Financing!O19</f>
        <v>13419</v>
      </c>
      <c r="P28" s="140">
        <f>O28+Financing!P19</f>
        <v>13419</v>
      </c>
      <c r="Q28" s="140">
        <f>P28+Financing!Q19</f>
        <v>13419</v>
      </c>
      <c r="S28" s="7" t="s">
        <v>122</v>
      </c>
    </row>
    <row r="29" spans="2:19" s="7" customFormat="1" ht="11.4" x14ac:dyDescent="0.25">
      <c r="B29" s="7" t="s">
        <v>65</v>
      </c>
      <c r="C29" s="60">
        <f>('Balance Sheet Input'!C30+'Balance Sheet Input'!C26)/1000</f>
        <v>2152.107</v>
      </c>
      <c r="D29" s="60">
        <f>('Balance Sheet Input'!D30+'Balance Sheet Input'!D26)/1000</f>
        <v>5604.8720000000003</v>
      </c>
      <c r="E29" s="60">
        <f>('Balance Sheet Input'!E30+'Balance Sheet Input'!E26)/1000</f>
        <v>6430.4139999999998</v>
      </c>
      <c r="F29" s="60">
        <f>('Balance Sheet Input'!F30+'Balance Sheet Input'!F26)/1000</f>
        <v>4586.1660000000002</v>
      </c>
      <c r="G29" s="60">
        <f>('Balance Sheet Input'!G30+'Balance Sheet Input'!G26)/1000</f>
        <v>4541</v>
      </c>
      <c r="H29" s="140">
        <f>H30*('P&amp;L'!H$5)</f>
        <v>7648.7087069640702</v>
      </c>
      <c r="I29" s="140">
        <f>I30*('P&amp;L'!I$5)</f>
        <v>10161.887774573852</v>
      </c>
      <c r="J29" s="140">
        <f>J30*('P&amp;L'!J$5)</f>
        <v>13817.655800591203</v>
      </c>
      <c r="K29" s="140">
        <f>K30*('P&amp;L'!K$5)</f>
        <v>17771.474954284706</v>
      </c>
      <c r="L29" s="140">
        <f>L30*('P&amp;L'!L$5)</f>
        <v>20300.241622353158</v>
      </c>
      <c r="M29" s="140">
        <f>M30*('P&amp;L'!M$5)</f>
        <v>21754.949591954479</v>
      </c>
      <c r="N29" s="140">
        <f>N30*('P&amp;L'!N$5)</f>
        <v>23185.852937674648</v>
      </c>
      <c r="O29" s="140">
        <f>O30*('P&amp;L'!O$5)</f>
        <v>24644.825986734762</v>
      </c>
      <c r="P29" s="140">
        <f>P30*('P&amp;L'!P$5)</f>
        <v>25865.93106300963</v>
      </c>
      <c r="Q29" s="140">
        <f>Q30*('P&amp;L'!Q$5)</f>
        <v>26972.062440680736</v>
      </c>
      <c r="S29" s="7" t="s">
        <v>121</v>
      </c>
    </row>
    <row r="30" spans="2:19" s="7" customFormat="1" ht="11.4" x14ac:dyDescent="0.25">
      <c r="B30" s="170" t="s">
        <v>115</v>
      </c>
      <c r="C30" s="171">
        <f>C29/('P&amp;L'!C$5)</f>
        <v>0.53190650082488367</v>
      </c>
      <c r="D30" s="171">
        <f>D29/('P&amp;L'!D$5)</f>
        <v>0.80068090144585857</v>
      </c>
      <c r="E30" s="171">
        <f>E29/('P&amp;L'!E$5)</f>
        <v>0.54686199240038336</v>
      </c>
      <c r="F30" s="171">
        <f>F29/('P&amp;L'!F$5)</f>
        <v>0.21369501559740087</v>
      </c>
      <c r="G30" s="171">
        <f>G29/('P&amp;L'!G$5)</f>
        <v>0.18475872731711288</v>
      </c>
      <c r="H30" s="172">
        <f>AVERAGE($F$30:$G$30)</f>
        <v>0.19922687145725687</v>
      </c>
      <c r="I30" s="172">
        <f t="shared" ref="I30:Q30" si="11">AVERAGE($F$30:$G$30)</f>
        <v>0.19922687145725687</v>
      </c>
      <c r="J30" s="172">
        <f t="shared" si="11"/>
        <v>0.19922687145725687</v>
      </c>
      <c r="K30" s="172">
        <f t="shared" si="11"/>
        <v>0.19922687145725687</v>
      </c>
      <c r="L30" s="172">
        <f t="shared" si="11"/>
        <v>0.19922687145725687</v>
      </c>
      <c r="M30" s="172">
        <f t="shared" si="11"/>
        <v>0.19922687145725687</v>
      </c>
      <c r="N30" s="172">
        <f t="shared" si="11"/>
        <v>0.19922687145725687</v>
      </c>
      <c r="O30" s="172">
        <f t="shared" si="11"/>
        <v>0.19922687145725687</v>
      </c>
      <c r="P30" s="172">
        <f t="shared" si="11"/>
        <v>0.19922687145725687</v>
      </c>
      <c r="Q30" s="172">
        <f t="shared" si="11"/>
        <v>0.19922687145725687</v>
      </c>
    </row>
    <row r="31" spans="2:19" s="7" customFormat="1" ht="12" x14ac:dyDescent="0.25">
      <c r="B31" s="11" t="s">
        <v>29</v>
      </c>
      <c r="C31" s="176">
        <f>C19+C20+C22+C24+C26+C28+C29</f>
        <v>6984.2349999999997</v>
      </c>
      <c r="D31" s="176">
        <f>D19+D20+D22+D24+D26+D28+D29</f>
        <v>17125.990000000002</v>
      </c>
      <c r="E31" s="176">
        <f>E19+E20+E22+E24+E26+E28+E29</f>
        <v>23420.784</v>
      </c>
      <c r="F31" s="176">
        <f>F19+F20+F22+F24+F26+F28+F29</f>
        <v>23981.973999999998</v>
      </c>
      <c r="G31" s="176">
        <f>G19+G20+G22+G24+G26+G28+G29</f>
        <v>26842</v>
      </c>
      <c r="H31" s="177">
        <f t="shared" ref="H31:L31" si="12">H19+H20+H22+H24+H26+H28+H29</f>
        <v>36505.393406513926</v>
      </c>
      <c r="I31" s="177">
        <f t="shared" si="12"/>
        <v>44188.754175407325</v>
      </c>
      <c r="J31" s="177">
        <f t="shared" si="12"/>
        <v>55321.373011416079</v>
      </c>
      <c r="K31" s="177">
        <f t="shared" si="12"/>
        <v>67372.23933616525</v>
      </c>
      <c r="L31" s="177">
        <f t="shared" si="12"/>
        <v>75046.066648941967</v>
      </c>
      <c r="M31" s="177">
        <f>M19+M20+M22+M24+M26+M28+M29</f>
        <v>79483.050005071185</v>
      </c>
      <c r="N31" s="177">
        <f>N19+N20+N22+N24+N26+N28+N29</f>
        <v>83846.212308354443</v>
      </c>
      <c r="O31" s="177">
        <f>O19+O20+O22+O24+O26+O28+O29</f>
        <v>88297.521081093553</v>
      </c>
      <c r="P31" s="177">
        <f>P19+P20+P22+P24+P26+P28+P29</f>
        <v>92019.33903902091</v>
      </c>
      <c r="Q31" s="177">
        <f>Q19+Q20+Q22+Q24+Q26+Q28+Q29</f>
        <v>95395.400528050246</v>
      </c>
    </row>
    <row r="32" spans="2:19" s="7" customFormat="1" ht="12" x14ac:dyDescent="0.25">
      <c r="B32" s="11" t="s">
        <v>113</v>
      </c>
      <c r="C32" s="176">
        <f>('Balance Sheet Input'!C33+'Balance Sheet Input'!C32)/1000</f>
        <v>1083.704</v>
      </c>
      <c r="D32" s="176">
        <f>('Balance Sheet Input'!D33+'Balance Sheet Input'!D32)/1000</f>
        <v>5538.0860000000002</v>
      </c>
      <c r="E32" s="176">
        <f>('Balance Sheet Input'!E33+'Balance Sheet Input'!E32)/1000</f>
        <v>5234.5879999999997</v>
      </c>
      <c r="F32" s="176">
        <f>('Balance Sheet Input'!F33+'Balance Sheet Input'!F32)/1000</f>
        <v>5757.64</v>
      </c>
      <c r="G32" s="176">
        <f>('Balance Sheet Input'!G33+'Balance Sheet Input'!G32)/1000</f>
        <v>7467</v>
      </c>
      <c r="H32" s="177">
        <f>G32+'P&amp;L'!H14+Financing!H20</f>
        <v>9978.0622939258756</v>
      </c>
      <c r="I32" s="177">
        <f>H32+'P&amp;L'!I14+Financing!I20</f>
        <v>13116.467214422075</v>
      </c>
      <c r="J32" s="177">
        <f>I32+'P&amp;L'!J14+Financing!J20</f>
        <v>17314.886286241286</v>
      </c>
      <c r="K32" s="177">
        <f>J32+'P&amp;L'!K14+Financing!K20</f>
        <v>22624.079676977479</v>
      </c>
      <c r="L32" s="177">
        <f>K32+'P&amp;L'!L14+Financing!L20</f>
        <v>28756.613265853717</v>
      </c>
      <c r="M32" s="177">
        <f>L32+'P&amp;L'!M14+Financing!M20</f>
        <v>35287.175434323268</v>
      </c>
      <c r="N32" s="177">
        <f>M32+'P&amp;L'!N14+Financing!N20</f>
        <v>42213.334054041574</v>
      </c>
      <c r="O32" s="177">
        <f>N32+'P&amp;L'!O14+Financing!O20</f>
        <v>49534.265657253301</v>
      </c>
      <c r="P32" s="177">
        <f>O32+'P&amp;L'!P14+Financing!P20</f>
        <v>57198.23301270981</v>
      </c>
      <c r="Q32" s="177">
        <f>P32+'P&amp;L'!Q14+Financing!Q20</f>
        <v>65157.239997459597</v>
      </c>
    </row>
    <row r="33" spans="2:17" s="7" customFormat="1" ht="11.4" x14ac:dyDescent="0.25">
      <c r="C33" s="152"/>
      <c r="D33" s="152"/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</row>
    <row r="34" spans="2:17" s="7" customFormat="1" ht="12.6" thickBot="1" x14ac:dyDescent="0.3">
      <c r="B34" s="103" t="s">
        <v>112</v>
      </c>
      <c r="C34" s="110">
        <f>C31+C32</f>
        <v>8067.9389999999994</v>
      </c>
      <c r="D34" s="110">
        <f>D31+D32</f>
        <v>22664.076000000001</v>
      </c>
      <c r="E34" s="110">
        <f>E31+E32</f>
        <v>28655.371999999999</v>
      </c>
      <c r="F34" s="110">
        <f>F31+F32</f>
        <v>29739.613999999998</v>
      </c>
      <c r="G34" s="110">
        <f>G31+G32</f>
        <v>34309</v>
      </c>
      <c r="H34" s="110">
        <f t="shared" ref="H34:L34" si="13">H31+H32</f>
        <v>46483.455700439801</v>
      </c>
      <c r="I34" s="110">
        <f t="shared" si="13"/>
        <v>57305.221389829399</v>
      </c>
      <c r="J34" s="110">
        <f t="shared" si="13"/>
        <v>72636.259297657365</v>
      </c>
      <c r="K34" s="110">
        <f t="shared" si="13"/>
        <v>89996.319013142725</v>
      </c>
      <c r="L34" s="110">
        <f t="shared" si="13"/>
        <v>103802.67991479568</v>
      </c>
      <c r="M34" s="110">
        <f>M31+M32</f>
        <v>114770.22543939445</v>
      </c>
      <c r="N34" s="110">
        <f>N31+N32</f>
        <v>126059.54636239601</v>
      </c>
      <c r="O34" s="110">
        <f>O31+O32</f>
        <v>137831.78673834685</v>
      </c>
      <c r="P34" s="110">
        <f>P31+P32</f>
        <v>149217.57205173071</v>
      </c>
      <c r="Q34" s="110">
        <f>Q31+Q32</f>
        <v>160552.64052550984</v>
      </c>
    </row>
    <row r="35" spans="2:17" s="7" customFormat="1" ht="11.4" x14ac:dyDescent="0.25"/>
    <row r="36" spans="2:17" s="7" customFormat="1" ht="11.4" x14ac:dyDescent="0.25">
      <c r="B36" s="7" t="s">
        <v>114</v>
      </c>
      <c r="C36" s="153">
        <f>C17-C34</f>
        <v>0</v>
      </c>
      <c r="D36" s="153">
        <f>D17-D34</f>
        <v>0</v>
      </c>
      <c r="E36" s="153">
        <f>E17-E34</f>
        <v>0</v>
      </c>
      <c r="F36" s="153">
        <f>F17-F34</f>
        <v>0</v>
      </c>
      <c r="G36" s="153">
        <f>G17-G34</f>
        <v>0</v>
      </c>
      <c r="H36" s="153">
        <f t="shared" ref="H36:Q36" si="14">H17-H34</f>
        <v>0</v>
      </c>
      <c r="I36" s="153">
        <f t="shared" si="14"/>
        <v>0</v>
      </c>
      <c r="J36" s="153">
        <f t="shared" si="14"/>
        <v>0</v>
      </c>
      <c r="K36" s="153">
        <f t="shared" si="14"/>
        <v>0</v>
      </c>
      <c r="L36" s="153">
        <f>L17-L34</f>
        <v>0</v>
      </c>
      <c r="M36" s="153">
        <f>M17-M34</f>
        <v>0</v>
      </c>
      <c r="N36" s="153">
        <f t="shared" si="14"/>
        <v>0</v>
      </c>
      <c r="O36" s="153">
        <f t="shared" si="14"/>
        <v>0</v>
      </c>
      <c r="P36" s="153">
        <f t="shared" si="14"/>
        <v>0</v>
      </c>
      <c r="Q36" s="153">
        <f t="shared" si="14"/>
        <v>0</v>
      </c>
    </row>
    <row r="37" spans="2:17" s="7" customFormat="1" ht="11.4" x14ac:dyDescent="0.25">
      <c r="H37" s="153"/>
      <c r="I37" s="153"/>
      <c r="J37" s="153"/>
    </row>
    <row r="38" spans="2:17" s="7" customFormat="1" ht="11.4" x14ac:dyDescent="0.25"/>
    <row r="39" spans="2:17" s="7" customFormat="1" ht="11.4" x14ac:dyDescent="0.25"/>
    <row r="40" spans="2:17" s="7" customFormat="1" ht="11.4" x14ac:dyDescent="0.25"/>
  </sheetData>
  <mergeCells count="1">
    <mergeCell ref="C3:Q3"/>
  </mergeCell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Q38"/>
  <sheetViews>
    <sheetView zoomScale="90" zoomScaleNormal="90" workbookViewId="0"/>
  </sheetViews>
  <sheetFormatPr defaultColWidth="9.109375" defaultRowHeight="13.2" outlineLevelRow="1" x14ac:dyDescent="0.25"/>
  <cols>
    <col min="1" max="1" width="2" style="18" customWidth="1"/>
    <col min="2" max="2" width="32.5546875" style="18" bestFit="1" customWidth="1"/>
    <col min="3" max="12" width="9.6640625" style="18" customWidth="1"/>
    <col min="13" max="16384" width="9.109375" style="18"/>
  </cols>
  <sheetData>
    <row r="1" spans="2:17" ht="15.6" x14ac:dyDescent="0.3">
      <c r="B1" s="17" t="s">
        <v>124</v>
      </c>
      <c r="C1" s="17"/>
    </row>
    <row r="2" spans="2:17" ht="15.6" x14ac:dyDescent="0.3">
      <c r="B2" s="17"/>
      <c r="C2" s="17"/>
    </row>
    <row r="3" spans="2:17" x14ac:dyDescent="0.25">
      <c r="C3" s="226" t="s">
        <v>244</v>
      </c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</row>
    <row r="4" spans="2:17" s="22" customFormat="1" ht="24" x14ac:dyDescent="0.25">
      <c r="B4" s="5" t="s">
        <v>247</v>
      </c>
      <c r="C4" s="6" t="s">
        <v>46</v>
      </c>
      <c r="D4" s="6" t="s">
        <v>47</v>
      </c>
      <c r="E4" s="6" t="s">
        <v>160</v>
      </c>
      <c r="F4" s="6" t="s">
        <v>333</v>
      </c>
      <c r="G4" s="6" t="s">
        <v>332</v>
      </c>
      <c r="H4" s="87" t="s">
        <v>178</v>
      </c>
      <c r="I4" s="87" t="s">
        <v>179</v>
      </c>
      <c r="J4" s="87" t="s">
        <v>180</v>
      </c>
      <c r="K4" s="87" t="s">
        <v>181</v>
      </c>
      <c r="L4" s="87" t="s">
        <v>256</v>
      </c>
      <c r="M4" s="87" t="s">
        <v>257</v>
      </c>
      <c r="N4" s="87" t="s">
        <v>258</v>
      </c>
      <c r="O4" s="87" t="s">
        <v>259</v>
      </c>
      <c r="P4" s="87" t="s">
        <v>260</v>
      </c>
      <c r="Q4" s="87" t="s">
        <v>337</v>
      </c>
    </row>
    <row r="5" spans="2:17" s="22" customFormat="1" ht="11.4" x14ac:dyDescent="0.2">
      <c r="B5" s="37" t="s">
        <v>43</v>
      </c>
      <c r="C5" s="133"/>
      <c r="D5" s="157">
        <f>'P&amp;L'!D9</f>
        <v>-667.3400000000006</v>
      </c>
      <c r="E5" s="157">
        <f>'P&amp;L'!E9</f>
        <v>-1632.0859999999989</v>
      </c>
      <c r="F5" s="157">
        <f>'P&amp;L'!F9</f>
        <v>-388.07299999999941</v>
      </c>
      <c r="G5" s="157">
        <f>'P&amp;L'!G9</f>
        <v>-69</v>
      </c>
      <c r="H5" s="144">
        <f>'P&amp;L'!H9</f>
        <v>3681.6140257289571</v>
      </c>
      <c r="I5" s="144">
        <f>'P&amp;L'!I9</f>
        <v>4475.7186163243023</v>
      </c>
      <c r="J5" s="144">
        <f>'P&amp;L'!J9</f>
        <v>5817.5086812901427</v>
      </c>
      <c r="K5" s="144">
        <f>'P&amp;L'!K9</f>
        <v>7223.5521229572041</v>
      </c>
      <c r="L5" s="144">
        <f>'P&amp;L'!L9</f>
        <v>8265.7549054129577</v>
      </c>
      <c r="M5" s="144">
        <f>'P&amp;L'!M9</f>
        <v>8769.5885504677863</v>
      </c>
      <c r="N5" s="144">
        <f>'P&amp;L'!N9</f>
        <v>9270.3435520484891</v>
      </c>
      <c r="O5" s="144">
        <f>'P&amp;L'!O9</f>
        <v>9770.0561893819358</v>
      </c>
      <c r="P5" s="144">
        <f>'P&amp;L'!P9</f>
        <v>10204.278660577855</v>
      </c>
      <c r="Q5" s="144">
        <f>'P&amp;L'!Q9</f>
        <v>10577.746545759224</v>
      </c>
    </row>
    <row r="6" spans="2:17" s="22" customFormat="1" ht="11.4" x14ac:dyDescent="0.2">
      <c r="B6" s="37" t="str">
        <f>CONCATENATE("Operating taxes (",(Drivers!$C$12*100),"%)")</f>
        <v>Operating taxes (21%)</v>
      </c>
      <c r="C6" s="134"/>
      <c r="D6" s="157">
        <f>'P&amp;L'!D12</f>
        <v>-26.698</v>
      </c>
      <c r="E6" s="157">
        <f>'P&amp;L'!E12</f>
        <v>-31.545999999999999</v>
      </c>
      <c r="F6" s="157">
        <f>'P&amp;L'!F12</f>
        <v>-57.837000000000003</v>
      </c>
      <c r="G6" s="108">
        <f>'P&amp;L'!G12</f>
        <v>-110</v>
      </c>
      <c r="H6" s="144">
        <f>IF(H5*Drivers!$C$12&gt;0,-H5*Drivers!$C$12,0)</f>
        <v>-773.13894540308092</v>
      </c>
      <c r="I6" s="144">
        <f>IF(I5*Drivers!$C$12&gt;0,-I5*Drivers!$C$12,0)</f>
        <v>-939.90090942810343</v>
      </c>
      <c r="J6" s="144">
        <f>IF(J5*Drivers!$C$12&gt;0,-J5*Drivers!$C$12,0)</f>
        <v>-1221.6768230709299</v>
      </c>
      <c r="K6" s="144">
        <f>IF(K5*Drivers!$C$12&gt;0,-K5*Drivers!$C$12,0)</f>
        <v>-1516.9459458210129</v>
      </c>
      <c r="L6" s="144">
        <f>IF(L5*Drivers!$C$12&gt;0,-L5*Drivers!$C$12,0)</f>
        <v>-1735.8085301367209</v>
      </c>
      <c r="M6" s="144">
        <f>IF(M5*Drivers!$C$12&gt;0,-M5*Drivers!$C$12,0)</f>
        <v>-1841.613595598235</v>
      </c>
      <c r="N6" s="144">
        <f>IF(N5*Drivers!$C$12&gt;0,-N5*Drivers!$C$12,0)</f>
        <v>-1946.7721459301827</v>
      </c>
      <c r="O6" s="144">
        <f>IF(O5*Drivers!$C$12&gt;0,-O5*Drivers!$C$12,0)</f>
        <v>-2051.7117997702067</v>
      </c>
      <c r="P6" s="144">
        <f>IF(P5*Drivers!$C$12&gt;0,-P5*Drivers!$C$12,0)</f>
        <v>-2142.8985187213493</v>
      </c>
      <c r="Q6" s="144">
        <f>IF(Q5*Drivers!$C$12&gt;0,-Q5*Drivers!$C$12,0)</f>
        <v>-2221.3267746094371</v>
      </c>
    </row>
    <row r="7" spans="2:17" s="22" customFormat="1" ht="12" x14ac:dyDescent="0.25">
      <c r="B7" s="35" t="s">
        <v>125</v>
      </c>
      <c r="C7" s="135"/>
      <c r="D7" s="158">
        <f>SUM(D5:D6)</f>
        <v>-694.03800000000058</v>
      </c>
      <c r="E7" s="158">
        <f>SUM(E5:E6)</f>
        <v>-1663.6319999999989</v>
      </c>
      <c r="F7" s="158">
        <f t="shared" ref="F7:G7" si="0">SUM(F5:F6)</f>
        <v>-445.9099999999994</v>
      </c>
      <c r="G7" s="159">
        <f t="shared" si="0"/>
        <v>-179</v>
      </c>
      <c r="H7" s="160">
        <f t="shared" ref="H7:Q7" si="1">SUM(H5:H6)</f>
        <v>2908.4750803258762</v>
      </c>
      <c r="I7" s="160">
        <f t="shared" si="1"/>
        <v>3535.8177068961986</v>
      </c>
      <c r="J7" s="160">
        <f t="shared" si="1"/>
        <v>4595.8318582192132</v>
      </c>
      <c r="K7" s="160">
        <f t="shared" si="1"/>
        <v>5706.606177136191</v>
      </c>
      <c r="L7" s="160">
        <f t="shared" si="1"/>
        <v>6529.9463752762367</v>
      </c>
      <c r="M7" s="160">
        <f t="shared" si="1"/>
        <v>6927.9749548695509</v>
      </c>
      <c r="N7" s="160">
        <f t="shared" si="1"/>
        <v>7323.5714061183062</v>
      </c>
      <c r="O7" s="160">
        <f t="shared" si="1"/>
        <v>7718.3443896117296</v>
      </c>
      <c r="P7" s="160">
        <f t="shared" si="1"/>
        <v>8061.3801418565054</v>
      </c>
      <c r="Q7" s="160">
        <f t="shared" si="1"/>
        <v>8356.4197711497873</v>
      </c>
    </row>
    <row r="8" spans="2:17" s="22" customFormat="1" ht="11.4" x14ac:dyDescent="0.2">
      <c r="B8" s="37" t="s">
        <v>139</v>
      </c>
      <c r="C8" s="133"/>
      <c r="D8" s="157">
        <f>-'PP&amp;E'!D9</f>
        <v>947</v>
      </c>
      <c r="E8" s="157">
        <f>-'PP&amp;E'!E9</f>
        <v>1636</v>
      </c>
      <c r="F8" s="157">
        <f>-'PP&amp;E'!F9</f>
        <v>1901</v>
      </c>
      <c r="G8" s="108">
        <f>-'PP&amp;E'!G9</f>
        <v>2154</v>
      </c>
      <c r="H8" s="144">
        <f>-'PP&amp;E'!H9</f>
        <v>2474.7044172998271</v>
      </c>
      <c r="I8" s="144">
        <f>-'PP&amp;E'!I9</f>
        <v>2356.3531946915268</v>
      </c>
      <c r="J8" s="144">
        <f>-'PP&amp;E'!J9</f>
        <v>2243.6620467955681</v>
      </c>
      <c r="K8" s="144">
        <f>-'PP&amp;E'!K9</f>
        <v>2136.3602840065273</v>
      </c>
      <c r="L8" s="144">
        <f>-'PP&amp;E'!L9</f>
        <v>2034.1901622835192</v>
      </c>
      <c r="M8" s="144">
        <f>-'PP&amp;E'!M9</f>
        <v>1936.9062640365055</v>
      </c>
      <c r="N8" s="144">
        <f>-'PP&amp;E'!N9</f>
        <v>1844.2749086213339</v>
      </c>
      <c r="O8" s="144">
        <f>-'PP&amp;E'!O9</f>
        <v>1756.0735910274916</v>
      </c>
      <c r="P8" s="144">
        <f>-'PP&amp;E'!P9</f>
        <v>1672.0904474102745</v>
      </c>
      <c r="Q8" s="144">
        <f>-'PP&amp;E'!Q9</f>
        <v>1725.8909819763733</v>
      </c>
    </row>
    <row r="9" spans="2:17" s="22" customFormat="1" ht="12" x14ac:dyDescent="0.25">
      <c r="B9" s="35" t="s">
        <v>159</v>
      </c>
      <c r="C9" s="135"/>
      <c r="D9" s="158">
        <f>SUM(D7:D8)</f>
        <v>252.96199999999942</v>
      </c>
      <c r="E9" s="158">
        <f>SUM(E7:E8)</f>
        <v>-27.631999999998925</v>
      </c>
      <c r="F9" s="158">
        <f>SUM(F7:F8)</f>
        <v>1455.0900000000006</v>
      </c>
      <c r="G9" s="159">
        <f>SUM(G7:G8)</f>
        <v>1975</v>
      </c>
      <c r="H9" s="160">
        <f t="shared" ref="H9:Q9" si="2">SUM(H7:H8)</f>
        <v>5383.1794976257033</v>
      </c>
      <c r="I9" s="160">
        <f t="shared" si="2"/>
        <v>5892.1709015877259</v>
      </c>
      <c r="J9" s="160">
        <f t="shared" si="2"/>
        <v>6839.4939050147814</v>
      </c>
      <c r="K9" s="160">
        <f t="shared" si="2"/>
        <v>7842.9664611427179</v>
      </c>
      <c r="L9" s="160">
        <f>SUM(L7:L8)</f>
        <v>8564.1365375597561</v>
      </c>
      <c r="M9" s="160">
        <f t="shared" si="2"/>
        <v>8864.8812189060554</v>
      </c>
      <c r="N9" s="160">
        <f t="shared" si="2"/>
        <v>9167.8463147396396</v>
      </c>
      <c r="O9" s="160">
        <f t="shared" si="2"/>
        <v>9474.4179806392203</v>
      </c>
      <c r="P9" s="160">
        <f t="shared" si="2"/>
        <v>9733.4705892667807</v>
      </c>
      <c r="Q9" s="160">
        <f t="shared" si="2"/>
        <v>10082.310753126161</v>
      </c>
    </row>
    <row r="10" spans="2:17" s="22" customFormat="1" ht="3.75" customHeight="1" x14ac:dyDescent="0.2">
      <c r="B10" s="37"/>
      <c r="C10" s="133"/>
      <c r="D10" s="157"/>
      <c r="E10" s="157"/>
      <c r="F10" s="157"/>
      <c r="G10" s="108"/>
      <c r="H10" s="144"/>
      <c r="I10" s="144"/>
      <c r="J10" s="144"/>
      <c r="K10" s="144"/>
      <c r="L10" s="144"/>
      <c r="M10" s="144"/>
      <c r="N10" s="144"/>
      <c r="O10" s="144"/>
      <c r="P10" s="144"/>
      <c r="Q10" s="144"/>
    </row>
    <row r="11" spans="2:17" s="22" customFormat="1" ht="11.4" x14ac:dyDescent="0.2">
      <c r="B11" s="37" t="s">
        <v>90</v>
      </c>
      <c r="C11" s="134"/>
      <c r="D11" s="157">
        <f>-('Balance Sheet'!D7-'Balance Sheet'!C7)</f>
        <v>-330.17700000000002</v>
      </c>
      <c r="E11" s="157">
        <f>-('Balance Sheet'!E7-'Balance Sheet'!D7)</f>
        <v>-16.238999999999976</v>
      </c>
      <c r="F11" s="157">
        <f>-('Balance Sheet'!F7-'Balance Sheet'!E7)</f>
        <v>-433.64100000000008</v>
      </c>
      <c r="G11" s="108">
        <f>-('Balance Sheet'!G7-'Balance Sheet'!F7)</f>
        <v>-374.97799999999995</v>
      </c>
      <c r="H11" s="144">
        <f>-('Balance Sheet'!H7-'Balance Sheet'!G7)</f>
        <v>-427.05577757911806</v>
      </c>
      <c r="I11" s="144">
        <f>-('Balance Sheet'!I7-'Balance Sheet'!H7)</f>
        <v>-575.35420618413718</v>
      </c>
      <c r="J11" s="144">
        <f>-('Balance Sheet'!J7-'Balance Sheet'!I7)</f>
        <v>-836.93260767248648</v>
      </c>
      <c r="K11" s="144">
        <f>-('Balance Sheet'!K7-'Balance Sheet'!J7)</f>
        <v>-905.16688997115807</v>
      </c>
      <c r="L11" s="144">
        <f>-('Balance Sheet'!L7-'Balance Sheet'!K7)</f>
        <v>-578.92275074341705</v>
      </c>
      <c r="M11" s="144">
        <f>-('Balance Sheet'!M7-'Balance Sheet'!L7)</f>
        <v>-333.03331221667668</v>
      </c>
      <c r="N11" s="144">
        <f>-('Balance Sheet'!N7-'Balance Sheet'!M7)</f>
        <v>-327.58360485074718</v>
      </c>
      <c r="O11" s="144">
        <f>-('Balance Sheet'!O7-'Balance Sheet'!N7)</f>
        <v>-334.00973742964834</v>
      </c>
      <c r="P11" s="144">
        <f>-('Balance Sheet'!P7-'Balance Sheet'!O7)</f>
        <v>-279.55347507161241</v>
      </c>
      <c r="Q11" s="144">
        <f>-('Balance Sheet'!Q7-'Balance Sheet'!P7)</f>
        <v>-253.23199167841449</v>
      </c>
    </row>
    <row r="12" spans="2:17" s="22" customFormat="1" ht="11.4" x14ac:dyDescent="0.2">
      <c r="B12" s="37" t="s">
        <v>9</v>
      </c>
      <c r="C12" s="134"/>
      <c r="D12" s="157">
        <f>-('Balance Sheet'!D8-'Balance Sheet'!C8)</f>
        <v>-789.61600000000021</v>
      </c>
      <c r="E12" s="157">
        <f>-('Balance Sheet'!E8-'Balance Sheet'!D8)</f>
        <v>-196.08299999999963</v>
      </c>
      <c r="F12" s="157">
        <f>-('Balance Sheet'!F8-'Balance Sheet'!E8)</f>
        <v>-849.90900000000011</v>
      </c>
      <c r="G12" s="108">
        <f>-('Balance Sheet'!G8-'Balance Sheet'!F8)</f>
        <v>-438.55400000000009</v>
      </c>
      <c r="H12" s="144">
        <f>-('Balance Sheet'!H8-'Balance Sheet'!G8)</f>
        <v>-4275.8631416870594</v>
      </c>
      <c r="I12" s="144">
        <f>-('Balance Sheet'!I8-'Balance Sheet'!H8)</f>
        <v>-2679.6582782563928</v>
      </c>
      <c r="J12" s="144">
        <f>-('Balance Sheet'!J8-'Balance Sheet'!I8)</f>
        <v>-3849.6018543933005</v>
      </c>
      <c r="K12" s="144">
        <f>-('Balance Sheet'!K8-'Balance Sheet'!J8)</f>
        <v>-4175.1452142524377</v>
      </c>
      <c r="L12" s="144">
        <f>-('Balance Sheet'!L8-'Balance Sheet'!K8)</f>
        <v>-2633.3100102701683</v>
      </c>
      <c r="M12" s="144">
        <f>-('Balance Sheet'!M8-'Balance Sheet'!L8)</f>
        <v>-1539.6310667989419</v>
      </c>
      <c r="N12" s="144">
        <f>-('Balance Sheet'!N8-'Balance Sheet'!M8)</f>
        <v>-1513.0990596937299</v>
      </c>
      <c r="O12" s="144">
        <f>-('Balance Sheet'!O8-'Balance Sheet'!N8)</f>
        <v>-1545.5947613323478</v>
      </c>
      <c r="P12" s="144">
        <f>-('Balance Sheet'!P8-'Balance Sheet'!O8)</f>
        <v>-1289.4657125870726</v>
      </c>
      <c r="Q12" s="144">
        <f>-('Balance Sheet'!Q8-'Balance Sheet'!P8)</f>
        <v>-1173.2007718448913</v>
      </c>
    </row>
    <row r="13" spans="2:17" s="22" customFormat="1" ht="11.4" x14ac:dyDescent="0.2">
      <c r="B13" s="37" t="s">
        <v>20</v>
      </c>
      <c r="C13" s="134"/>
      <c r="D13" s="157">
        <f>'Balance Sheet'!D19-'Balance Sheet'!C19</f>
        <v>944.19299999999987</v>
      </c>
      <c r="E13" s="157">
        <f>'Balance Sheet'!E19-'Balance Sheet'!D19</f>
        <v>529.90900000000011</v>
      </c>
      <c r="F13" s="157">
        <f>'Balance Sheet'!F19-'Balance Sheet'!E19</f>
        <v>1014.201</v>
      </c>
      <c r="G13" s="108">
        <f>'Balance Sheet'!G19-'Balance Sheet'!F19</f>
        <v>366.54899999999998</v>
      </c>
      <c r="H13" s="144">
        <f>'Balance Sheet'!H19-'Balance Sheet'!G19</f>
        <v>3338.3116498347044</v>
      </c>
      <c r="I13" s="144">
        <f>'Balance Sheet'!I19-'Balance Sheet'!H19</f>
        <v>2433.6815131234416</v>
      </c>
      <c r="J13" s="144">
        <f>'Balance Sheet'!J19-'Balance Sheet'!I19</f>
        <v>3496.2311955757104</v>
      </c>
      <c r="K13" s="144">
        <f>'Balance Sheet'!K19-'Balance Sheet'!J19</f>
        <v>3791.8916023663787</v>
      </c>
      <c r="L13" s="144">
        <f>'Balance Sheet'!L19-'Balance Sheet'!K19</f>
        <v>2391.5877417352604</v>
      </c>
      <c r="M13" s="144">
        <f>'Balance Sheet'!M19-'Balance Sheet'!L19</f>
        <v>1398.3020501917163</v>
      </c>
      <c r="N13" s="144">
        <f>'Balance Sheet'!N19-'Balance Sheet'!M19</f>
        <v>1374.2055242570568</v>
      </c>
      <c r="O13" s="144">
        <f>'Balance Sheet'!O19-'Balance Sheet'!N19</f>
        <v>1403.7183128747674</v>
      </c>
      <c r="P13" s="144">
        <f>'Balance Sheet'!P19-'Balance Sheet'!O19</f>
        <v>1171.1003944023978</v>
      </c>
      <c r="Q13" s="144">
        <f>'Balance Sheet'!Q19-'Balance Sheet'!P19</f>
        <v>1065.5078868783567</v>
      </c>
    </row>
    <row r="14" spans="2:17" s="22" customFormat="1" ht="12" x14ac:dyDescent="0.25">
      <c r="B14" s="36" t="s">
        <v>126</v>
      </c>
      <c r="C14" s="136"/>
      <c r="D14" s="161">
        <f>SUM(D11:D13)</f>
        <v>-175.60000000000025</v>
      </c>
      <c r="E14" s="161">
        <f t="shared" ref="E14:Q14" si="3">SUM(E11:E13)</f>
        <v>317.5870000000005</v>
      </c>
      <c r="F14" s="161">
        <f t="shared" si="3"/>
        <v>-269.34900000000016</v>
      </c>
      <c r="G14" s="162">
        <f t="shared" si="3"/>
        <v>-446.98300000000006</v>
      </c>
      <c r="H14" s="163">
        <f t="shared" si="3"/>
        <v>-1364.6072694314735</v>
      </c>
      <c r="I14" s="163">
        <f t="shared" si="3"/>
        <v>-821.33097131708837</v>
      </c>
      <c r="J14" s="163">
        <f t="shared" si="3"/>
        <v>-1190.3032664900766</v>
      </c>
      <c r="K14" s="163">
        <f t="shared" si="3"/>
        <v>-1288.4205018572175</v>
      </c>
      <c r="L14" s="163">
        <f>SUM(L11:L13)</f>
        <v>-820.64501927832498</v>
      </c>
      <c r="M14" s="163">
        <f t="shared" si="3"/>
        <v>-474.36232882390232</v>
      </c>
      <c r="N14" s="163">
        <f t="shared" si="3"/>
        <v>-466.4771402874203</v>
      </c>
      <c r="O14" s="163">
        <f t="shared" si="3"/>
        <v>-475.88618588722875</v>
      </c>
      <c r="P14" s="163">
        <f t="shared" si="3"/>
        <v>-397.91879325628724</v>
      </c>
      <c r="Q14" s="163">
        <f t="shared" si="3"/>
        <v>-360.92487664494911</v>
      </c>
    </row>
    <row r="15" spans="2:17" s="22" customFormat="1" ht="3.75" customHeight="1" x14ac:dyDescent="0.25">
      <c r="B15" s="38"/>
      <c r="C15" s="134"/>
      <c r="D15" s="157"/>
      <c r="E15" s="157"/>
      <c r="F15" s="157"/>
      <c r="G15" s="108"/>
      <c r="H15" s="144"/>
      <c r="I15" s="144"/>
      <c r="J15" s="144"/>
      <c r="K15" s="144"/>
      <c r="L15" s="144"/>
      <c r="M15" s="144"/>
      <c r="N15" s="144"/>
      <c r="O15" s="144"/>
      <c r="P15" s="144"/>
      <c r="Q15" s="144"/>
    </row>
    <row r="16" spans="2:17" s="22" customFormat="1" ht="11.4" x14ac:dyDescent="0.2">
      <c r="B16" s="40" t="s">
        <v>81</v>
      </c>
      <c r="C16" s="134"/>
      <c r="D16" s="157">
        <f>-'PP&amp;E'!D8</f>
        <v>-3526.6230000000005</v>
      </c>
      <c r="E16" s="157">
        <f>-'PP&amp;E'!E8</f>
        <v>-5680.5650000000005</v>
      </c>
      <c r="F16" s="157">
        <f>-'PP&amp;E'!F8</f>
        <v>-3203.5549999999985</v>
      </c>
      <c r="G16" s="108">
        <f>-'PP&amp;E'!G8</f>
        <v>-1219.9230000000007</v>
      </c>
      <c r="H16" s="144">
        <f>-'PP&amp;E'!H8</f>
        <v>-1977.5220864991363</v>
      </c>
      <c r="I16" s="144">
        <f>-'PP&amp;E'!I8</f>
        <v>-1882.9483042583242</v>
      </c>
      <c r="J16" s="144">
        <f>-'PP&amp;E'!J8</f>
        <v>-1792.8974552117329</v>
      </c>
      <c r="K16" s="144">
        <f>-'PP&amp;E'!K8</f>
        <v>-1707.1532328503636</v>
      </c>
      <c r="L16" s="144">
        <f>-'PP&amp;E'!L8</f>
        <v>-1625.5096753914872</v>
      </c>
      <c r="M16" s="144">
        <f>-'PP&amp;E'!M8</f>
        <v>-1547.7706710484501</v>
      </c>
      <c r="N16" s="144">
        <f>-'PP&amp;E'!N8</f>
        <v>-1473.7494869606455</v>
      </c>
      <c r="O16" s="144">
        <f>-'PP&amp;E'!O8</f>
        <v>-1403.2683206521217</v>
      </c>
      <c r="P16" s="144">
        <f>-'PP&amp;E'!P8</f>
        <v>-1336.1578729414066</v>
      </c>
      <c r="Q16" s="144">
        <f>-'PP&amp;E'!Q8</f>
        <v>-1941.0931202407698</v>
      </c>
    </row>
    <row r="17" spans="2:17" s="22" customFormat="1" ht="11.4" x14ac:dyDescent="0.2">
      <c r="B17" s="40" t="s">
        <v>18</v>
      </c>
      <c r="C17" s="134"/>
      <c r="D17" s="157">
        <f>-('Balance Sheet'!D6-'Balance Sheet'!C6)-('Balance Sheet'!D9-'Balance Sheet'!C9)-('Balance Sheet'!D11-'Balance Sheet'!C11)-('Balance Sheet'!D12-'Balance Sheet'!C12)-('Balance Sheet'!D14-'Balance Sheet'!C14)-('Balance Sheet'!D15-'Balance Sheet'!C15)</f>
        <v>-8700.4130000000005</v>
      </c>
      <c r="E17" s="157">
        <f>-('Balance Sheet'!E6-'Balance Sheet'!D6)-('Balance Sheet'!E9-'Balance Sheet'!D9)-('Balance Sheet'!E11-'Balance Sheet'!D11)-('Balance Sheet'!E12-'Balance Sheet'!D12)-('Balance Sheet'!E14-'Balance Sheet'!D14)-('Balance Sheet'!E15-'Balance Sheet'!D15)</f>
        <v>-1759.7109999999998</v>
      </c>
      <c r="F17" s="157">
        <f>-('Balance Sheet'!F6-'Balance Sheet'!E6)-('Balance Sheet'!F9-'Balance Sheet'!E9)-('Balance Sheet'!F11-'Balance Sheet'!E11)-('Balance Sheet'!F12-'Balance Sheet'!E12)-('Balance Sheet'!F14-'Balance Sheet'!E14)-('Balance Sheet'!F15-'Balance Sheet'!E15)</f>
        <v>1819.5670000000005</v>
      </c>
      <c r="G17" s="108">
        <f>-('Balance Sheet'!G6-'Balance Sheet'!F6)-('Balance Sheet'!G9-'Balance Sheet'!F9)-('Balance Sheet'!G11-'Balance Sheet'!F11)-('Balance Sheet'!G12-'Balance Sheet'!F12)-('Balance Sheet'!G14-'Balance Sheet'!F14)-('Balance Sheet'!G15-'Balance Sheet'!F15)</f>
        <v>-2107.5490000000004</v>
      </c>
      <c r="H17" s="144">
        <f>-('Balance Sheet'!H6-'Balance Sheet'!G6)-('Balance Sheet'!H9-'Balance Sheet'!G9)-('Balance Sheet'!H11-'Balance Sheet'!G11)-('Balance Sheet'!H12-'Balance Sheet'!G12)-('Balance Sheet'!H14-'Balance Sheet'!G14)-('Balance Sheet'!H15-'Balance Sheet'!G15)</f>
        <v>-1111.2089060240564</v>
      </c>
      <c r="I17" s="144">
        <f>-('Balance Sheet'!I6-'Balance Sheet'!H6)-('Balance Sheet'!I9-'Balance Sheet'!H9)-('Balance Sheet'!I11-'Balance Sheet'!H11)-('Balance Sheet'!I12-'Balance Sheet'!H12)-('Balance Sheet'!I14-'Balance Sheet'!H14)-('Balance Sheet'!I15-'Balance Sheet'!H15)</f>
        <v>-1147.4546434680092</v>
      </c>
      <c r="J17" s="144">
        <f>-('Balance Sheet'!J6-'Balance Sheet'!I6)-('Balance Sheet'!J9-'Balance Sheet'!I9)-('Balance Sheet'!J11-'Balance Sheet'!I11)-('Balance Sheet'!J12-'Balance Sheet'!I12)-('Balance Sheet'!J14-'Balance Sheet'!I14)-('Balance Sheet'!J15-'Balance Sheet'!I15)</f>
        <v>-1669.1321565419046</v>
      </c>
      <c r="K17" s="144">
        <f>-('Balance Sheet'!K6-'Balance Sheet'!J6)-('Balance Sheet'!K9-'Balance Sheet'!J9)-('Balance Sheet'!K11-'Balance Sheet'!J11)-('Balance Sheet'!K12-'Balance Sheet'!J12)-('Balance Sheet'!K14-'Balance Sheet'!J14)-('Balance Sheet'!K15-'Balance Sheet'!J15)</f>
        <v>-1805.214839567011</v>
      </c>
      <c r="L17" s="144">
        <f>-('Balance Sheet'!L6-'Balance Sheet'!K6)-('Balance Sheet'!L9-'Balance Sheet'!K9)-('Balance Sheet'!L11-'Balance Sheet'!K11)-('Balance Sheet'!L12-'Balance Sheet'!K12)-('Balance Sheet'!L14-'Balance Sheet'!K14)-('Balance Sheet'!L15-'Balance Sheet'!K15)</f>
        <v>-1154.5715515933966</v>
      </c>
      <c r="M17" s="144">
        <f>-('Balance Sheet'!M6-'Balance Sheet'!L6)-('Balance Sheet'!M9-'Balance Sheet'!L9)-('Balance Sheet'!M11-'Balance Sheet'!L11)-('Balance Sheet'!M12-'Balance Sheet'!L12)-('Balance Sheet'!M14-'Balance Sheet'!L14)-('Balance Sheet'!M15-'Balance Sheet'!L15)</f>
        <v>-664.18323951603543</v>
      </c>
      <c r="N17" s="144">
        <f>-('Balance Sheet'!N6-'Balance Sheet'!M6)-('Balance Sheet'!N9-'Balance Sheet'!M9)-('Balance Sheet'!N11-'Balance Sheet'!M11)-('Balance Sheet'!N12-'Balance Sheet'!M12)-('Balance Sheet'!N14-'Balance Sheet'!M14)-('Balance Sheet'!N15-'Balance Sheet'!M15)</f>
        <v>-653.31464421358578</v>
      </c>
      <c r="O17" s="144">
        <f>-('Balance Sheet'!O6-'Balance Sheet'!N6)-('Balance Sheet'!O9-'Balance Sheet'!N9)-('Balance Sheet'!O11-'Balance Sheet'!N11)-('Balance Sheet'!O12-'Balance Sheet'!N12)-('Balance Sheet'!O14-'Balance Sheet'!N14)-('Balance Sheet'!O15-'Balance Sheet'!N15)</f>
        <v>-666.13056801834136</v>
      </c>
      <c r="P17" s="144">
        <f>-('Balance Sheet'!P6-'Balance Sheet'!O6)-('Balance Sheet'!P9-'Balance Sheet'!O9)-('Balance Sheet'!P11-'Balance Sheet'!O11)-('Balance Sheet'!P12-'Balance Sheet'!O12)-('Balance Sheet'!P14-'Balance Sheet'!O14)-('Balance Sheet'!P15-'Balance Sheet'!O15)</f>
        <v>-557.52600679845727</v>
      </c>
      <c r="Q17" s="144">
        <f>-('Balance Sheet'!Q6-'Balance Sheet'!P6)-('Balance Sheet'!Q9-'Balance Sheet'!P9)-('Balance Sheet'!Q11-'Balance Sheet'!P11)-('Balance Sheet'!Q12-'Balance Sheet'!P12)-('Balance Sheet'!Q14-'Balance Sheet'!P14)-('Balance Sheet'!Q15-'Balance Sheet'!P15)</f>
        <v>-505.03189444495729</v>
      </c>
    </row>
    <row r="18" spans="2:17" s="22" customFormat="1" ht="11.4" x14ac:dyDescent="0.2">
      <c r="B18" s="37" t="s">
        <v>133</v>
      </c>
      <c r="C18" s="134"/>
      <c r="D18" s="157">
        <f>('Balance Sheet'!D20-'Balance Sheet'!C20)+('Balance Sheet'!D22-'Balance Sheet'!C22)+('Balance Sheet'!D24-'Balance Sheet'!C24)+('Balance Sheet'!D26-'Balance Sheet'!C26)+('Balance Sheet'!D29-'Balance Sheet'!C29)</f>
        <v>5002.3220000000001</v>
      </c>
      <c r="E18" s="157">
        <f>('Balance Sheet'!E20-'Balance Sheet'!D20)+('Balance Sheet'!E22-'Balance Sheet'!D22)+('Balance Sheet'!E24-'Balance Sheet'!D24)+('Balance Sheet'!E26-'Balance Sheet'!D26)+('Balance Sheet'!E29-'Balance Sheet'!D29)</f>
        <v>2396.8959999999993</v>
      </c>
      <c r="F18" s="157">
        <f>('Balance Sheet'!F20-'Balance Sheet'!E20)+('Balance Sheet'!F22-'Balance Sheet'!E22)+('Balance Sheet'!F24-'Balance Sheet'!E24)+('Balance Sheet'!F26-'Balance Sheet'!E26)+('Balance Sheet'!F29-'Balance Sheet'!E29)</f>
        <v>-2212.1329999999994</v>
      </c>
      <c r="G18" s="108">
        <f>('Balance Sheet'!G20-'Balance Sheet'!F20)+('Balance Sheet'!G22-'Balance Sheet'!F22)+('Balance Sheet'!G24-'Balance Sheet'!F24)+('Balance Sheet'!G26-'Balance Sheet'!F26)+('Balance Sheet'!G29-'Balance Sheet'!F29)</f>
        <v>1045.848</v>
      </c>
      <c r="H18" s="144">
        <f>('Balance Sheet'!H20-'Balance Sheet'!G20)+('Balance Sheet'!H22-'Balance Sheet'!G22)+('Balance Sheet'!H24-'Balance Sheet'!G24)+('Balance Sheet'!H26-'Balance Sheet'!G26)+('Balance Sheet'!H29-'Balance Sheet'!G29)</f>
        <v>6325.081756679223</v>
      </c>
      <c r="I18" s="144">
        <f>('Balance Sheet'!I20-'Balance Sheet'!H20)+('Balance Sheet'!I22-'Balance Sheet'!H22)+('Balance Sheet'!I24-'Balance Sheet'!H24)+('Balance Sheet'!I26-'Balance Sheet'!H26)+('Balance Sheet'!I29-'Balance Sheet'!H29)</f>
        <v>5249.6792557699591</v>
      </c>
      <c r="J18" s="144">
        <f>('Balance Sheet'!J20-'Balance Sheet'!I20)+('Balance Sheet'!J22-'Balance Sheet'!I22)+('Balance Sheet'!J24-'Balance Sheet'!I24)+('Balance Sheet'!J26-'Balance Sheet'!I26)+('Balance Sheet'!J29-'Balance Sheet'!I29)</f>
        <v>7636.387640433044</v>
      </c>
      <c r="K18" s="144">
        <f>('Balance Sheet'!K20-'Balance Sheet'!J20)+('Balance Sheet'!K22-'Balance Sheet'!J22)+('Balance Sheet'!K24-'Balance Sheet'!J24)+('Balance Sheet'!K26-'Balance Sheet'!J26)+('Balance Sheet'!K29-'Balance Sheet'!J29)</f>
        <v>8258.9747223827835</v>
      </c>
      <c r="L18" s="144">
        <f>('Balance Sheet'!L20-'Balance Sheet'!K20)+('Balance Sheet'!L22-'Balance Sheet'!K22)+('Balance Sheet'!L24-'Balance Sheet'!K24)+('Balance Sheet'!L26-'Balance Sheet'!K26)+('Balance Sheet'!L29-'Balance Sheet'!K29)</f>
        <v>5282.2395710414603</v>
      </c>
      <c r="M18" s="144">
        <f>('Balance Sheet'!M20-'Balance Sheet'!L20)+('Balance Sheet'!M22-'Balance Sheet'!L22)+('Balance Sheet'!M24-'Balance Sheet'!L24)+('Balance Sheet'!M26-'Balance Sheet'!L26)+('Balance Sheet'!M29-'Balance Sheet'!L29)</f>
        <v>3038.6813059375031</v>
      </c>
      <c r="N18" s="144">
        <f>('Balance Sheet'!N20-'Balance Sheet'!M20)+('Balance Sheet'!N22-'Balance Sheet'!M22)+('Balance Sheet'!N24-'Balance Sheet'!M24)+('Balance Sheet'!N26-'Balance Sheet'!M26)+('Balance Sheet'!N29-'Balance Sheet'!M29)</f>
        <v>2988.9567790261985</v>
      </c>
      <c r="O18" s="144">
        <f>('Balance Sheet'!O20-'Balance Sheet'!N20)+('Balance Sheet'!O22-'Balance Sheet'!N22)+('Balance Sheet'!O24-'Balance Sheet'!N24)+('Balance Sheet'!O26-'Balance Sheet'!N26)+('Balance Sheet'!O29-'Balance Sheet'!N29)</f>
        <v>3047.5904598643406</v>
      </c>
      <c r="P18" s="144">
        <f>('Balance Sheet'!P20-'Balance Sheet'!O20)+('Balance Sheet'!P22-'Balance Sheet'!O22)+('Balance Sheet'!P24-'Balance Sheet'!O24)+('Balance Sheet'!P26-'Balance Sheet'!O26)+('Balance Sheet'!P29-'Balance Sheet'!O29)</f>
        <v>2550.7175635249641</v>
      </c>
      <c r="Q18" s="144">
        <f>('Balance Sheet'!Q20-'Balance Sheet'!P20)+('Balance Sheet'!Q22-'Balance Sheet'!P22)+('Balance Sheet'!Q24-'Balance Sheet'!P24)+('Balance Sheet'!Q26-'Balance Sheet'!P26)+('Balance Sheet'!Q29-'Balance Sheet'!P29)</f>
        <v>2310.5536021509924</v>
      </c>
    </row>
    <row r="19" spans="2:17" s="22" customFormat="1" ht="3.75" customHeight="1" x14ac:dyDescent="0.2">
      <c r="B19" s="37"/>
      <c r="C19" s="134"/>
      <c r="D19" s="164"/>
      <c r="E19" s="164"/>
      <c r="F19" s="164"/>
      <c r="G19" s="165"/>
      <c r="H19" s="166"/>
      <c r="I19" s="166"/>
      <c r="J19" s="166"/>
      <c r="K19" s="166"/>
      <c r="L19" s="166"/>
      <c r="M19" s="166"/>
      <c r="N19" s="166"/>
      <c r="O19" s="166"/>
      <c r="P19" s="166"/>
      <c r="Q19" s="166"/>
    </row>
    <row r="20" spans="2:17" s="22" customFormat="1" ht="12.6" thickBot="1" x14ac:dyDescent="0.3">
      <c r="B20" s="39" t="s">
        <v>127</v>
      </c>
      <c r="C20" s="137"/>
      <c r="D20" s="167">
        <f>D9+D14+D17+D18+D16</f>
        <v>-7147.3520000000017</v>
      </c>
      <c r="E20" s="167">
        <f>E9+E14+E17+E18+E16</f>
        <v>-4753.4249999999993</v>
      </c>
      <c r="F20" s="168">
        <f>F9+F14+F17+F18+F16</f>
        <v>-2410.3799999999969</v>
      </c>
      <c r="G20" s="169">
        <f t="shared" ref="G20:K20" si="4">G9+G14+G17+G18+G16</f>
        <v>-753.60700000000134</v>
      </c>
      <c r="H20" s="169">
        <f>H9+H14+H17+H18+H16</f>
        <v>7254.9229923502598</v>
      </c>
      <c r="I20" s="169">
        <f>I9+I14+I17+I18+I16</f>
        <v>7290.1162383142628</v>
      </c>
      <c r="J20" s="169">
        <f t="shared" si="4"/>
        <v>9823.5486672041116</v>
      </c>
      <c r="K20" s="169">
        <f t="shared" si="4"/>
        <v>11301.152609250908</v>
      </c>
      <c r="L20" s="169">
        <f t="shared" ref="L20:Q20" si="5">L9+L14+L17+L18+L16</f>
        <v>10245.649862338007</v>
      </c>
      <c r="M20" s="169">
        <f t="shared" si="5"/>
        <v>9217.2462854551686</v>
      </c>
      <c r="N20" s="169">
        <f t="shared" si="5"/>
        <v>9563.2618223041864</v>
      </c>
      <c r="O20" s="169">
        <f t="shared" si="5"/>
        <v>9976.7233659458689</v>
      </c>
      <c r="P20" s="169">
        <f t="shared" si="5"/>
        <v>9992.5854797955926</v>
      </c>
      <c r="Q20" s="169">
        <f t="shared" si="5"/>
        <v>9585.8144639464772</v>
      </c>
    </row>
    <row r="21" spans="2:17" s="22" customFormat="1" ht="3.75" customHeight="1" x14ac:dyDescent="0.2">
      <c r="B21" s="37"/>
      <c r="C21" s="139"/>
      <c r="D21" s="164"/>
      <c r="E21" s="164"/>
      <c r="F21" s="164"/>
      <c r="G21" s="165"/>
      <c r="H21" s="166"/>
      <c r="I21" s="166"/>
      <c r="J21" s="166"/>
      <c r="K21" s="166"/>
      <c r="L21" s="166"/>
      <c r="M21" s="166"/>
      <c r="N21" s="166"/>
      <c r="O21" s="166"/>
      <c r="P21" s="166"/>
      <c r="Q21" s="166"/>
    </row>
    <row r="22" spans="2:17" s="22" customFormat="1" ht="11.4" x14ac:dyDescent="0.2">
      <c r="B22" s="37" t="s">
        <v>128</v>
      </c>
      <c r="C22" s="139"/>
      <c r="D22" s="157">
        <f>'P&amp;L'!D10</f>
        <v>-79.007999999999996</v>
      </c>
      <c r="E22" s="157">
        <f>'P&amp;L'!E10</f>
        <v>-576.94600000000003</v>
      </c>
      <c r="F22" s="157">
        <f>'P&amp;L'!F10</f>
        <v>-616.67200000000003</v>
      </c>
      <c r="G22" s="108">
        <f>'P&amp;L'!G10</f>
        <v>-596</v>
      </c>
      <c r="H22" s="144">
        <f>'P&amp;L'!H10</f>
        <v>-503.05416000000002</v>
      </c>
      <c r="I22" s="144">
        <f>'P&amp;L'!I10</f>
        <v>-503.05416000000002</v>
      </c>
      <c r="J22" s="144">
        <f>'P&amp;L'!J10</f>
        <v>-503.05416000000002</v>
      </c>
      <c r="K22" s="144">
        <f>'P&amp;L'!K10</f>
        <v>-503.05416000000002</v>
      </c>
      <c r="L22" s="144">
        <f>'P&amp;L'!L10</f>
        <v>-503.05416000000002</v>
      </c>
      <c r="M22" s="144">
        <f>'P&amp;L'!M10</f>
        <v>-503.05416000000002</v>
      </c>
      <c r="N22" s="144">
        <f>'P&amp;L'!N10</f>
        <v>-503.05416000000002</v>
      </c>
      <c r="O22" s="144">
        <f>'P&amp;L'!O10</f>
        <v>-503.05416000000002</v>
      </c>
      <c r="P22" s="144">
        <f>'P&amp;L'!P10</f>
        <v>-503.05416000000002</v>
      </c>
      <c r="Q22" s="144">
        <f>'P&amp;L'!Q10</f>
        <v>-503.05416000000002</v>
      </c>
    </row>
    <row r="23" spans="2:17" s="22" customFormat="1" ht="11.4" x14ac:dyDescent="0.2">
      <c r="B23" s="37" t="s">
        <v>129</v>
      </c>
      <c r="C23" s="139"/>
      <c r="D23" s="157">
        <f>'Balance Sheet'!D28-'Balance Sheet'!C28</f>
        <v>4195.24</v>
      </c>
      <c r="E23" s="157">
        <f>'Balance Sheet'!E28-'Balance Sheet'!D28</f>
        <v>3367.9889999999996</v>
      </c>
      <c r="F23" s="157">
        <f>'Balance Sheet'!F28-'Balance Sheet'!E28</f>
        <v>1759.1219999999994</v>
      </c>
      <c r="G23" s="108">
        <f>'Balance Sheet'!G28-'Balance Sheet'!F28</f>
        <v>1447.6290000000008</v>
      </c>
      <c r="H23" s="144">
        <f>'Balance Sheet'!H28-'Balance Sheet'!G28</f>
        <v>0</v>
      </c>
      <c r="I23" s="144">
        <f>'Balance Sheet'!I28-'Balance Sheet'!H28</f>
        <v>0</v>
      </c>
      <c r="J23" s="144">
        <f>'Balance Sheet'!J28-'Balance Sheet'!I28</f>
        <v>0</v>
      </c>
      <c r="K23" s="144">
        <f>'Balance Sheet'!K28-'Balance Sheet'!J28</f>
        <v>0</v>
      </c>
      <c r="L23" s="144">
        <f>'Balance Sheet'!L28-'Balance Sheet'!K28</f>
        <v>0</v>
      </c>
      <c r="M23" s="144">
        <f>'Balance Sheet'!M28-'Balance Sheet'!L28</f>
        <v>0</v>
      </c>
      <c r="N23" s="144">
        <f>'Balance Sheet'!N28-'Balance Sheet'!M28</f>
        <v>0</v>
      </c>
      <c r="O23" s="144">
        <f>'Balance Sheet'!O28-'Balance Sheet'!N28</f>
        <v>0</v>
      </c>
      <c r="P23" s="144">
        <f>'Balance Sheet'!P28-'Balance Sheet'!O28</f>
        <v>0</v>
      </c>
      <c r="Q23" s="144">
        <f>'Balance Sheet'!Q28-'Balance Sheet'!P28</f>
        <v>0</v>
      </c>
    </row>
    <row r="24" spans="2:17" s="22" customFormat="1" ht="11.4" x14ac:dyDescent="0.2">
      <c r="B24" s="37" t="s">
        <v>135</v>
      </c>
      <c r="C24" s="139"/>
      <c r="D24" s="157">
        <f>'Balance Sheet'!D32-'Balance Sheet'!C32-'P&amp;L'!D14</f>
        <v>5129.2960000000012</v>
      </c>
      <c r="E24" s="157">
        <f>'Balance Sheet'!E32-'Balance Sheet'!D32-'P&amp;L'!E14</f>
        <v>1657.9019999999982</v>
      </c>
      <c r="F24" s="157">
        <f>'Balance Sheet'!F32-'Balance Sheet'!E32-'P&amp;L'!F14</f>
        <v>1499.143</v>
      </c>
      <c r="G24" s="108">
        <f>'Balance Sheet'!G32-'Balance Sheet'!F32-'P&amp;L'!G14</f>
        <v>2571.3599999999997</v>
      </c>
      <c r="H24" s="144">
        <f>'Balance Sheet'!H32-'Balance Sheet'!G32-'P&amp;L'!H14</f>
        <v>0</v>
      </c>
      <c r="I24" s="144">
        <f>'Balance Sheet'!I32-'Balance Sheet'!H32-'P&amp;L'!I14</f>
        <v>0</v>
      </c>
      <c r="J24" s="144">
        <f>'Balance Sheet'!J32-'Balance Sheet'!I32-'P&amp;L'!J14</f>
        <v>0</v>
      </c>
      <c r="K24" s="144">
        <f>'Balance Sheet'!K32-'Balance Sheet'!J32-'P&amp;L'!K14</f>
        <v>0</v>
      </c>
      <c r="L24" s="144">
        <f>'Balance Sheet'!L32-'Balance Sheet'!K32-'P&amp;L'!L14</f>
        <v>0</v>
      </c>
      <c r="M24" s="144">
        <f>'Balance Sheet'!M32-'Balance Sheet'!L32-'P&amp;L'!M14</f>
        <v>0</v>
      </c>
      <c r="N24" s="144">
        <f>'Balance Sheet'!N32-'Balance Sheet'!M32-'P&amp;L'!N14</f>
        <v>0</v>
      </c>
      <c r="O24" s="144">
        <f>'Balance Sheet'!O32-'Balance Sheet'!N32-'P&amp;L'!O14</f>
        <v>0</v>
      </c>
      <c r="P24" s="144">
        <f>'Balance Sheet'!P32-'Balance Sheet'!O32-'P&amp;L'!P14</f>
        <v>0</v>
      </c>
      <c r="Q24" s="144">
        <f>'Balance Sheet'!Q32-'Balance Sheet'!P32-'P&amp;L'!Q14</f>
        <v>0</v>
      </c>
    </row>
    <row r="25" spans="2:17" s="22" customFormat="1" ht="11.4" x14ac:dyDescent="0.2">
      <c r="B25" s="37" t="s">
        <v>138</v>
      </c>
      <c r="C25" s="139"/>
      <c r="D25" s="157">
        <f>'P&amp;L'!D12-D6</f>
        <v>0</v>
      </c>
      <c r="E25" s="157">
        <f>'P&amp;L'!E12-E6</f>
        <v>0</v>
      </c>
      <c r="F25" s="157">
        <f>'P&amp;L'!F12-F6</f>
        <v>0</v>
      </c>
      <c r="G25" s="108">
        <f>'P&amp;L'!G12-G6</f>
        <v>0</v>
      </c>
      <c r="H25" s="144">
        <f>'P&amp;L'!H12-H6</f>
        <v>105.64137359999995</v>
      </c>
      <c r="I25" s="144">
        <f>'P&amp;L'!I12-I6</f>
        <v>105.64137360000007</v>
      </c>
      <c r="J25" s="144">
        <f>'P&amp;L'!J12-J6</f>
        <v>105.64137359999995</v>
      </c>
      <c r="K25" s="144">
        <f>'P&amp;L'!K12-K6</f>
        <v>105.64137359999995</v>
      </c>
      <c r="L25" s="144">
        <f>'P&amp;L'!L12-L6</f>
        <v>105.64137359999972</v>
      </c>
      <c r="M25" s="144">
        <f>'P&amp;L'!M12-M6</f>
        <v>105.64137359999972</v>
      </c>
      <c r="N25" s="144">
        <f>'P&amp;L'!N12-N6</f>
        <v>105.64137359999995</v>
      </c>
      <c r="O25" s="144">
        <f>'P&amp;L'!O12-O6</f>
        <v>105.64137360000018</v>
      </c>
      <c r="P25" s="144">
        <f>'P&amp;L'!P12-P6</f>
        <v>105.64137359999995</v>
      </c>
      <c r="Q25" s="144">
        <f>'P&amp;L'!Q12-Q6</f>
        <v>105.64137359999995</v>
      </c>
    </row>
    <row r="26" spans="2:17" s="22" customFormat="1" ht="11.4" x14ac:dyDescent="0.2">
      <c r="B26" s="37" t="s">
        <v>250</v>
      </c>
      <c r="C26" s="139"/>
      <c r="D26" s="157">
        <f>'P&amp;L'!D13</f>
        <v>98.132000000000005</v>
      </c>
      <c r="E26" s="157">
        <f>'P&amp;L'!E13</f>
        <v>279.178</v>
      </c>
      <c r="F26" s="157">
        <f>'P&amp;L'!F13</f>
        <v>86.491</v>
      </c>
      <c r="G26" s="157">
        <f>'P&amp;L'!G13</f>
        <v>-87</v>
      </c>
      <c r="H26" s="144">
        <f>'P&amp;L'!H13</f>
        <v>0</v>
      </c>
      <c r="I26" s="144">
        <f>'P&amp;L'!I13</f>
        <v>0</v>
      </c>
      <c r="J26" s="144">
        <f>'P&amp;L'!J13</f>
        <v>0</v>
      </c>
      <c r="K26" s="144">
        <f>'P&amp;L'!K13</f>
        <v>0</v>
      </c>
      <c r="L26" s="144">
        <f>'P&amp;L'!L13</f>
        <v>0</v>
      </c>
      <c r="M26" s="144">
        <f>'P&amp;L'!M13</f>
        <v>0</v>
      </c>
      <c r="N26" s="144">
        <f>'P&amp;L'!N13</f>
        <v>0</v>
      </c>
      <c r="O26" s="144">
        <f>'P&amp;L'!O13</f>
        <v>0</v>
      </c>
      <c r="P26" s="144">
        <f>'P&amp;L'!P13</f>
        <v>0</v>
      </c>
      <c r="Q26" s="144">
        <f>'P&amp;L'!Q13</f>
        <v>0</v>
      </c>
    </row>
    <row r="27" spans="2:17" s="22" customFormat="1" ht="3.75" customHeight="1" x14ac:dyDescent="0.2">
      <c r="B27" s="37"/>
      <c r="C27" s="139"/>
      <c r="D27" s="164"/>
      <c r="E27" s="164"/>
      <c r="F27" s="164"/>
      <c r="G27" s="165"/>
      <c r="H27" s="166"/>
      <c r="I27" s="166"/>
      <c r="J27" s="166"/>
      <c r="K27" s="166"/>
      <c r="L27" s="166"/>
      <c r="M27" s="166"/>
      <c r="N27" s="166"/>
      <c r="O27" s="166"/>
      <c r="P27" s="166"/>
      <c r="Q27" s="166"/>
    </row>
    <row r="28" spans="2:17" s="22" customFormat="1" ht="12.6" thickBot="1" x14ac:dyDescent="0.3">
      <c r="B28" s="39" t="s">
        <v>130</v>
      </c>
      <c r="C28" s="138"/>
      <c r="D28" s="167">
        <f>SUM(D20:D27)</f>
        <v>2196.3079999999995</v>
      </c>
      <c r="E28" s="167">
        <f t="shared" ref="E28:Q28" si="6">SUM(E20:E27)</f>
        <v>-25.302000000001385</v>
      </c>
      <c r="F28" s="167">
        <f t="shared" si="6"/>
        <v>317.70400000000245</v>
      </c>
      <c r="G28" s="169">
        <f t="shared" si="6"/>
        <v>2582.3819999999992</v>
      </c>
      <c r="H28" s="169">
        <f t="shared" si="6"/>
        <v>6857.5102059502606</v>
      </c>
      <c r="I28" s="169">
        <f t="shared" si="6"/>
        <v>6892.7034519142635</v>
      </c>
      <c r="J28" s="169">
        <f t="shared" si="6"/>
        <v>9426.1358808041114</v>
      </c>
      <c r="K28" s="169">
        <f t="shared" si="6"/>
        <v>10903.739822850908</v>
      </c>
      <c r="L28" s="169">
        <f t="shared" si="6"/>
        <v>9848.2370759380065</v>
      </c>
      <c r="M28" s="169">
        <f t="shared" si="6"/>
        <v>8819.8334990551684</v>
      </c>
      <c r="N28" s="169">
        <f t="shared" si="6"/>
        <v>9165.8490359041862</v>
      </c>
      <c r="O28" s="169">
        <f t="shared" si="6"/>
        <v>9579.3105795458687</v>
      </c>
      <c r="P28" s="169">
        <f t="shared" si="6"/>
        <v>9595.1726933955924</v>
      </c>
      <c r="Q28" s="169">
        <f t="shared" si="6"/>
        <v>9188.401677546477</v>
      </c>
    </row>
    <row r="30" spans="2:17" x14ac:dyDescent="0.25">
      <c r="B30" s="34" t="s">
        <v>131</v>
      </c>
      <c r="C30" s="34"/>
      <c r="D30" s="34">
        <f>C32</f>
        <v>1196.9079999999999</v>
      </c>
      <c r="E30" s="34">
        <f t="shared" ref="E30:Q30" si="7">D32</f>
        <v>3393.2159999999994</v>
      </c>
      <c r="F30" s="34">
        <f t="shared" si="7"/>
        <v>3367.9139999999979</v>
      </c>
      <c r="G30" s="34">
        <f t="shared" si="7"/>
        <v>3685.6180000000004</v>
      </c>
      <c r="H30" s="34">
        <f>G32</f>
        <v>6268</v>
      </c>
      <c r="I30" s="34">
        <f t="shared" si="7"/>
        <v>13125.510205950261</v>
      </c>
      <c r="J30" s="34">
        <f t="shared" si="7"/>
        <v>20018.213657864522</v>
      </c>
      <c r="K30" s="34">
        <f t="shared" si="7"/>
        <v>29444.349538668634</v>
      </c>
      <c r="L30" s="34">
        <f t="shared" si="7"/>
        <v>40348.089361519538</v>
      </c>
      <c r="M30" s="34">
        <f t="shared" si="7"/>
        <v>50196.326437457545</v>
      </c>
      <c r="N30" s="34">
        <f t="shared" si="7"/>
        <v>59016.159936512711</v>
      </c>
      <c r="O30" s="34">
        <f t="shared" si="7"/>
        <v>68182.008972416894</v>
      </c>
      <c r="P30" s="34">
        <f t="shared" si="7"/>
        <v>77761.319551962762</v>
      </c>
      <c r="Q30" s="34">
        <f t="shared" si="7"/>
        <v>87356.492245358357</v>
      </c>
    </row>
    <row r="31" spans="2:17" x14ac:dyDescent="0.25">
      <c r="B31" s="34" t="s">
        <v>130</v>
      </c>
      <c r="C31" s="34">
        <f t="shared" ref="C31:I31" si="8">C28</f>
        <v>0</v>
      </c>
      <c r="D31" s="34">
        <f>D28</f>
        <v>2196.3079999999995</v>
      </c>
      <c r="E31" s="34">
        <f t="shared" si="8"/>
        <v>-25.302000000001385</v>
      </c>
      <c r="F31" s="34">
        <f t="shared" si="8"/>
        <v>317.70400000000245</v>
      </c>
      <c r="G31" s="34">
        <f t="shared" si="8"/>
        <v>2582.3819999999992</v>
      </c>
      <c r="H31" s="34">
        <f t="shared" si="8"/>
        <v>6857.5102059502606</v>
      </c>
      <c r="I31" s="34">
        <f t="shared" si="8"/>
        <v>6892.7034519142635</v>
      </c>
      <c r="J31" s="34">
        <f t="shared" ref="J31:Q31" si="9">J28</f>
        <v>9426.1358808041114</v>
      </c>
      <c r="K31" s="34">
        <f t="shared" si="9"/>
        <v>10903.739822850908</v>
      </c>
      <c r="L31" s="34">
        <f t="shared" si="9"/>
        <v>9848.2370759380065</v>
      </c>
      <c r="M31" s="34">
        <f t="shared" si="9"/>
        <v>8819.8334990551684</v>
      </c>
      <c r="N31" s="34">
        <f t="shared" si="9"/>
        <v>9165.8490359041862</v>
      </c>
      <c r="O31" s="34">
        <f t="shared" si="9"/>
        <v>9579.3105795458687</v>
      </c>
      <c r="P31" s="34">
        <f t="shared" si="9"/>
        <v>9595.1726933955924</v>
      </c>
      <c r="Q31" s="34">
        <f t="shared" si="9"/>
        <v>9188.401677546477</v>
      </c>
    </row>
    <row r="32" spans="2:17" x14ac:dyDescent="0.25">
      <c r="B32" s="34" t="s">
        <v>132</v>
      </c>
      <c r="C32" s="34">
        <f>'Balance Sheet'!C5</f>
        <v>1196.9079999999999</v>
      </c>
      <c r="D32" s="34">
        <f>D30+D31</f>
        <v>3393.2159999999994</v>
      </c>
      <c r="E32" s="34">
        <f t="shared" ref="E32:L32" si="10">E30+E31</f>
        <v>3367.9139999999979</v>
      </c>
      <c r="F32" s="34">
        <f t="shared" si="10"/>
        <v>3685.6180000000004</v>
      </c>
      <c r="G32" s="34">
        <f t="shared" si="10"/>
        <v>6268</v>
      </c>
      <c r="H32" s="34">
        <f t="shared" si="10"/>
        <v>13125.510205950261</v>
      </c>
      <c r="I32" s="34">
        <f t="shared" si="10"/>
        <v>20018.213657864522</v>
      </c>
      <c r="J32" s="34">
        <f t="shared" si="10"/>
        <v>29444.349538668634</v>
      </c>
      <c r="K32" s="34">
        <f t="shared" si="10"/>
        <v>40348.089361519538</v>
      </c>
      <c r="L32" s="34">
        <f t="shared" si="10"/>
        <v>50196.326437457545</v>
      </c>
      <c r="M32" s="34">
        <f>M30+M31</f>
        <v>59016.159936512711</v>
      </c>
      <c r="N32" s="34">
        <f>N30+N31</f>
        <v>68182.008972416894</v>
      </c>
      <c r="O32" s="34">
        <f>O30+O31</f>
        <v>77761.319551962762</v>
      </c>
      <c r="P32" s="34">
        <f>P30+P31</f>
        <v>87356.492245358357</v>
      </c>
      <c r="Q32" s="34">
        <f>Q30+Q31</f>
        <v>96544.893922904826</v>
      </c>
    </row>
    <row r="33" spans="2:17" x14ac:dyDescent="0.25"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</row>
    <row r="34" spans="2:17" outlineLevel="1" x14ac:dyDescent="0.25">
      <c r="B34" s="185" t="s">
        <v>114</v>
      </c>
      <c r="C34" s="185">
        <f>'Balance Sheet'!C5-C32</f>
        <v>0</v>
      </c>
      <c r="D34" s="185">
        <f>'Balance Sheet'!D5-D32</f>
        <v>0</v>
      </c>
      <c r="E34" s="185">
        <f>'Balance Sheet'!E5-E32</f>
        <v>0</v>
      </c>
      <c r="F34" s="185">
        <f>'Balance Sheet'!F5-F32</f>
        <v>0</v>
      </c>
      <c r="G34" s="185">
        <f>'Balance Sheet'!G5-G32</f>
        <v>0</v>
      </c>
      <c r="H34" s="185">
        <f>'Balance Sheet'!H5-H32</f>
        <v>0</v>
      </c>
      <c r="I34" s="185">
        <f>'Balance Sheet'!I5-I32</f>
        <v>0</v>
      </c>
      <c r="J34" s="185">
        <f>'Balance Sheet'!J5-J32</f>
        <v>0</v>
      </c>
      <c r="K34" s="185">
        <f>'Balance Sheet'!K5-K32</f>
        <v>0</v>
      </c>
      <c r="L34" s="185">
        <f>'Balance Sheet'!L5-L32</f>
        <v>0</v>
      </c>
      <c r="M34" s="185">
        <f>'Balance Sheet'!M5-M32</f>
        <v>0</v>
      </c>
      <c r="N34" s="185">
        <f>'Balance Sheet'!N5-N32</f>
        <v>0</v>
      </c>
      <c r="O34" s="185">
        <f>'Balance Sheet'!O5-O32</f>
        <v>0</v>
      </c>
      <c r="P34" s="185">
        <f>'Balance Sheet'!P5-P32</f>
        <v>0</v>
      </c>
      <c r="Q34" s="185">
        <f>'Balance Sheet'!Q5-Q32</f>
        <v>0</v>
      </c>
    </row>
    <row r="38" spans="2:17" x14ac:dyDescent="0.25">
      <c r="B38" s="7"/>
    </row>
  </sheetData>
  <mergeCells count="1">
    <mergeCell ref="C3:Q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36"/>
  <sheetViews>
    <sheetView tabSelected="1" topLeftCell="B1" workbookViewId="0"/>
  </sheetViews>
  <sheetFormatPr defaultColWidth="9.109375" defaultRowHeight="13.2" x14ac:dyDescent="0.2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546875" style="1" customWidth="1"/>
    <col min="7" max="7" width="11.44140625" style="1" bestFit="1" customWidth="1"/>
    <col min="8" max="8" width="10.33203125" style="1" bestFit="1" customWidth="1"/>
    <col min="9" max="9" width="9.109375" style="1"/>
    <col min="10" max="10" width="10.33203125" style="1" bestFit="1" customWidth="1"/>
    <col min="11" max="11" width="9.109375" style="1"/>
    <col min="12" max="13" width="10.33203125" style="1" bestFit="1" customWidth="1"/>
    <col min="14" max="16384" width="9.109375" style="1"/>
  </cols>
  <sheetData>
    <row r="1" spans="2:13" ht="15.6" x14ac:dyDescent="0.25">
      <c r="B1" s="2" t="s">
        <v>161</v>
      </c>
    </row>
    <row r="3" spans="2:13" ht="24" x14ac:dyDescent="0.25">
      <c r="B3" s="5" t="s">
        <v>37</v>
      </c>
      <c r="C3" s="6" t="s">
        <v>46</v>
      </c>
      <c r="D3" s="6" t="s">
        <v>47</v>
      </c>
      <c r="E3" s="6" t="s">
        <v>160</v>
      </c>
      <c r="F3" s="6" t="s">
        <v>333</v>
      </c>
      <c r="G3" s="6" t="s">
        <v>332</v>
      </c>
    </row>
    <row r="4" spans="2:13" x14ac:dyDescent="0.25">
      <c r="B4" s="7" t="s">
        <v>79</v>
      </c>
      <c r="C4" s="67">
        <v>3740973</v>
      </c>
      <c r="D4" s="67">
        <v>6350766</v>
      </c>
      <c r="E4" s="67">
        <v>9641300</v>
      </c>
      <c r="F4" s="67">
        <v>18514983</v>
      </c>
      <c r="G4" s="67">
        <v>20821000</v>
      </c>
      <c r="H4" s="197"/>
      <c r="J4" s="195"/>
      <c r="K4" s="195"/>
      <c r="L4" s="195"/>
      <c r="M4" s="195"/>
    </row>
    <row r="5" spans="2:13" x14ac:dyDescent="0.25">
      <c r="B5" s="7" t="s">
        <v>3</v>
      </c>
      <c r="C5" s="67">
        <v>14477</v>
      </c>
      <c r="D5" s="67">
        <v>181394</v>
      </c>
      <c r="E5" s="67">
        <v>1116266</v>
      </c>
      <c r="F5" s="67">
        <v>1555244</v>
      </c>
      <c r="G5" s="67">
        <v>1531000</v>
      </c>
    </row>
    <row r="6" spans="2:13" x14ac:dyDescent="0.25">
      <c r="B6" s="7" t="s">
        <v>2</v>
      </c>
      <c r="C6" s="67">
        <v>290575</v>
      </c>
      <c r="D6" s="67">
        <v>467972</v>
      </c>
      <c r="E6" s="67">
        <v>1001185</v>
      </c>
      <c r="F6" s="67">
        <v>1391041</v>
      </c>
      <c r="G6" s="67">
        <v>2226000</v>
      </c>
    </row>
    <row r="7" spans="2:13" x14ac:dyDescent="0.25">
      <c r="B7" s="8" t="s">
        <v>0</v>
      </c>
      <c r="C7" s="69">
        <f>SUM(C4:C6)</f>
        <v>4046025</v>
      </c>
      <c r="D7" s="69">
        <f>SUM(D4:D6)</f>
        <v>7000132</v>
      </c>
      <c r="E7" s="69">
        <f>SUM(E4:E6)</f>
        <v>11758751</v>
      </c>
      <c r="F7" s="69">
        <f>SUM(F4:F6)</f>
        <v>21461268</v>
      </c>
      <c r="G7" s="69">
        <f>SUM(G4:G6)</f>
        <v>24578000</v>
      </c>
    </row>
    <row r="8" spans="2:13" x14ac:dyDescent="0.25">
      <c r="B8" s="7" t="s">
        <v>42</v>
      </c>
      <c r="C8" s="67">
        <v>-2823302</v>
      </c>
      <c r="D8" s="67">
        <v>-4750081</v>
      </c>
      <c r="E8" s="67">
        <v>-7432704</v>
      </c>
      <c r="F8" s="67">
        <v>-14173997</v>
      </c>
      <c r="G8" s="67">
        <v>-16398000</v>
      </c>
    </row>
    <row r="9" spans="2:13" x14ac:dyDescent="0.25">
      <c r="B9" s="7" t="s">
        <v>40</v>
      </c>
      <c r="C9" s="67">
        <v>-12287</v>
      </c>
      <c r="D9" s="67">
        <v>-178332</v>
      </c>
      <c r="E9" s="67">
        <v>-874538</v>
      </c>
      <c r="F9" s="67">
        <v>-1364896</v>
      </c>
      <c r="G9" s="67">
        <v>-1341000</v>
      </c>
      <c r="I9" s="195"/>
      <c r="J9" s="195"/>
    </row>
    <row r="10" spans="2:13" x14ac:dyDescent="0.25">
      <c r="B10" s="7" t="s">
        <v>41</v>
      </c>
      <c r="C10" s="67">
        <v>-286933</v>
      </c>
      <c r="D10" s="67">
        <v>-472462</v>
      </c>
      <c r="E10" s="67">
        <v>-1229022</v>
      </c>
      <c r="F10" s="67">
        <v>-1880354</v>
      </c>
      <c r="G10" s="67">
        <v>-2770000</v>
      </c>
      <c r="I10" s="195"/>
      <c r="J10" s="195"/>
    </row>
    <row r="11" spans="2:13" x14ac:dyDescent="0.25">
      <c r="B11" s="8" t="s">
        <v>1</v>
      </c>
      <c r="C11" s="69">
        <f>SUM(C7:C10)</f>
        <v>923503</v>
      </c>
      <c r="D11" s="69">
        <f>SUM(D7:D10)</f>
        <v>1599257</v>
      </c>
      <c r="E11" s="69">
        <f>SUM(E7:E10)</f>
        <v>2222487</v>
      </c>
      <c r="F11" s="69">
        <f>SUM(F7:F10)</f>
        <v>4042021</v>
      </c>
      <c r="G11" s="69">
        <f>SUM(G7:G10)</f>
        <v>4069000</v>
      </c>
    </row>
    <row r="12" spans="2:13" x14ac:dyDescent="0.25">
      <c r="B12" s="7" t="s">
        <v>4</v>
      </c>
      <c r="C12" s="67">
        <v>-717900</v>
      </c>
      <c r="D12" s="67">
        <v>-834408</v>
      </c>
      <c r="E12" s="67">
        <v>-1378073</v>
      </c>
      <c r="F12" s="67">
        <v>-1460370</v>
      </c>
      <c r="G12" s="67">
        <v>-1343000</v>
      </c>
    </row>
    <row r="13" spans="2:13" x14ac:dyDescent="0.25">
      <c r="B13" s="7" t="s">
        <v>33</v>
      </c>
      <c r="C13" s="67">
        <v>-922232</v>
      </c>
      <c r="D13" s="67">
        <v>-1432189</v>
      </c>
      <c r="E13" s="67">
        <v>-2476500</v>
      </c>
      <c r="F13" s="67">
        <v>-2834491</v>
      </c>
      <c r="G13" s="67">
        <v>-2646000</v>
      </c>
    </row>
    <row r="14" spans="2:13" x14ac:dyDescent="0.25">
      <c r="B14" s="7" t="s">
        <v>164</v>
      </c>
      <c r="C14" s="67"/>
      <c r="D14" s="67"/>
      <c r="E14" s="67"/>
      <c r="F14" s="67">
        <v>-135233</v>
      </c>
      <c r="G14" s="67">
        <v>-149000</v>
      </c>
    </row>
    <row r="15" spans="2:13" x14ac:dyDescent="0.25">
      <c r="B15" s="8" t="s">
        <v>43</v>
      </c>
      <c r="C15" s="69">
        <f>SUM(C11:C14)</f>
        <v>-716629</v>
      </c>
      <c r="D15" s="69">
        <f>SUM(D11:D14)</f>
        <v>-667340</v>
      </c>
      <c r="E15" s="69">
        <f>SUM(E11:E14)</f>
        <v>-1632086</v>
      </c>
      <c r="F15" s="69">
        <f>SUM(F11:F14)</f>
        <v>-388073</v>
      </c>
      <c r="G15" s="69">
        <f>SUM(G11:G14)</f>
        <v>-69000</v>
      </c>
    </row>
    <row r="16" spans="2:13" x14ac:dyDescent="0.25">
      <c r="B16" s="7" t="s">
        <v>34</v>
      </c>
      <c r="C16" s="67">
        <v>1508</v>
      </c>
      <c r="D16" s="67">
        <v>8530</v>
      </c>
      <c r="E16" s="67">
        <v>19686</v>
      </c>
      <c r="F16" s="67">
        <v>24533</v>
      </c>
      <c r="G16" s="67">
        <v>44000</v>
      </c>
    </row>
    <row r="17" spans="2:7" x14ac:dyDescent="0.25">
      <c r="B17" s="7" t="s">
        <v>5</v>
      </c>
      <c r="C17" s="67">
        <v>-118851</v>
      </c>
      <c r="D17" s="67">
        <v>-198810</v>
      </c>
      <c r="E17" s="67">
        <v>-471259</v>
      </c>
      <c r="F17" s="67">
        <v>-663071</v>
      </c>
      <c r="G17" s="67">
        <v>-685000</v>
      </c>
    </row>
    <row r="18" spans="2:7" x14ac:dyDescent="0.25">
      <c r="B18" s="7" t="s">
        <v>35</v>
      </c>
      <c r="C18" s="67">
        <v>-41652</v>
      </c>
      <c r="D18" s="67">
        <v>111272</v>
      </c>
      <c r="E18" s="67">
        <v>-125373</v>
      </c>
      <c r="F18" s="67">
        <v>21866</v>
      </c>
      <c r="G18" s="67">
        <v>45000</v>
      </c>
    </row>
    <row r="19" spans="2:7" x14ac:dyDescent="0.25">
      <c r="B19" s="8" t="s">
        <v>44</v>
      </c>
      <c r="C19" s="69">
        <f>SUM(C15:C18)</f>
        <v>-875624</v>
      </c>
      <c r="D19" s="69">
        <f>SUM(D15:D18)</f>
        <v>-746348</v>
      </c>
      <c r="E19" s="69">
        <f>SUM(E15:E18)</f>
        <v>-2209032</v>
      </c>
      <c r="F19" s="69">
        <f>SUM(F15:F18)</f>
        <v>-1004745</v>
      </c>
      <c r="G19" s="69">
        <f>SUM(G15:G18)</f>
        <v>-665000</v>
      </c>
    </row>
    <row r="20" spans="2:7" x14ac:dyDescent="0.25">
      <c r="B20" s="7" t="s">
        <v>6</v>
      </c>
      <c r="C20" s="67">
        <v>-13039</v>
      </c>
      <c r="D20" s="67">
        <v>-26698</v>
      </c>
      <c r="E20" s="67">
        <v>-31546</v>
      </c>
      <c r="F20" s="67">
        <v>-57837</v>
      </c>
      <c r="G20" s="67">
        <v>-110000</v>
      </c>
    </row>
    <row r="21" spans="2:7" x14ac:dyDescent="0.25">
      <c r="B21" s="8" t="s">
        <v>57</v>
      </c>
      <c r="C21" s="69">
        <f>SUM(C19:C20)</f>
        <v>-888663</v>
      </c>
      <c r="D21" s="69">
        <f>SUM(D19:D20)</f>
        <v>-773046</v>
      </c>
      <c r="E21" s="69">
        <f>SUM(E19:E20)</f>
        <v>-2240578</v>
      </c>
      <c r="F21" s="69">
        <f>SUM(F19:F20)</f>
        <v>-1062582</v>
      </c>
      <c r="G21" s="69">
        <f>SUM(G19:G20)</f>
        <v>-775000</v>
      </c>
    </row>
    <row r="22" spans="2:7" s="3" customFormat="1" x14ac:dyDescent="0.25">
      <c r="B22" s="7" t="s">
        <v>58</v>
      </c>
      <c r="C22" s="67">
        <v>0</v>
      </c>
      <c r="D22" s="67">
        <v>98132</v>
      </c>
      <c r="E22" s="67">
        <v>279178</v>
      </c>
      <c r="F22" s="67">
        <v>86491</v>
      </c>
      <c r="G22" s="67">
        <v>-87000</v>
      </c>
    </row>
    <row r="23" spans="2:7" s="3" customFormat="1" ht="13.8" thickBot="1" x14ac:dyDescent="0.3">
      <c r="B23" s="9" t="s">
        <v>36</v>
      </c>
      <c r="C23" s="71">
        <f>SUM(C21:C22)</f>
        <v>-888663</v>
      </c>
      <c r="D23" s="71">
        <f>SUM(D21:D22)</f>
        <v>-674914</v>
      </c>
      <c r="E23" s="71">
        <f>SUM(E21:E22)</f>
        <v>-1961400</v>
      </c>
      <c r="F23" s="71">
        <f>SUM(F21:F22)</f>
        <v>-976091</v>
      </c>
      <c r="G23" s="71">
        <f>SUM(G21:G22)</f>
        <v>-862000</v>
      </c>
    </row>
    <row r="25" spans="2:7" x14ac:dyDescent="0.2">
      <c r="B25" s="66" t="s">
        <v>165</v>
      </c>
      <c r="C25" s="65"/>
      <c r="D25" s="65"/>
      <c r="E25" s="65"/>
      <c r="F25" s="65"/>
      <c r="G25" s="65"/>
    </row>
    <row r="26" spans="2:7" x14ac:dyDescent="0.2">
      <c r="B26" s="65" t="s">
        <v>317</v>
      </c>
      <c r="C26" s="72"/>
      <c r="D26" s="72">
        <f t="shared" ref="D26:D28" si="0">D4/C4-1</f>
        <v>0.69762412078355007</v>
      </c>
      <c r="E26" s="72">
        <f t="shared" ref="E26:G28" si="1">E4/D4-1</f>
        <v>0.51813182850698647</v>
      </c>
      <c r="F26" s="72">
        <f t="shared" si="1"/>
        <v>0.92038241730886905</v>
      </c>
      <c r="G26" s="72">
        <f t="shared" si="1"/>
        <v>0.12454869658805512</v>
      </c>
    </row>
    <row r="27" spans="2:7" x14ac:dyDescent="0.2">
      <c r="B27" s="65" t="s">
        <v>318</v>
      </c>
      <c r="C27" s="72"/>
      <c r="D27" s="72">
        <f t="shared" si="0"/>
        <v>11.529805899012226</v>
      </c>
      <c r="E27" s="72">
        <f t="shared" si="1"/>
        <v>5.1538198617374338</v>
      </c>
      <c r="F27" s="72">
        <f t="shared" si="1"/>
        <v>0.39325572936916475</v>
      </c>
      <c r="G27" s="72">
        <f>G5/F5-1</f>
        <v>-1.5588550735447293E-2</v>
      </c>
    </row>
    <row r="28" spans="2:7" x14ac:dyDescent="0.2">
      <c r="B28" s="65" t="s">
        <v>319</v>
      </c>
      <c r="C28" s="72"/>
      <c r="D28" s="72">
        <f t="shared" si="0"/>
        <v>0.61050331239783184</v>
      </c>
      <c r="E28" s="72">
        <f t="shared" si="1"/>
        <v>1.1394121870539262</v>
      </c>
      <c r="F28" s="72">
        <f t="shared" si="1"/>
        <v>0.38939456743758649</v>
      </c>
      <c r="G28" s="72">
        <f t="shared" si="1"/>
        <v>0.60024039550236119</v>
      </c>
    </row>
    <row r="29" spans="2:7" x14ac:dyDescent="0.2">
      <c r="B29" s="65" t="s">
        <v>59</v>
      </c>
      <c r="C29" s="72">
        <f t="shared" ref="C29:F29" si="2">(C4+C8)/C4</f>
        <v>0.24530275946926108</v>
      </c>
      <c r="D29" s="72">
        <f t="shared" si="2"/>
        <v>0.2520459736667986</v>
      </c>
      <c r="E29" s="72">
        <f t="shared" si="2"/>
        <v>0.2290765768101812</v>
      </c>
      <c r="F29" s="72">
        <f t="shared" si="2"/>
        <v>0.23445800625363794</v>
      </c>
      <c r="G29" s="72">
        <f>(G4+G8)/G4</f>
        <v>0.21242975841698286</v>
      </c>
    </row>
    <row r="30" spans="2:7" x14ac:dyDescent="0.2">
      <c r="B30" s="65" t="s">
        <v>60</v>
      </c>
      <c r="C30" s="72">
        <f t="shared" ref="C30:F30" si="3">(C5+C9)/C5</f>
        <v>0.15127443531118326</v>
      </c>
      <c r="D30" s="72">
        <f t="shared" si="3"/>
        <v>1.688038193104513E-2</v>
      </c>
      <c r="E30" s="72">
        <f t="shared" si="3"/>
        <v>0.21655053544585251</v>
      </c>
      <c r="F30" s="72">
        <f t="shared" si="3"/>
        <v>0.12239108461437562</v>
      </c>
      <c r="G30" s="72">
        <f t="shared" ref="G30:G31" si="4">(G5+G9)/G5</f>
        <v>0.12410189418680601</v>
      </c>
    </row>
    <row r="31" spans="2:7" x14ac:dyDescent="0.2">
      <c r="B31" s="65" t="s">
        <v>61</v>
      </c>
      <c r="C31" s="72">
        <f t="shared" ref="C31:F31" si="5">(C6+C10)/C6</f>
        <v>1.2533769250623763E-2</v>
      </c>
      <c r="D31" s="72">
        <f t="shared" si="5"/>
        <v>-9.5945911293838088E-3</v>
      </c>
      <c r="E31" s="72">
        <f>(E6+E10)/E6</f>
        <v>-0.22756733271073779</v>
      </c>
      <c r="F31" s="72">
        <f t="shared" si="5"/>
        <v>-0.35176030037935618</v>
      </c>
      <c r="G31" s="72">
        <f t="shared" si="4"/>
        <v>-0.24438454627133874</v>
      </c>
    </row>
    <row r="32" spans="2:7" x14ac:dyDescent="0.2">
      <c r="B32" s="65" t="s">
        <v>62</v>
      </c>
      <c r="C32" s="72">
        <f>(SUM(C4:C6)+SUM(C8:C10))/SUM(C4:C6)</f>
        <v>0.22824945471172323</v>
      </c>
      <c r="D32" s="72">
        <f>(SUM(D4:D6)+SUM(D8:D10))/SUM(D4:D6)</f>
        <v>0.22846097759299397</v>
      </c>
      <c r="E32" s="72">
        <f>(SUM(E4:E6)+SUM(E8:E10))/SUM(E4:E6)</f>
        <v>0.18900706376042831</v>
      </c>
      <c r="F32" s="72">
        <f>(SUM(F4:F6)+SUM(F8:F10))/SUM(F4:F6)</f>
        <v>0.18834026954977684</v>
      </c>
      <c r="G32" s="72">
        <f>(SUM(G4:G6)+SUM(G8:G10))/SUM(G4:G6)</f>
        <v>0.1655545609895028</v>
      </c>
    </row>
    <row r="33" spans="2:7" x14ac:dyDescent="0.2">
      <c r="B33" s="65" t="s">
        <v>56</v>
      </c>
      <c r="C33" s="72">
        <f>C15/C7</f>
        <v>-0.17711927138364197</v>
      </c>
      <c r="D33" s="72">
        <f>D15/D7</f>
        <v>-9.533248801594027E-2</v>
      </c>
      <c r="E33" s="72">
        <f>E15/E7</f>
        <v>-0.13879756446921956</v>
      </c>
      <c r="F33" s="72">
        <f>F15/F7</f>
        <v>-1.8082482358451512E-2</v>
      </c>
      <c r="G33" s="72">
        <f>G15/G7</f>
        <v>-2.8073887216209618E-3</v>
      </c>
    </row>
    <row r="34" spans="2:7" x14ac:dyDescent="0.2">
      <c r="B34" s="65" t="s">
        <v>63</v>
      </c>
      <c r="C34" s="72">
        <f>C23/C7</f>
        <v>-0.21963853411681836</v>
      </c>
      <c r="D34" s="72">
        <f>D23/D7</f>
        <v>-9.6414467612896446E-2</v>
      </c>
      <c r="E34" s="72">
        <f>E23/E7</f>
        <v>-0.16680343005817538</v>
      </c>
      <c r="F34" s="72">
        <f>F23/F7</f>
        <v>-4.5481515817238756E-2</v>
      </c>
      <c r="G34" s="72">
        <f>G23/G7</f>
        <v>-3.5072015623728539E-2</v>
      </c>
    </row>
    <row r="35" spans="2:7" x14ac:dyDescent="0.2">
      <c r="B35" s="65" t="s">
        <v>54</v>
      </c>
      <c r="C35" s="72">
        <f>C23/'Balance Sheet Input'!C18</f>
        <v>-0.11014746145205113</v>
      </c>
      <c r="D35" s="72">
        <f>D23/'Balance Sheet Input'!D18</f>
        <v>-2.9779021214012873E-2</v>
      </c>
      <c r="E35" s="72">
        <f>E23/'Balance Sheet Input'!E18</f>
        <v>-6.8447898704647764E-2</v>
      </c>
      <c r="F35" s="72">
        <f>F23/'Balance Sheet Input'!F18</f>
        <v>-3.2821239710777682E-2</v>
      </c>
      <c r="G35" s="72">
        <f>G23/'Balance Sheet Input'!G18</f>
        <v>-2.5124602873881487E-2</v>
      </c>
    </row>
    <row r="36" spans="2:7" x14ac:dyDescent="0.2">
      <c r="B36" s="65" t="s">
        <v>55</v>
      </c>
      <c r="C36" s="72">
        <f>C23/'Balance Sheet Input'!C32</f>
        <v>-0.82002373341798129</v>
      </c>
      <c r="D36" s="72">
        <f>D23/'Balance Sheet Input'!D32</f>
        <v>-0.1420001342335255</v>
      </c>
      <c r="E36" s="72">
        <f>E23/'Balance Sheet Input'!E32</f>
        <v>-0.46289544000555077</v>
      </c>
      <c r="F36" s="72">
        <f>F23/'Balance Sheet Input'!F32</f>
        <v>-0.19826179613722095</v>
      </c>
      <c r="G36" s="72">
        <f>G23/'Balance Sheet Input'!G32</f>
        <v>-0.13025083106678756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howOutlineSymbols="0"/>
  </sheetPr>
  <dimension ref="A1:Q22"/>
  <sheetViews>
    <sheetView showOutlineSymbols="0" workbookViewId="0">
      <selection activeCell="F18" sqref="F18"/>
    </sheetView>
  </sheetViews>
  <sheetFormatPr defaultColWidth="9.109375" defaultRowHeight="11.4" outlineLevelRow="1" x14ac:dyDescent="0.2"/>
  <cols>
    <col min="1" max="1" width="2" style="46" customWidth="1"/>
    <col min="2" max="2" width="22.6640625" style="46" customWidth="1"/>
    <col min="3" max="12" width="9.6640625" style="46" customWidth="1"/>
    <col min="13" max="18" width="9.109375" style="46"/>
    <col min="19" max="19" width="9.6640625" style="46" bestFit="1" customWidth="1"/>
    <col min="20" max="16384" width="9.109375" style="46"/>
  </cols>
  <sheetData>
    <row r="1" spans="1:17" ht="15.6" x14ac:dyDescent="0.3">
      <c r="A1" s="7"/>
      <c r="B1" s="45" t="s">
        <v>140</v>
      </c>
    </row>
    <row r="2" spans="1:17" ht="12" thickBot="1" x14ac:dyDescent="0.25"/>
    <row r="3" spans="1:17" ht="13.2" thickTop="1" thickBot="1" x14ac:dyDescent="0.3">
      <c r="B3" s="47" t="s">
        <v>141</v>
      </c>
      <c r="C3" s="48">
        <f>Drivers!C13</f>
        <v>0.02</v>
      </c>
      <c r="D3" s="46" t="s">
        <v>75</v>
      </c>
    </row>
    <row r="4" spans="1:17" ht="12" outlineLevel="1" thickTop="1" x14ac:dyDescent="0.2">
      <c r="H4" s="46">
        <v>1</v>
      </c>
      <c r="I4" s="46">
        <v>2</v>
      </c>
      <c r="J4" s="46">
        <v>3</v>
      </c>
      <c r="K4" s="46">
        <v>4</v>
      </c>
      <c r="L4" s="46">
        <v>5</v>
      </c>
      <c r="M4" s="46">
        <v>6</v>
      </c>
      <c r="N4" s="46">
        <v>7</v>
      </c>
      <c r="O4" s="46">
        <v>8</v>
      </c>
      <c r="P4" s="46">
        <v>9</v>
      </c>
      <c r="Q4" s="46">
        <v>10</v>
      </c>
    </row>
    <row r="5" spans="1:17" ht="28.5" customHeight="1" x14ac:dyDescent="0.25">
      <c r="B5" s="5" t="s">
        <v>247</v>
      </c>
      <c r="C5" s="6" t="s">
        <v>46</v>
      </c>
      <c r="D5" s="6" t="s">
        <v>47</v>
      </c>
      <c r="E5" s="6" t="s">
        <v>160</v>
      </c>
      <c r="F5" s="6" t="s">
        <v>333</v>
      </c>
      <c r="G5" s="6" t="s">
        <v>332</v>
      </c>
      <c r="H5" s="87" t="s">
        <v>178</v>
      </c>
      <c r="I5" s="87" t="s">
        <v>179</v>
      </c>
      <c r="J5" s="87" t="s">
        <v>180</v>
      </c>
      <c r="K5" s="87" t="s">
        <v>181</v>
      </c>
      <c r="L5" s="87" t="s">
        <v>256</v>
      </c>
      <c r="M5" s="87" t="s">
        <v>257</v>
      </c>
      <c r="N5" s="87" t="s">
        <v>258</v>
      </c>
      <c r="O5" s="87" t="s">
        <v>259</v>
      </c>
      <c r="P5" s="87" t="s">
        <v>260</v>
      </c>
      <c r="Q5" s="87" t="s">
        <v>337</v>
      </c>
    </row>
    <row r="6" spans="1:17" x14ac:dyDescent="0.2">
      <c r="B6" s="46" t="s">
        <v>127</v>
      </c>
      <c r="C6" s="49"/>
      <c r="D6" s="49"/>
      <c r="E6" s="49"/>
      <c r="F6" s="49"/>
      <c r="G6" s="49"/>
      <c r="H6" s="129">
        <f>'Cash Flow'!H20</f>
        <v>7254.9229923502598</v>
      </c>
      <c r="I6" s="129">
        <f>'Cash Flow'!I20</f>
        <v>7290.1162383142628</v>
      </c>
      <c r="J6" s="129">
        <f>'Cash Flow'!J20</f>
        <v>9823.5486672041116</v>
      </c>
      <c r="K6" s="129">
        <f>'Cash Flow'!K20</f>
        <v>11301.152609250908</v>
      </c>
      <c r="L6" s="129">
        <f>'Cash Flow'!L20</f>
        <v>10245.649862338007</v>
      </c>
      <c r="M6" s="129">
        <f>'Cash Flow'!M20</f>
        <v>9217.2462854551686</v>
      </c>
      <c r="N6" s="129">
        <f>'Cash Flow'!N20</f>
        <v>9563.2618223041864</v>
      </c>
      <c r="O6" s="129">
        <f>'Cash Flow'!O20</f>
        <v>9976.7233659458689</v>
      </c>
      <c r="P6" s="129">
        <f>'Cash Flow'!P20</f>
        <v>9992.5854797955926</v>
      </c>
      <c r="Q6" s="129">
        <f>'Cash Flow'!Q20</f>
        <v>9585.8144639464772</v>
      </c>
    </row>
    <row r="7" spans="1:17" x14ac:dyDescent="0.2">
      <c r="B7" s="46" t="s">
        <v>262</v>
      </c>
      <c r="C7" s="49"/>
      <c r="D7" s="49"/>
      <c r="E7" s="49"/>
      <c r="F7" s="49"/>
      <c r="G7" s="49"/>
      <c r="H7" s="129"/>
      <c r="I7" s="129"/>
      <c r="J7" s="129"/>
      <c r="K7" s="129"/>
      <c r="L7" s="129"/>
      <c r="M7" s="129"/>
      <c r="N7" s="129"/>
      <c r="O7" s="129"/>
      <c r="P7" s="129"/>
      <c r="Q7" s="129">
        <f>Q6*(1+$C$3)/(Q9-C3)</f>
        <v>164025.95924734263</v>
      </c>
    </row>
    <row r="8" spans="1:17" x14ac:dyDescent="0.2">
      <c r="C8" s="49"/>
      <c r="D8" s="49"/>
      <c r="E8" s="49"/>
      <c r="F8" s="49"/>
      <c r="G8" s="49"/>
      <c r="H8" s="129"/>
      <c r="I8" s="129"/>
      <c r="J8" s="130"/>
      <c r="K8" s="130"/>
      <c r="L8" s="130"/>
      <c r="M8" s="130"/>
      <c r="N8" s="130"/>
      <c r="O8" s="130"/>
      <c r="P8" s="130"/>
      <c r="Q8" s="130"/>
    </row>
    <row r="9" spans="1:17" x14ac:dyDescent="0.2">
      <c r="B9" s="46" t="s">
        <v>142</v>
      </c>
      <c r="C9" s="49"/>
      <c r="D9" s="49"/>
      <c r="E9" s="49"/>
      <c r="F9" s="49"/>
      <c r="G9" s="49"/>
      <c r="H9" s="131">
        <f>WACC!H24</f>
        <v>5.753439717259104E-2</v>
      </c>
      <c r="I9" s="131">
        <f>WACC!I24</f>
        <v>6.1252351327876604E-2</v>
      </c>
      <c r="J9" s="131">
        <f>WACC!J24</f>
        <v>6.5038735637599362E-2</v>
      </c>
      <c r="K9" s="131">
        <f>WACC!K24</f>
        <v>6.8563842585271623E-2</v>
      </c>
      <c r="L9" s="131">
        <f>WACC!L24</f>
        <v>7.153099436032441E-2</v>
      </c>
      <c r="M9" s="131">
        <f>WACC!M24</f>
        <v>7.3869229901724287E-2</v>
      </c>
      <c r="N9" s="131">
        <f>WACC!N24</f>
        <v>7.5749257600705194E-2</v>
      </c>
      <c r="O9" s="131">
        <f>WACC!O24</f>
        <v>7.7286717966556229E-2</v>
      </c>
      <c r="P9" s="131">
        <f>WACC!P24</f>
        <v>7.8554684556139107E-2</v>
      </c>
      <c r="Q9" s="131">
        <f>WACC!Q24</f>
        <v>7.9609654460129686E-2</v>
      </c>
    </row>
    <row r="10" spans="1:17" ht="12" x14ac:dyDescent="0.25">
      <c r="B10" s="54" t="s">
        <v>143</v>
      </c>
      <c r="C10" s="55"/>
      <c r="D10" s="55"/>
      <c r="E10" s="55"/>
      <c r="F10" s="55"/>
      <c r="G10" s="55"/>
      <c r="H10" s="132">
        <f>H6/(1+H9)^H4</f>
        <v>6860.2241324224715</v>
      </c>
      <c r="I10" s="132">
        <f t="shared" ref="I10:Q10" si="0">I6/(1+I9)^I4</f>
        <v>6472.8735363251681</v>
      </c>
      <c r="J10" s="132">
        <f t="shared" si="0"/>
        <v>8131.5285427112713</v>
      </c>
      <c r="K10" s="132">
        <f t="shared" si="0"/>
        <v>8668.0386834395104</v>
      </c>
      <c r="L10" s="132">
        <f t="shared" si="0"/>
        <v>7252.9690092463916</v>
      </c>
      <c r="M10" s="132">
        <f t="shared" si="0"/>
        <v>6010.2536517437647</v>
      </c>
      <c r="N10" s="132">
        <f t="shared" si="0"/>
        <v>5736.2577935478776</v>
      </c>
      <c r="O10" s="132">
        <f t="shared" si="0"/>
        <v>5499.680841001893</v>
      </c>
      <c r="P10" s="132">
        <f t="shared" si="0"/>
        <v>5059.3921998069445</v>
      </c>
      <c r="Q10" s="132">
        <f t="shared" si="0"/>
        <v>4456.1666376399626</v>
      </c>
    </row>
    <row r="11" spans="1:17" x14ac:dyDescent="0.2">
      <c r="B11" s="46" t="s">
        <v>272</v>
      </c>
      <c r="C11" s="49"/>
      <c r="D11" s="49"/>
      <c r="E11" s="49"/>
      <c r="F11" s="49"/>
      <c r="G11" s="49"/>
      <c r="H11" s="131"/>
      <c r="I11" s="131"/>
      <c r="J11" s="131"/>
      <c r="K11" s="131"/>
      <c r="L11" s="131"/>
      <c r="M11" s="131"/>
      <c r="N11" s="131"/>
      <c r="O11" s="131"/>
      <c r="P11" s="131"/>
      <c r="Q11" s="129">
        <f>Q7/(1+Q9)^Q4</f>
        <v>76250.902837105183</v>
      </c>
    </row>
    <row r="13" spans="1:17" ht="12" x14ac:dyDescent="0.25">
      <c r="B13" s="227" t="s">
        <v>144</v>
      </c>
      <c r="C13" s="227"/>
      <c r="D13" s="227"/>
      <c r="E13" s="227"/>
      <c r="F13" s="227"/>
      <c r="G13" s="227"/>
      <c r="H13" s="227"/>
      <c r="I13" s="227"/>
      <c r="J13" s="227"/>
      <c r="K13" s="227"/>
    </row>
    <row r="14" spans="1:17" x14ac:dyDescent="0.2">
      <c r="B14" s="46" t="s">
        <v>145</v>
      </c>
      <c r="E14" s="51"/>
      <c r="F14" s="51">
        <f>SUM(H10:Q10)</f>
        <v>64147.385027885248</v>
      </c>
      <c r="G14" s="57">
        <f>F14/$F$17</f>
        <v>0.45689577845543644</v>
      </c>
      <c r="H14" s="46" t="s">
        <v>146</v>
      </c>
    </row>
    <row r="15" spans="1:17" x14ac:dyDescent="0.2">
      <c r="B15" s="46" t="s">
        <v>147</v>
      </c>
      <c r="E15" s="51"/>
      <c r="F15" s="51">
        <f>Q7</f>
        <v>164025.95924734263</v>
      </c>
    </row>
    <row r="16" spans="1:17" x14ac:dyDescent="0.2">
      <c r="B16" s="46" t="s">
        <v>148</v>
      </c>
      <c r="E16" s="51"/>
      <c r="F16" s="51">
        <f>Q11</f>
        <v>76250.902837105183</v>
      </c>
      <c r="G16" s="57">
        <f>F16/$F$17</f>
        <v>0.54310422154456373</v>
      </c>
      <c r="H16" s="46" t="s">
        <v>146</v>
      </c>
    </row>
    <row r="17" spans="2:7" ht="12" x14ac:dyDescent="0.25">
      <c r="B17" s="50" t="s">
        <v>149</v>
      </c>
      <c r="C17" s="50"/>
      <c r="D17" s="50"/>
      <c r="E17" s="52"/>
      <c r="F17" s="52">
        <f>F16+F14</f>
        <v>140398.28786499042</v>
      </c>
    </row>
    <row r="18" spans="2:7" x14ac:dyDescent="0.2">
      <c r="B18" s="53" t="s">
        <v>150</v>
      </c>
      <c r="E18" s="51"/>
      <c r="F18" s="51">
        <f>'Balance Sheet'!G5</f>
        <v>6268</v>
      </c>
      <c r="G18" s="51"/>
    </row>
    <row r="19" spans="2:7" x14ac:dyDescent="0.2">
      <c r="B19" s="53" t="s">
        <v>151</v>
      </c>
      <c r="E19" s="51"/>
      <c r="F19" s="51">
        <f>'Balance Sheet'!G28</f>
        <v>13419</v>
      </c>
    </row>
    <row r="20" spans="2:7" ht="12" x14ac:dyDescent="0.25">
      <c r="B20" s="50" t="s">
        <v>152</v>
      </c>
      <c r="C20" s="50"/>
      <c r="D20" s="50"/>
      <c r="E20" s="52"/>
      <c r="F20" s="52">
        <f>F17+F18-F19</f>
        <v>133247.28786499042</v>
      </c>
    </row>
    <row r="21" spans="2:7" x14ac:dyDescent="0.2">
      <c r="B21" s="46" t="s">
        <v>389</v>
      </c>
      <c r="F21" s="51">
        <v>932</v>
      </c>
    </row>
    <row r="22" spans="2:7" ht="12" x14ac:dyDescent="0.25">
      <c r="B22" s="58" t="s">
        <v>156</v>
      </c>
      <c r="C22" s="58"/>
      <c r="D22" s="58"/>
      <c r="E22" s="58"/>
      <c r="F22" s="58">
        <f>F20/F21</f>
        <v>142.96919298818713</v>
      </c>
    </row>
  </sheetData>
  <mergeCells count="1">
    <mergeCell ref="B13:K13"/>
  </mergeCell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DCD7F-9C67-416B-BFE7-B54E9E17C393}">
  <sheetPr>
    <tabColor rgb="FF002060"/>
  </sheetPr>
  <dimension ref="B14"/>
  <sheetViews>
    <sheetView workbookViewId="0">
      <selection activeCell="Q6" sqref="Q6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0" t="s">
        <v>263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14F47-5902-4E90-9D34-98686EDEF78A}">
  <dimension ref="A1:C34"/>
  <sheetViews>
    <sheetView workbookViewId="0"/>
  </sheetViews>
  <sheetFormatPr defaultColWidth="9.109375" defaultRowHeight="11.4" x14ac:dyDescent="0.25"/>
  <cols>
    <col min="1" max="1" width="2" style="7" customWidth="1"/>
    <col min="2" max="3" width="15.109375" style="7" customWidth="1"/>
    <col min="4" max="4" width="2" style="7" customWidth="1"/>
    <col min="5" max="6" width="11.33203125" style="7" bestFit="1" customWidth="1"/>
    <col min="7" max="7" width="10.33203125" style="7" bestFit="1" customWidth="1"/>
    <col min="8" max="12" width="10.44140625" style="7" bestFit="1" customWidth="1"/>
    <col min="13" max="16384" width="9.109375" style="7"/>
  </cols>
  <sheetData>
    <row r="1" spans="1:3" ht="15.6" x14ac:dyDescent="0.25">
      <c r="A1" s="184"/>
      <c r="B1" s="2" t="s">
        <v>265</v>
      </c>
    </row>
    <row r="8" spans="1:3" x14ac:dyDescent="0.2">
      <c r="B8" s="7" t="s">
        <v>264</v>
      </c>
      <c r="C8" s="157">
        <f>'Revenue automotive'!G11</f>
        <v>20821</v>
      </c>
    </row>
    <row r="9" spans="1:3" x14ac:dyDescent="0.2">
      <c r="B9" s="7" t="s">
        <v>169</v>
      </c>
      <c r="C9" s="157">
        <f>'Revenue automotive'!H5-'Revenue automotive'!G5</f>
        <v>11881.537430335076</v>
      </c>
    </row>
    <row r="10" spans="1:3" x14ac:dyDescent="0.2">
      <c r="B10" s="7" t="s">
        <v>175</v>
      </c>
      <c r="C10" s="157">
        <f>'Revenue automotive'!H6-'Revenue automotive'!G6</f>
        <v>1071.2595982849261</v>
      </c>
    </row>
    <row r="11" spans="1:3" x14ac:dyDescent="0.2">
      <c r="B11" s="7" t="s">
        <v>170</v>
      </c>
      <c r="C11" s="157">
        <f>'Revenue automotive'!H7-'Revenue automotive'!G7</f>
        <v>109.75608</v>
      </c>
    </row>
    <row r="12" spans="1:3" x14ac:dyDescent="0.2">
      <c r="B12" s="7" t="s">
        <v>172</v>
      </c>
      <c r="C12" s="157">
        <f>'Revenue automotive'!H8-'Revenue automotive'!G8</f>
        <v>0</v>
      </c>
    </row>
    <row r="13" spans="1:3" x14ac:dyDescent="0.2">
      <c r="B13" s="7" t="s">
        <v>171</v>
      </c>
      <c r="C13" s="157">
        <f>'Revenue automotive'!H9-'Revenue automotive'!G9</f>
        <v>0</v>
      </c>
    </row>
    <row r="14" spans="1:3" x14ac:dyDescent="0.2">
      <c r="B14" s="7" t="s">
        <v>168</v>
      </c>
      <c r="C14" s="157">
        <f>'Revenue automotive'!H10-'Revenue automotive'!G10</f>
        <v>0</v>
      </c>
    </row>
    <row r="15" spans="1:3" x14ac:dyDescent="0.2">
      <c r="B15" s="7" t="s">
        <v>266</v>
      </c>
      <c r="C15" s="157">
        <f>'Revenue automotive'!H11</f>
        <v>33883.553108619999</v>
      </c>
    </row>
    <row r="27" spans="2:3" x14ac:dyDescent="0.2">
      <c r="B27" s="7" t="str">
        <f>B15</f>
        <v>Revenue 2020</v>
      </c>
      <c r="C27" s="157">
        <f>'Revenue automotive'!H11</f>
        <v>33883.553108619999</v>
      </c>
    </row>
    <row r="28" spans="2:3" x14ac:dyDescent="0.2">
      <c r="B28" s="7" t="s">
        <v>169</v>
      </c>
      <c r="C28" s="157">
        <f>'Revenue automotive'!I5-'Revenue automotive'!H5</f>
        <v>2658.7136699200018</v>
      </c>
    </row>
    <row r="29" spans="2:3" x14ac:dyDescent="0.2">
      <c r="B29" s="7" t="s">
        <v>175</v>
      </c>
      <c r="C29" s="157">
        <f>'Revenue automotive'!I6-'Revenue automotive'!H6</f>
        <v>287.46641317680042</v>
      </c>
    </row>
    <row r="30" spans="2:3" x14ac:dyDescent="0.2">
      <c r="B30" s="7" t="s">
        <v>170</v>
      </c>
      <c r="C30" s="157">
        <f>'Revenue automotive'!I7-'Revenue automotive'!H7</f>
        <v>8977.7860200000014</v>
      </c>
    </row>
    <row r="31" spans="2:3" x14ac:dyDescent="0.2">
      <c r="B31" s="7" t="s">
        <v>172</v>
      </c>
      <c r="C31" s="157">
        <f>'Revenue automotive'!I8-'Revenue automotive'!H8</f>
        <v>0</v>
      </c>
    </row>
    <row r="32" spans="2:3" x14ac:dyDescent="0.2">
      <c r="B32" s="7" t="s">
        <v>171</v>
      </c>
      <c r="C32" s="157">
        <f>'Revenue automotive'!I9-'Revenue automotive'!H9</f>
        <v>14.891999999999999</v>
      </c>
    </row>
    <row r="33" spans="2:3" x14ac:dyDescent="0.2">
      <c r="B33" s="7" t="s">
        <v>168</v>
      </c>
      <c r="C33" s="157">
        <f>'Revenue automotive'!I10-'Revenue automotive'!H10</f>
        <v>44.625</v>
      </c>
    </row>
    <row r="34" spans="2:3" x14ac:dyDescent="0.2">
      <c r="B34" s="7" t="s">
        <v>378</v>
      </c>
      <c r="C34" s="157">
        <f>'Revenue automotive'!I11</f>
        <v>45867.036211716804</v>
      </c>
    </row>
  </sheetData>
  <pageMargins left="0.7" right="0.7" top="0.75" bottom="0.75" header="0.3" footer="0.3"/>
  <pageSetup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33FD1-114B-41A7-8C0F-0A15336A1B8E}">
  <dimension ref="A1:C32"/>
  <sheetViews>
    <sheetView workbookViewId="0"/>
  </sheetViews>
  <sheetFormatPr defaultColWidth="9.109375" defaultRowHeight="11.4" x14ac:dyDescent="0.25"/>
  <cols>
    <col min="1" max="1" width="2" style="7" customWidth="1"/>
    <col min="2" max="3" width="15.109375" style="7" customWidth="1"/>
    <col min="4" max="4" width="2" style="7" customWidth="1"/>
    <col min="5" max="6" width="11.33203125" style="7" bestFit="1" customWidth="1"/>
    <col min="7" max="7" width="10.33203125" style="7" bestFit="1" customWidth="1"/>
    <col min="8" max="12" width="10.44140625" style="7" bestFit="1" customWidth="1"/>
    <col min="13" max="16384" width="9.109375" style="7"/>
  </cols>
  <sheetData>
    <row r="1" spans="1:3" ht="15.6" x14ac:dyDescent="0.25">
      <c r="A1" s="184"/>
      <c r="B1" s="2" t="s">
        <v>270</v>
      </c>
    </row>
    <row r="8" spans="1:3" x14ac:dyDescent="0.2">
      <c r="B8" s="7" t="s">
        <v>267</v>
      </c>
      <c r="C8" s="157">
        <f>'Cash Flow'!G28</f>
        <v>2582.3819999999992</v>
      </c>
    </row>
    <row r="9" spans="1:3" x14ac:dyDescent="0.2">
      <c r="B9" s="7" t="s">
        <v>125</v>
      </c>
      <c r="C9" s="157">
        <f>'Cash Flow'!H7-'Cash Flow'!G7</f>
        <v>3087.4750803258762</v>
      </c>
    </row>
    <row r="10" spans="1:3" x14ac:dyDescent="0.2">
      <c r="B10" s="7" t="s">
        <v>139</v>
      </c>
      <c r="C10" s="157">
        <f>'Cash Flow'!H8-'Cash Flow'!G8</f>
        <v>320.70441729982713</v>
      </c>
    </row>
    <row r="11" spans="1:3" x14ac:dyDescent="0.2">
      <c r="B11" s="7" t="s">
        <v>268</v>
      </c>
      <c r="C11" s="157">
        <f>'Cash Flow'!H14-'Cash Flow'!G14</f>
        <v>-917.62426943147341</v>
      </c>
    </row>
    <row r="12" spans="1:3" x14ac:dyDescent="0.2">
      <c r="B12" s="7" t="s">
        <v>81</v>
      </c>
      <c r="C12" s="157">
        <f>'Cash Flow'!H16-'Cash Flow'!G16</f>
        <v>-757.59908649913564</v>
      </c>
    </row>
    <row r="13" spans="1:3" x14ac:dyDescent="0.2">
      <c r="B13" s="7" t="s">
        <v>269</v>
      </c>
      <c r="C13" s="157">
        <f>'Cash Flow'!H17-'Cash Flow'!G17+'Cash Flow'!H18-'Cash Flow'!G18+'Cash Flow'!H22-'Cash Flow'!G22+'Cash Flow'!H23-'Cash Flow'!G23+'Cash Flow'!H24-'Cash Flow'!G24+'Cash Flow'!H25-'Cash Flow'!G25+'Cash Flow'!H26-'Cash Flow'!G26</f>
        <v>2542.1720642551668</v>
      </c>
    </row>
    <row r="14" spans="1:3" x14ac:dyDescent="0.2">
      <c r="B14" s="7" t="s">
        <v>377</v>
      </c>
      <c r="C14" s="157">
        <f>'Cash Flow'!H28</f>
        <v>6857.5102059502606</v>
      </c>
    </row>
    <row r="26" spans="2:3" x14ac:dyDescent="0.2">
      <c r="B26" s="7" t="s">
        <v>271</v>
      </c>
      <c r="C26" s="157">
        <f>'Cash Flow'!P28</f>
        <v>9595.1726933955924</v>
      </c>
    </row>
    <row r="27" spans="2:3" x14ac:dyDescent="0.2">
      <c r="B27" s="7" t="s">
        <v>125</v>
      </c>
      <c r="C27" s="157">
        <f>'Cash Flow'!Q7-'Cash Flow'!P7</f>
        <v>295.03962929328191</v>
      </c>
    </row>
    <row r="28" spans="2:3" x14ac:dyDescent="0.2">
      <c r="B28" s="7" t="s">
        <v>139</v>
      </c>
      <c r="C28" s="157">
        <f>'Cash Flow'!Q8-'Cash Flow'!P8</f>
        <v>53.800534566098804</v>
      </c>
    </row>
    <row r="29" spans="2:3" x14ac:dyDescent="0.2">
      <c r="B29" s="7" t="s">
        <v>268</v>
      </c>
      <c r="C29" s="157">
        <f>'Cash Flow'!Q14-'Cash Flow'!P14</f>
        <v>36.993916611338136</v>
      </c>
    </row>
    <row r="30" spans="2:3" x14ac:dyDescent="0.2">
      <c r="B30" s="7" t="s">
        <v>81</v>
      </c>
      <c r="C30" s="157">
        <f>'Cash Flow'!Q16-'Cash Flow'!P16</f>
        <v>-604.93524729936325</v>
      </c>
    </row>
    <row r="31" spans="2:3" x14ac:dyDescent="0.2">
      <c r="B31" s="7" t="s">
        <v>269</v>
      </c>
      <c r="C31" s="157">
        <f>'Cash Flow'!Q17-'Cash Flow'!P17+'Cash Flow'!Q18-'Cash Flow'!P18+'Cash Flow'!Q22-'Cash Flow'!P22+'Cash Flow'!Q23-'Cash Flow'!P23+'Cash Flow'!Q24-'Cash Flow'!P24+'Cash Flow'!Q25-'Cash Flow'!P25</f>
        <v>-187.6698490204717</v>
      </c>
    </row>
    <row r="32" spans="2:3" x14ac:dyDescent="0.2">
      <c r="B32" s="7" t="s">
        <v>376</v>
      </c>
      <c r="C32" s="157">
        <f>'Cash Flow'!Q28</f>
        <v>9188.401677546477</v>
      </c>
    </row>
  </sheetData>
  <pageMargins left="0.7" right="0.7" top="0.75" bottom="0.75" header="0.3" footer="0.3"/>
  <pageSetup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C63B0-147D-49D4-BAB2-0102D6E24226}">
  <dimension ref="A1:C14"/>
  <sheetViews>
    <sheetView workbookViewId="0"/>
  </sheetViews>
  <sheetFormatPr defaultColWidth="9.109375" defaultRowHeight="11.4" x14ac:dyDescent="0.25"/>
  <cols>
    <col min="1" max="1" width="2" style="7" customWidth="1"/>
    <col min="2" max="3" width="15.109375" style="7" customWidth="1"/>
    <col min="4" max="4" width="2" style="7" customWidth="1"/>
    <col min="5" max="6" width="11.33203125" style="7" bestFit="1" customWidth="1"/>
    <col min="7" max="7" width="10.33203125" style="7" bestFit="1" customWidth="1"/>
    <col min="8" max="12" width="10.44140625" style="7" bestFit="1" customWidth="1"/>
    <col min="13" max="16384" width="9.109375" style="7"/>
  </cols>
  <sheetData>
    <row r="1" spans="1:3" ht="15.6" x14ac:dyDescent="0.25">
      <c r="A1" s="184"/>
      <c r="B1" s="2" t="s">
        <v>306</v>
      </c>
    </row>
    <row r="8" spans="1:3" x14ac:dyDescent="0.2">
      <c r="B8" s="7" t="s">
        <v>267</v>
      </c>
      <c r="C8" s="157">
        <f>'Cash Flow'!G28</f>
        <v>2582.3819999999992</v>
      </c>
    </row>
    <row r="9" spans="1:3" x14ac:dyDescent="0.2">
      <c r="B9" s="7" t="s">
        <v>125</v>
      </c>
      <c r="C9" s="157">
        <f>'Cash Flow'!H7-'Cash Flow'!G7</f>
        <v>3087.4750803258762</v>
      </c>
    </row>
    <row r="10" spans="1:3" x14ac:dyDescent="0.2">
      <c r="B10" s="7" t="s">
        <v>139</v>
      </c>
      <c r="C10" s="157">
        <f>'Cash Flow'!H8-'Cash Flow'!G8</f>
        <v>320.70441729982713</v>
      </c>
    </row>
    <row r="11" spans="1:3" x14ac:dyDescent="0.2">
      <c r="B11" s="7" t="s">
        <v>268</v>
      </c>
      <c r="C11" s="157">
        <f>'Cash Flow'!H14-'Cash Flow'!G14</f>
        <v>-917.62426943147341</v>
      </c>
    </row>
    <row r="12" spans="1:3" x14ac:dyDescent="0.2">
      <c r="B12" s="7" t="s">
        <v>81</v>
      </c>
      <c r="C12" s="157">
        <f>'Cash Flow'!H16-'Cash Flow'!G16</f>
        <v>-757.59908649913564</v>
      </c>
    </row>
    <row r="13" spans="1:3" x14ac:dyDescent="0.2">
      <c r="B13" s="7" t="s">
        <v>269</v>
      </c>
      <c r="C13" s="157">
        <f>'Cash Flow'!H17-'Cash Flow'!G17+'Cash Flow'!H18-'Cash Flow'!G18+'Cash Flow'!H22-'Cash Flow'!G22+'Cash Flow'!H23-'Cash Flow'!G23+'Cash Flow'!H24-'Cash Flow'!G24+'Cash Flow'!H25-'Cash Flow'!G25+'Cash Flow'!H26-'Cash Flow'!G26</f>
        <v>2542.1720642551668</v>
      </c>
    </row>
    <row r="14" spans="1:3" x14ac:dyDescent="0.2">
      <c r="B14" s="7" t="s">
        <v>377</v>
      </c>
      <c r="C14" s="157">
        <f>'Cash Flow'!H28</f>
        <v>6857.5102059502606</v>
      </c>
    </row>
  </sheetData>
  <pageMargins left="0.7" right="0.7" top="0.75" bottom="0.75" header="0.3" footer="0.3"/>
  <pageSetup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7FB41-806E-43D0-9B12-F237AF5BE0EB}">
  <dimension ref="A1:C16"/>
  <sheetViews>
    <sheetView workbookViewId="0"/>
  </sheetViews>
  <sheetFormatPr defaultColWidth="9.109375" defaultRowHeight="11.4" x14ac:dyDescent="0.25"/>
  <cols>
    <col min="1" max="1" width="2" style="7" customWidth="1"/>
    <col min="2" max="3" width="15.109375" style="7" customWidth="1"/>
    <col min="4" max="4" width="2" style="7" customWidth="1"/>
    <col min="5" max="6" width="11.33203125" style="7" bestFit="1" customWidth="1"/>
    <col min="7" max="7" width="10.33203125" style="7" bestFit="1" customWidth="1"/>
    <col min="8" max="12" width="10.44140625" style="7" bestFit="1" customWidth="1"/>
    <col min="13" max="16384" width="9.109375" style="7"/>
  </cols>
  <sheetData>
    <row r="1" spans="1:3" ht="15.6" x14ac:dyDescent="0.25">
      <c r="A1" s="184"/>
      <c r="B1" s="2" t="s">
        <v>375</v>
      </c>
    </row>
    <row r="3" spans="1:3" ht="12" x14ac:dyDescent="0.25">
      <c r="B3" s="27" t="s">
        <v>313</v>
      </c>
      <c r="C3" s="157">
        <f>'P&amp;L'!F14</f>
        <v>-976.09099999999944</v>
      </c>
    </row>
    <row r="4" spans="1:3" x14ac:dyDescent="0.2">
      <c r="B4" s="19" t="s">
        <v>307</v>
      </c>
      <c r="C4" s="157">
        <f>'P&amp;L'!G5-'P&amp;L'!F5</f>
        <v>3116.732</v>
      </c>
    </row>
    <row r="5" spans="1:3" ht="22.8" x14ac:dyDescent="0.2">
      <c r="B5" s="190" t="s">
        <v>309</v>
      </c>
      <c r="C5" s="157">
        <f>'P&amp;L'!G6-'P&amp;L'!F6</f>
        <v>-3089.7530000000006</v>
      </c>
    </row>
    <row r="6" spans="1:3" ht="22.8" x14ac:dyDescent="0.2">
      <c r="B6" s="190" t="s">
        <v>310</v>
      </c>
      <c r="C6" s="157">
        <f>'P&amp;L'!G8-'P&amp;L'!F8</f>
        <v>292.09400000000005</v>
      </c>
    </row>
    <row r="7" spans="1:3" ht="22.8" x14ac:dyDescent="0.2">
      <c r="B7" s="190" t="s">
        <v>311</v>
      </c>
      <c r="C7" s="157">
        <f>'P&amp;L'!G10-'P&amp;L'!F10</f>
        <v>20.672000000000025</v>
      </c>
    </row>
    <row r="8" spans="1:3" x14ac:dyDescent="0.2">
      <c r="B8" s="19" t="s">
        <v>308</v>
      </c>
      <c r="C8" s="157">
        <f>'P&amp;L'!G12-'P&amp;L'!F12</f>
        <v>-52.162999999999997</v>
      </c>
    </row>
    <row r="9" spans="1:3" ht="22.8" x14ac:dyDescent="0.2">
      <c r="B9" s="190" t="s">
        <v>312</v>
      </c>
      <c r="C9" s="157">
        <f>'P&amp;L'!G13-'P&amp;L'!F13</f>
        <v>-173.49099999999999</v>
      </c>
    </row>
    <row r="10" spans="1:3" ht="12" x14ac:dyDescent="0.25">
      <c r="B10" s="27" t="s">
        <v>314</v>
      </c>
      <c r="C10" s="157">
        <f>'P&amp;L'!G14</f>
        <v>-862</v>
      </c>
    </row>
    <row r="11" spans="1:3" x14ac:dyDescent="0.2">
      <c r="B11" s="19" t="s">
        <v>307</v>
      </c>
      <c r="C11" s="157">
        <f>'P&amp;L'!H5-'P&amp;L'!G5</f>
        <v>13813.95310862</v>
      </c>
    </row>
    <row r="12" spans="1:3" ht="22.8" x14ac:dyDescent="0.2">
      <c r="B12" s="190" t="s">
        <v>309</v>
      </c>
      <c r="C12" s="157">
        <f>'P&amp;L'!H6-'P&amp;L'!G6</f>
        <v>-9720.8159542529538</v>
      </c>
    </row>
    <row r="13" spans="1:3" ht="22.8" x14ac:dyDescent="0.2">
      <c r="B13" s="190" t="s">
        <v>310</v>
      </c>
      <c r="C13" s="157">
        <f>'P&amp;L'!H8-'P&amp;L'!G8</f>
        <v>-342.52312863808947</v>
      </c>
    </row>
    <row r="14" spans="1:3" ht="22.8" x14ac:dyDescent="0.2">
      <c r="B14" s="190" t="s">
        <v>311</v>
      </c>
      <c r="C14" s="157">
        <f>'P&amp;L'!H10-'P&amp;L'!G10</f>
        <v>92.945839999999976</v>
      </c>
    </row>
    <row r="15" spans="1:3" x14ac:dyDescent="0.2">
      <c r="B15" s="19" t="s">
        <v>308</v>
      </c>
      <c r="C15" s="157">
        <f>'P&amp;L'!H12-'P&amp;L'!G12</f>
        <v>-557.49757180308097</v>
      </c>
    </row>
    <row r="16" spans="1:3" ht="12" x14ac:dyDescent="0.25">
      <c r="B16" s="27" t="s">
        <v>371</v>
      </c>
      <c r="C16" s="157">
        <f>'P&amp;L'!H14</f>
        <v>2511.062293925876</v>
      </c>
    </row>
  </sheetData>
  <pageMargins left="0.7" right="0.7" top="0.75" bottom="0.75" header="0.3" footer="0.3"/>
  <pageSetup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4C42-E73B-4608-8B01-88995DABF4B7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0" t="s">
        <v>286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2F665-D816-4A68-8A3C-34859DE4CC7E}">
  <dimension ref="A1:S27"/>
  <sheetViews>
    <sheetView workbookViewId="0">
      <selection activeCell="W13" sqref="W13"/>
    </sheetView>
  </sheetViews>
  <sheetFormatPr defaultColWidth="9.109375" defaultRowHeight="11.4" x14ac:dyDescent="0.25"/>
  <cols>
    <col min="1" max="1" width="2" style="7" customWidth="1"/>
    <col min="2" max="3" width="15.109375" style="7" customWidth="1"/>
    <col min="4" max="5" width="6.5546875" style="7" bestFit="1" customWidth="1"/>
    <col min="6" max="7" width="7.5546875" style="7" bestFit="1" customWidth="1"/>
    <col min="8" max="10" width="10.44140625" style="7" bestFit="1" customWidth="1"/>
    <col min="11" max="17" width="9.109375" style="7"/>
    <col min="18" max="18" width="2" style="7" customWidth="1"/>
    <col min="19" max="16384" width="9.109375" style="7"/>
  </cols>
  <sheetData>
    <row r="1" spans="1:19" ht="15.6" x14ac:dyDescent="0.25">
      <c r="A1" s="184"/>
      <c r="B1" s="2" t="s">
        <v>294</v>
      </c>
    </row>
    <row r="3" spans="1:19" ht="12" x14ac:dyDescent="0.25">
      <c r="C3" s="226" t="s">
        <v>209</v>
      </c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</row>
    <row r="4" spans="1:19" ht="27" customHeight="1" x14ac:dyDescent="0.25">
      <c r="B4" s="33" t="s">
        <v>166</v>
      </c>
      <c r="C4" s="6" t="s">
        <v>46</v>
      </c>
      <c r="D4" s="6" t="s">
        <v>47</v>
      </c>
      <c r="E4" s="6" t="s">
        <v>160</v>
      </c>
      <c r="F4" s="6" t="s">
        <v>333</v>
      </c>
      <c r="G4" s="6" t="s">
        <v>332</v>
      </c>
      <c r="H4" s="87" t="s">
        <v>178</v>
      </c>
      <c r="I4" s="87" t="s">
        <v>179</v>
      </c>
      <c r="J4" s="87" t="s">
        <v>180</v>
      </c>
      <c r="K4" s="87" t="s">
        <v>181</v>
      </c>
      <c r="L4" s="87" t="s">
        <v>256</v>
      </c>
      <c r="M4" s="87" t="s">
        <v>257</v>
      </c>
      <c r="N4" s="87" t="s">
        <v>258</v>
      </c>
      <c r="O4" s="87" t="s">
        <v>259</v>
      </c>
      <c r="P4" s="87" t="s">
        <v>260</v>
      </c>
      <c r="Q4" s="87" t="s">
        <v>337</v>
      </c>
      <c r="S4" s="6" t="s">
        <v>288</v>
      </c>
    </row>
    <row r="5" spans="1:19" x14ac:dyDescent="0.25">
      <c r="B5" s="7" t="s">
        <v>169</v>
      </c>
      <c r="C5" s="78">
        <f>'Revenue automotive'!C5</f>
        <v>0</v>
      </c>
      <c r="D5" s="78">
        <f>'Revenue automotive'!D5</f>
        <v>0</v>
      </c>
      <c r="E5" s="78">
        <f>'Revenue automotive'!E5</f>
        <v>88.268788561549911</v>
      </c>
      <c r="F5" s="145">
        <f>'Revenue automotive'!F5</f>
        <v>8136.4830442748871</v>
      </c>
      <c r="G5" s="145">
        <f>'Revenue automotive'!G5</f>
        <v>14705.599268864924</v>
      </c>
      <c r="H5" s="79">
        <f>'Revenue automotive'!H5</f>
        <v>26587.1366992</v>
      </c>
      <c r="I5" s="79">
        <f>'Revenue automotive'!I5</f>
        <v>29245.850369120002</v>
      </c>
      <c r="J5" s="79">
        <f>'Revenue automotive'!J5</f>
        <v>32170.435406032004</v>
      </c>
      <c r="K5" s="79">
        <f>'Revenue automotive'!K5</f>
        <v>34744.070238514563</v>
      </c>
      <c r="L5" s="79">
        <f>'Revenue automotive'!L5</f>
        <v>37523.595857595734</v>
      </c>
      <c r="M5" s="79">
        <f>'Revenue automotive'!M5</f>
        <v>39024.539691899576</v>
      </c>
      <c r="N5" s="79">
        <f>'Revenue automotive'!N5</f>
        <v>40585.521279575543</v>
      </c>
      <c r="O5" s="79">
        <f>'Revenue automotive'!O5</f>
        <v>42208.942130758573</v>
      </c>
      <c r="P5" s="79">
        <f>'Revenue automotive'!P5</f>
        <v>43897.299815988925</v>
      </c>
      <c r="Q5" s="79">
        <f>'Revenue automotive'!Q5</f>
        <v>45653.191808628479</v>
      </c>
      <c r="S5" s="88" t="s">
        <v>289</v>
      </c>
    </row>
    <row r="6" spans="1:19" x14ac:dyDescent="0.25">
      <c r="B6" s="7" t="s">
        <v>175</v>
      </c>
      <c r="C6" s="78">
        <f>'Revenue automotive'!C6</f>
        <v>3740.973</v>
      </c>
      <c r="D6" s="78">
        <f>'Revenue automotive'!D6</f>
        <v>6350.7659999999996</v>
      </c>
      <c r="E6" s="78">
        <f>'Revenue automotive'!E6</f>
        <v>9553.0312114384506</v>
      </c>
      <c r="F6" s="145">
        <f>'Revenue automotive'!F6</f>
        <v>10378.49995572511</v>
      </c>
      <c r="G6" s="145">
        <f>'Revenue automotive'!G6</f>
        <v>6115.4007311350751</v>
      </c>
      <c r="H6" s="79">
        <f>'Revenue automotive'!H6</f>
        <v>7186.6603294200013</v>
      </c>
      <c r="I6" s="79">
        <f>'Revenue automotive'!I6</f>
        <v>7474.1267425968017</v>
      </c>
      <c r="J6" s="79">
        <f>'Revenue automotive'!J6</f>
        <v>7773.0918123006732</v>
      </c>
      <c r="K6" s="79">
        <f>'Revenue automotive'!K6</f>
        <v>8084.0154847927015</v>
      </c>
      <c r="L6" s="79">
        <f>'Revenue automotive'!L6</f>
        <v>8407.37610418441</v>
      </c>
      <c r="M6" s="79">
        <f>'Revenue automotive'!M6</f>
        <v>8743.6711483517865</v>
      </c>
      <c r="N6" s="79">
        <f>'Revenue automotive'!N6</f>
        <v>9093.4179942858573</v>
      </c>
      <c r="O6" s="79">
        <f>'Revenue automotive'!O6</f>
        <v>9457.1547140572929</v>
      </c>
      <c r="P6" s="79">
        <f>'Revenue automotive'!P6</f>
        <v>9835.4409026195844</v>
      </c>
      <c r="Q6" s="79">
        <f>'Revenue automotive'!Q6</f>
        <v>10228.858538724369</v>
      </c>
      <c r="S6" s="88" t="s">
        <v>289</v>
      </c>
    </row>
    <row r="7" spans="1:19" x14ac:dyDescent="0.25">
      <c r="B7" s="7" t="s">
        <v>170</v>
      </c>
      <c r="C7" s="78">
        <f>'Revenue automotive'!C7</f>
        <v>0</v>
      </c>
      <c r="D7" s="78">
        <f>'Revenue automotive'!D7</f>
        <v>0</v>
      </c>
      <c r="E7" s="78">
        <f>'Revenue automotive'!E7</f>
        <v>0</v>
      </c>
      <c r="F7" s="78">
        <f>'Revenue automotive'!F7</f>
        <v>0</v>
      </c>
      <c r="G7" s="78">
        <f>'Revenue automotive'!G7</f>
        <v>0</v>
      </c>
      <c r="H7" s="79">
        <f>'Revenue automotive'!H7</f>
        <v>109.75608</v>
      </c>
      <c r="I7" s="79">
        <f>'Revenue automotive'!I7</f>
        <v>9087.5421000000006</v>
      </c>
      <c r="J7" s="79">
        <f>'Revenue automotive'!J7</f>
        <v>18716.709299999999</v>
      </c>
      <c r="K7" s="79">
        <f>'Revenue automotive'!K7</f>
        <v>29946.73488</v>
      </c>
      <c r="L7" s="79">
        <f>'Revenue automotive'!L7</f>
        <v>32941.408367999997</v>
      </c>
      <c r="M7" s="79">
        <f>'Revenue automotive'!M7</f>
        <v>36235.549204800009</v>
      </c>
      <c r="N7" s="79">
        <f>'Revenue automotive'!N7</f>
        <v>39134.393141184017</v>
      </c>
      <c r="O7" s="79">
        <f>'Revenue automotive'!O7</f>
        <v>42265.144592478726</v>
      </c>
      <c r="P7" s="79">
        <f>'Revenue automotive'!P7</f>
        <v>43955.750376177886</v>
      </c>
      <c r="Q7" s="79">
        <f>'Revenue automotive'!Q7</f>
        <v>45713.980391225006</v>
      </c>
      <c r="S7" s="88" t="s">
        <v>289</v>
      </c>
    </row>
    <row r="8" spans="1:19" x14ac:dyDescent="0.25">
      <c r="B8" s="7" t="s">
        <v>172</v>
      </c>
      <c r="C8" s="78">
        <f>'Revenue automotive'!C8</f>
        <v>0</v>
      </c>
      <c r="D8" s="78">
        <f>'Revenue automotive'!D8</f>
        <v>0</v>
      </c>
      <c r="E8" s="78">
        <f>'Revenue automotive'!E8</f>
        <v>0</v>
      </c>
      <c r="F8" s="78">
        <f>'Revenue automotive'!F8</f>
        <v>0</v>
      </c>
      <c r="G8" s="78">
        <f>'Revenue automotive'!G8</f>
        <v>0</v>
      </c>
      <c r="H8" s="79">
        <f>'Revenue automotive'!H8</f>
        <v>0</v>
      </c>
      <c r="I8" s="79">
        <f>'Revenue automotive'!I8</f>
        <v>0</v>
      </c>
      <c r="J8" s="79">
        <f>'Revenue automotive'!J8</f>
        <v>114.75</v>
      </c>
      <c r="K8" s="79">
        <f>'Revenue automotive'!K8</f>
        <v>172.125</v>
      </c>
      <c r="L8" s="79">
        <f>'Revenue automotive'!L8</f>
        <v>189.33750000000003</v>
      </c>
      <c r="M8" s="79">
        <f>'Revenue automotive'!M8</f>
        <v>208.27125000000007</v>
      </c>
      <c r="N8" s="79">
        <f>'Revenue automotive'!N8</f>
        <v>224.93295000000009</v>
      </c>
      <c r="O8" s="79">
        <f>'Revenue automotive'!O8</f>
        <v>242.92758600000013</v>
      </c>
      <c r="P8" s="79">
        <f>'Revenue automotive'!P8</f>
        <v>252.64468944000012</v>
      </c>
      <c r="Q8" s="79">
        <f>'Revenue automotive'!Q8</f>
        <v>262.75047701760013</v>
      </c>
      <c r="S8" s="88" t="s">
        <v>289</v>
      </c>
    </row>
    <row r="9" spans="1:19" x14ac:dyDescent="0.25">
      <c r="B9" s="7" t="s">
        <v>171</v>
      </c>
      <c r="C9" s="78">
        <f>'Revenue automotive'!C9</f>
        <v>0</v>
      </c>
      <c r="D9" s="78">
        <f>'Revenue automotive'!D9</f>
        <v>0</v>
      </c>
      <c r="E9" s="78">
        <f>'Revenue automotive'!E9</f>
        <v>0</v>
      </c>
      <c r="F9" s="78">
        <f>'Revenue automotive'!F9</f>
        <v>0</v>
      </c>
      <c r="G9" s="78">
        <f>'Revenue automotive'!G9</f>
        <v>0</v>
      </c>
      <c r="H9" s="79">
        <f>'Revenue automotive'!H9</f>
        <v>0</v>
      </c>
      <c r="I9" s="79">
        <f>'Revenue automotive'!I9</f>
        <v>14.891999999999999</v>
      </c>
      <c r="J9" s="79">
        <f>'Revenue automotive'!J9</f>
        <v>1233.0221428571429</v>
      </c>
      <c r="K9" s="79">
        <f>'Revenue automotive'!K9</f>
        <v>2539.5334353741505</v>
      </c>
      <c r="L9" s="79">
        <f>'Revenue automotive'!L9</f>
        <v>4063.2534965986406</v>
      </c>
      <c r="M9" s="79">
        <f>'Revenue automotive'!M9</f>
        <v>4469.5788462585051</v>
      </c>
      <c r="N9" s="79">
        <f>'Revenue automotive'!N9</f>
        <v>4916.5367308843552</v>
      </c>
      <c r="O9" s="79">
        <f>'Revenue automotive'!O9</f>
        <v>5309.8596693551053</v>
      </c>
      <c r="P9" s="79">
        <f>'Revenue automotive'!P9</f>
        <v>5734.6484429035136</v>
      </c>
      <c r="Q9" s="79">
        <f>'Revenue automotive'!Q9</f>
        <v>5964.0343806196543</v>
      </c>
      <c r="S9" s="88" t="s">
        <v>290</v>
      </c>
    </row>
    <row r="10" spans="1:19" x14ac:dyDescent="0.25">
      <c r="B10" s="7" t="s">
        <v>168</v>
      </c>
      <c r="C10" s="78">
        <f>'Revenue automotive'!C10</f>
        <v>0</v>
      </c>
      <c r="D10" s="78">
        <f>'Revenue automotive'!D10</f>
        <v>0</v>
      </c>
      <c r="E10" s="78">
        <f>'Revenue automotive'!E10</f>
        <v>0</v>
      </c>
      <c r="F10" s="78">
        <f>'Revenue automotive'!F10</f>
        <v>0</v>
      </c>
      <c r="G10" s="78">
        <f>'Revenue automotive'!G10</f>
        <v>0</v>
      </c>
      <c r="H10" s="79">
        <f>'Revenue automotive'!H10</f>
        <v>0</v>
      </c>
      <c r="I10" s="79">
        <f>'Revenue automotive'!I10</f>
        <v>44.625</v>
      </c>
      <c r="J10" s="79">
        <f>'Revenue automotive'!J10</f>
        <v>3694.84375</v>
      </c>
      <c r="K10" s="79">
        <f>'Revenue automotive'!K10</f>
        <v>7609.9032738095257</v>
      </c>
      <c r="L10" s="79">
        <f>'Revenue automotive'!L10</f>
        <v>12175.845238095242</v>
      </c>
      <c r="M10" s="79">
        <f>'Revenue automotive'!M10</f>
        <v>13393.429761904767</v>
      </c>
      <c r="N10" s="79">
        <f>'Revenue automotive'!N10</f>
        <v>14732.772738095246</v>
      </c>
      <c r="O10" s="79">
        <f>'Revenue automotive'!O10</f>
        <v>15911.394557142865</v>
      </c>
      <c r="P10" s="79">
        <f>'Revenue automotive'!P10</f>
        <v>17184.306121714297</v>
      </c>
      <c r="Q10" s="79">
        <f>'Revenue automotive'!Q10</f>
        <v>17871.67836658287</v>
      </c>
      <c r="S10" s="88" t="s">
        <v>291</v>
      </c>
    </row>
    <row r="11" spans="1:19" ht="12.6" thickBot="1" x14ac:dyDescent="0.3">
      <c r="B11" s="103" t="s">
        <v>68</v>
      </c>
      <c r="C11" s="110">
        <f>SUM(C5:C10)</f>
        <v>3740.973</v>
      </c>
      <c r="D11" s="110">
        <f t="shared" ref="D11:Q11" si="0">SUM(D5:D10)</f>
        <v>6350.7659999999996</v>
      </c>
      <c r="E11" s="110">
        <f t="shared" si="0"/>
        <v>9641.3000000000011</v>
      </c>
      <c r="F11" s="110">
        <f>'P&amp;L Input'!F4/1000</f>
        <v>18514.983</v>
      </c>
      <c r="G11" s="110">
        <f>'P&amp;L Input'!G4/1000</f>
        <v>20821</v>
      </c>
      <c r="H11" s="110">
        <f t="shared" si="0"/>
        <v>33883.553108619999</v>
      </c>
      <c r="I11" s="110">
        <f t="shared" si="0"/>
        <v>45867.036211716804</v>
      </c>
      <c r="J11" s="110">
        <f t="shared" si="0"/>
        <v>63702.852411189822</v>
      </c>
      <c r="K11" s="110">
        <f t="shared" si="0"/>
        <v>83096.38231249094</v>
      </c>
      <c r="L11" s="110">
        <f t="shared" si="0"/>
        <v>95300.816564474007</v>
      </c>
      <c r="M11" s="110">
        <f t="shared" si="0"/>
        <v>102075.03990321465</v>
      </c>
      <c r="N11" s="110">
        <f t="shared" si="0"/>
        <v>108687.57483402501</v>
      </c>
      <c r="O11" s="110">
        <f t="shared" si="0"/>
        <v>115395.42324979257</v>
      </c>
      <c r="P11" s="110">
        <f t="shared" si="0"/>
        <v>120860.09034884421</v>
      </c>
      <c r="Q11" s="110">
        <f t="shared" si="0"/>
        <v>125694.49396279798</v>
      </c>
    </row>
    <row r="12" spans="1:19" x14ac:dyDescent="0.2">
      <c r="C12" s="157"/>
    </row>
    <row r="13" spans="1:19" ht="13.2" x14ac:dyDescent="0.25">
      <c r="B13" s="1"/>
    </row>
    <row r="14" spans="1:19" ht="13.2" x14ac:dyDescent="0.25">
      <c r="B14" s="1"/>
    </row>
    <row r="21" spans="3:3" x14ac:dyDescent="0.2">
      <c r="C21" s="157"/>
    </row>
    <row r="22" spans="3:3" x14ac:dyDescent="0.2">
      <c r="C22" s="157"/>
    </row>
    <row r="23" spans="3:3" x14ac:dyDescent="0.2">
      <c r="C23" s="157"/>
    </row>
    <row r="24" spans="3:3" x14ac:dyDescent="0.2">
      <c r="C24" s="157"/>
    </row>
    <row r="25" spans="3:3" x14ac:dyDescent="0.2">
      <c r="C25" s="157"/>
    </row>
    <row r="26" spans="3:3" x14ac:dyDescent="0.2">
      <c r="C26" s="157"/>
    </row>
    <row r="27" spans="3:3" x14ac:dyDescent="0.2">
      <c r="C27" s="157"/>
    </row>
  </sheetData>
  <mergeCells count="1">
    <mergeCell ref="C3:Q3"/>
  </mergeCells>
  <pageMargins left="0.7" right="0.7" top="0.75" bottom="0.75" header="0.3" footer="0.3"/>
  <pageSetup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26311-EAA7-408C-8FF7-DE61FB3BF95F}">
  <dimension ref="A1:S32"/>
  <sheetViews>
    <sheetView workbookViewId="0"/>
  </sheetViews>
  <sheetFormatPr defaultColWidth="9.109375" defaultRowHeight="11.4" x14ac:dyDescent="0.25"/>
  <cols>
    <col min="1" max="1" width="2" style="7" customWidth="1"/>
    <col min="2" max="3" width="15.109375" style="7" customWidth="1"/>
    <col min="4" max="5" width="6.5546875" style="7" bestFit="1" customWidth="1"/>
    <col min="6" max="7" width="7.5546875" style="7" bestFit="1" customWidth="1"/>
    <col min="8" max="10" width="10.44140625" style="7" bestFit="1" customWidth="1"/>
    <col min="11" max="17" width="9.109375" style="7"/>
    <col min="18" max="18" width="2" style="7" customWidth="1"/>
    <col min="19" max="16384" width="9.109375" style="7"/>
  </cols>
  <sheetData>
    <row r="1" spans="1:19" ht="15.6" x14ac:dyDescent="0.25">
      <c r="A1" s="184"/>
      <c r="B1" s="2" t="s">
        <v>287</v>
      </c>
    </row>
    <row r="3" spans="1:19" ht="12" x14ac:dyDescent="0.25">
      <c r="C3" s="226" t="s">
        <v>209</v>
      </c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</row>
    <row r="4" spans="1:19" ht="27" customHeight="1" x14ac:dyDescent="0.25">
      <c r="B4" s="33" t="s">
        <v>166</v>
      </c>
      <c r="C4" s="6" t="s">
        <v>46</v>
      </c>
      <c r="D4" s="6" t="s">
        <v>47</v>
      </c>
      <c r="E4" s="6" t="s">
        <v>160</v>
      </c>
      <c r="F4" s="6" t="s">
        <v>333</v>
      </c>
      <c r="G4" s="6" t="s">
        <v>332</v>
      </c>
      <c r="H4" s="87" t="s">
        <v>178</v>
      </c>
      <c r="I4" s="87" t="s">
        <v>179</v>
      </c>
      <c r="J4" s="87" t="s">
        <v>180</v>
      </c>
      <c r="K4" s="87" t="s">
        <v>181</v>
      </c>
      <c r="L4" s="87" t="s">
        <v>256</v>
      </c>
      <c r="M4" s="87" t="s">
        <v>257</v>
      </c>
      <c r="N4" s="87" t="s">
        <v>258</v>
      </c>
      <c r="O4" s="87" t="s">
        <v>259</v>
      </c>
      <c r="P4" s="87" t="s">
        <v>260</v>
      </c>
      <c r="Q4" s="87" t="s">
        <v>337</v>
      </c>
      <c r="S4" s="6" t="s">
        <v>288</v>
      </c>
    </row>
    <row r="5" spans="1:19" x14ac:dyDescent="0.25">
      <c r="B5" s="7" t="s">
        <v>169</v>
      </c>
      <c r="C5" s="78">
        <f>'Revenue automotive'!C5</f>
        <v>0</v>
      </c>
      <c r="D5" s="78">
        <f>'Revenue automotive'!D5</f>
        <v>0</v>
      </c>
      <c r="E5" s="78">
        <f>'Revenue automotive'!E5</f>
        <v>88.268788561549911</v>
      </c>
      <c r="F5" s="145">
        <f>'Revenue automotive'!F5</f>
        <v>8136.4830442748871</v>
      </c>
      <c r="G5" s="145">
        <f>'Revenue automotive'!G5</f>
        <v>14705.599268864924</v>
      </c>
      <c r="H5" s="79">
        <f>'Revenue automotive'!H5</f>
        <v>26587.1366992</v>
      </c>
      <c r="I5" s="79">
        <f>'Revenue automotive'!I5</f>
        <v>29245.850369120002</v>
      </c>
      <c r="J5" s="79">
        <f>'Revenue automotive'!J5</f>
        <v>32170.435406032004</v>
      </c>
      <c r="K5" s="79">
        <f>'Revenue automotive'!K5</f>
        <v>34744.070238514563</v>
      </c>
      <c r="L5" s="79">
        <f>'Revenue automotive'!L5</f>
        <v>37523.595857595734</v>
      </c>
      <c r="M5" s="79">
        <f>'Revenue automotive'!M5</f>
        <v>39024.539691899576</v>
      </c>
      <c r="N5" s="79">
        <f>'Revenue automotive'!N5</f>
        <v>40585.521279575543</v>
      </c>
      <c r="O5" s="79">
        <f>'Revenue automotive'!O5</f>
        <v>42208.942130758573</v>
      </c>
      <c r="P5" s="79">
        <f>'Revenue automotive'!P5</f>
        <v>43897.299815988925</v>
      </c>
      <c r="Q5" s="79">
        <f>'Revenue automotive'!Q5</f>
        <v>45653.191808628479</v>
      </c>
      <c r="S5" s="88" t="s">
        <v>289</v>
      </c>
    </row>
    <row r="6" spans="1:19" x14ac:dyDescent="0.25">
      <c r="B6" s="7" t="s">
        <v>175</v>
      </c>
      <c r="C6" s="78">
        <f>'Revenue automotive'!C6</f>
        <v>3740.973</v>
      </c>
      <c r="D6" s="78">
        <f>'Revenue automotive'!D6</f>
        <v>6350.7659999999996</v>
      </c>
      <c r="E6" s="78">
        <f>'Revenue automotive'!E6</f>
        <v>9553.0312114384506</v>
      </c>
      <c r="F6" s="145">
        <f>'Revenue automotive'!F6</f>
        <v>10378.49995572511</v>
      </c>
      <c r="G6" s="145">
        <f>'Revenue automotive'!G6</f>
        <v>6115.4007311350751</v>
      </c>
      <c r="H6" s="79">
        <f>'Revenue automotive'!H6</f>
        <v>7186.6603294200013</v>
      </c>
      <c r="I6" s="79">
        <f>'Revenue automotive'!I6</f>
        <v>7474.1267425968017</v>
      </c>
      <c r="J6" s="79">
        <f>'Revenue automotive'!J6</f>
        <v>7773.0918123006732</v>
      </c>
      <c r="K6" s="79">
        <f>'Revenue automotive'!K6</f>
        <v>8084.0154847927015</v>
      </c>
      <c r="L6" s="79">
        <f>'Revenue automotive'!L6</f>
        <v>8407.37610418441</v>
      </c>
      <c r="M6" s="79">
        <f>'Revenue automotive'!M6</f>
        <v>8743.6711483517865</v>
      </c>
      <c r="N6" s="79">
        <f>'Revenue automotive'!N6</f>
        <v>9093.4179942858573</v>
      </c>
      <c r="O6" s="79">
        <f>'Revenue automotive'!O6</f>
        <v>9457.1547140572929</v>
      </c>
      <c r="P6" s="79">
        <f>'Revenue automotive'!P6</f>
        <v>9835.4409026195844</v>
      </c>
      <c r="Q6" s="79">
        <f>'Revenue automotive'!Q6</f>
        <v>10228.858538724369</v>
      </c>
      <c r="S6" s="88" t="s">
        <v>289</v>
      </c>
    </row>
    <row r="7" spans="1:19" x14ac:dyDescent="0.25">
      <c r="B7" s="7" t="s">
        <v>170</v>
      </c>
      <c r="C7" s="78">
        <f>'Revenue automotive'!C7</f>
        <v>0</v>
      </c>
      <c r="D7" s="78">
        <f>'Revenue automotive'!D7</f>
        <v>0</v>
      </c>
      <c r="E7" s="78">
        <f>'Revenue automotive'!E7</f>
        <v>0</v>
      </c>
      <c r="F7" s="78">
        <f>'Revenue automotive'!F7</f>
        <v>0</v>
      </c>
      <c r="G7" s="78">
        <f>'Revenue automotive'!G7</f>
        <v>0</v>
      </c>
      <c r="H7" s="79">
        <f>'Revenue automotive'!H7</f>
        <v>109.75608</v>
      </c>
      <c r="I7" s="79">
        <f>'Revenue automotive'!I7</f>
        <v>9087.5421000000006</v>
      </c>
      <c r="J7" s="79">
        <f>'Revenue automotive'!J7</f>
        <v>18716.709299999999</v>
      </c>
      <c r="K7" s="79">
        <f>'Revenue automotive'!K7</f>
        <v>29946.73488</v>
      </c>
      <c r="L7" s="79">
        <f>'Revenue automotive'!L7</f>
        <v>32941.408367999997</v>
      </c>
      <c r="M7" s="79">
        <f>'Revenue automotive'!M7</f>
        <v>36235.549204800009</v>
      </c>
      <c r="N7" s="79">
        <f>'Revenue automotive'!N7</f>
        <v>39134.393141184017</v>
      </c>
      <c r="O7" s="79">
        <f>'Revenue automotive'!O7</f>
        <v>42265.144592478726</v>
      </c>
      <c r="P7" s="79">
        <f>'Revenue automotive'!P7</f>
        <v>43955.750376177886</v>
      </c>
      <c r="Q7" s="79">
        <f>'Revenue automotive'!Q7</f>
        <v>45713.980391225006</v>
      </c>
      <c r="S7" s="88" t="s">
        <v>289</v>
      </c>
    </row>
    <row r="8" spans="1:19" x14ac:dyDescent="0.25">
      <c r="B8" s="7" t="s">
        <v>172</v>
      </c>
      <c r="C8" s="78">
        <f>'Revenue automotive'!C8</f>
        <v>0</v>
      </c>
      <c r="D8" s="78">
        <f>'Revenue automotive'!D8</f>
        <v>0</v>
      </c>
      <c r="E8" s="78">
        <f>'Revenue automotive'!E8</f>
        <v>0</v>
      </c>
      <c r="F8" s="78">
        <f>'Revenue automotive'!F8</f>
        <v>0</v>
      </c>
      <c r="G8" s="78">
        <f>'Revenue automotive'!G8</f>
        <v>0</v>
      </c>
      <c r="H8" s="79">
        <f>'Revenue automotive'!H8</f>
        <v>0</v>
      </c>
      <c r="I8" s="79">
        <f>'Revenue automotive'!I8</f>
        <v>0</v>
      </c>
      <c r="J8" s="79">
        <f>'Revenue automotive'!J8</f>
        <v>114.75</v>
      </c>
      <c r="K8" s="79">
        <f>'Revenue automotive'!K8</f>
        <v>172.125</v>
      </c>
      <c r="L8" s="79">
        <f>'Revenue automotive'!L8</f>
        <v>189.33750000000003</v>
      </c>
      <c r="M8" s="79">
        <f>'Revenue automotive'!M8</f>
        <v>208.27125000000007</v>
      </c>
      <c r="N8" s="79">
        <f>'Revenue automotive'!N8</f>
        <v>224.93295000000009</v>
      </c>
      <c r="O8" s="79">
        <f>'Revenue automotive'!O8</f>
        <v>242.92758600000013</v>
      </c>
      <c r="P8" s="79">
        <f>'Revenue automotive'!P8</f>
        <v>252.64468944000012</v>
      </c>
      <c r="Q8" s="79">
        <f>'Revenue automotive'!Q8</f>
        <v>262.75047701760013</v>
      </c>
      <c r="S8" s="88" t="s">
        <v>289</v>
      </c>
    </row>
    <row r="9" spans="1:19" x14ac:dyDescent="0.25">
      <c r="B9" s="7" t="s">
        <v>171</v>
      </c>
      <c r="C9" s="78">
        <f>'Revenue automotive'!C9</f>
        <v>0</v>
      </c>
      <c r="D9" s="78">
        <f>'Revenue automotive'!D9</f>
        <v>0</v>
      </c>
      <c r="E9" s="78">
        <f>'Revenue automotive'!E9</f>
        <v>0</v>
      </c>
      <c r="F9" s="78">
        <f>'Revenue automotive'!F9</f>
        <v>0</v>
      </c>
      <c r="G9" s="78">
        <f>'Revenue automotive'!G9</f>
        <v>0</v>
      </c>
      <c r="H9" s="79">
        <f>'Revenue automotive'!H9</f>
        <v>0</v>
      </c>
      <c r="I9" s="79">
        <f>'Revenue automotive'!I9</f>
        <v>14.891999999999999</v>
      </c>
      <c r="J9" s="79">
        <f>'Revenue automotive'!J9</f>
        <v>1233.0221428571429</v>
      </c>
      <c r="K9" s="79">
        <f>'Revenue automotive'!K9</f>
        <v>2539.5334353741505</v>
      </c>
      <c r="L9" s="79">
        <f>'Revenue automotive'!L9</f>
        <v>4063.2534965986406</v>
      </c>
      <c r="M9" s="79">
        <f>'Revenue automotive'!M9</f>
        <v>4469.5788462585051</v>
      </c>
      <c r="N9" s="79">
        <f>'Revenue automotive'!N9</f>
        <v>4916.5367308843552</v>
      </c>
      <c r="O9" s="79">
        <f>'Revenue automotive'!O9</f>
        <v>5309.8596693551053</v>
      </c>
      <c r="P9" s="79">
        <f>'Revenue automotive'!P9</f>
        <v>5734.6484429035136</v>
      </c>
      <c r="Q9" s="79">
        <f>'Revenue automotive'!Q9</f>
        <v>5964.0343806196543</v>
      </c>
      <c r="S9" s="88" t="s">
        <v>290</v>
      </c>
    </row>
    <row r="10" spans="1:19" x14ac:dyDescent="0.25">
      <c r="B10" s="7" t="s">
        <v>168</v>
      </c>
      <c r="C10" s="78">
        <f>'Revenue automotive'!C10</f>
        <v>0</v>
      </c>
      <c r="D10" s="78">
        <f>'Revenue automotive'!D10</f>
        <v>0</v>
      </c>
      <c r="E10" s="78">
        <f>'Revenue automotive'!E10</f>
        <v>0</v>
      </c>
      <c r="F10" s="78">
        <f>'Revenue automotive'!F10</f>
        <v>0</v>
      </c>
      <c r="G10" s="78">
        <f>'Revenue automotive'!G10</f>
        <v>0</v>
      </c>
      <c r="H10" s="79">
        <f>'Revenue automotive'!H10</f>
        <v>0</v>
      </c>
      <c r="I10" s="79">
        <f>'Revenue automotive'!I10</f>
        <v>44.625</v>
      </c>
      <c r="J10" s="79">
        <f>'Revenue automotive'!J10</f>
        <v>3694.84375</v>
      </c>
      <c r="K10" s="79">
        <f>'Revenue automotive'!K10</f>
        <v>7609.9032738095257</v>
      </c>
      <c r="L10" s="79">
        <f>'Revenue automotive'!L10</f>
        <v>12175.845238095242</v>
      </c>
      <c r="M10" s="79">
        <f>'Revenue automotive'!M10</f>
        <v>13393.429761904767</v>
      </c>
      <c r="N10" s="79">
        <f>'Revenue automotive'!N10</f>
        <v>14732.772738095246</v>
      </c>
      <c r="O10" s="79">
        <f>'Revenue automotive'!O10</f>
        <v>15911.394557142865</v>
      </c>
      <c r="P10" s="79">
        <f>'Revenue automotive'!P10</f>
        <v>17184.306121714297</v>
      </c>
      <c r="Q10" s="79">
        <f>'Revenue automotive'!Q10</f>
        <v>17871.67836658287</v>
      </c>
      <c r="S10" s="88" t="s">
        <v>291</v>
      </c>
    </row>
    <row r="11" spans="1:19" ht="12.6" thickBot="1" x14ac:dyDescent="0.3">
      <c r="B11" s="103" t="s">
        <v>68</v>
      </c>
      <c r="C11" s="110">
        <f>SUM(C5:C10)</f>
        <v>3740.973</v>
      </c>
      <c r="D11" s="110">
        <f t="shared" ref="D11:Q11" si="0">SUM(D5:D10)</f>
        <v>6350.7659999999996</v>
      </c>
      <c r="E11" s="110">
        <f t="shared" si="0"/>
        <v>9641.3000000000011</v>
      </c>
      <c r="F11" s="110">
        <f>'P&amp;L Input'!F4/1000</f>
        <v>18514.983</v>
      </c>
      <c r="G11" s="110">
        <f>'P&amp;L Input'!G4/1000</f>
        <v>20821</v>
      </c>
      <c r="H11" s="110">
        <f t="shared" si="0"/>
        <v>33883.553108619999</v>
      </c>
      <c r="I11" s="110">
        <f t="shared" si="0"/>
        <v>45867.036211716804</v>
      </c>
      <c r="J11" s="110">
        <f t="shared" si="0"/>
        <v>63702.852411189822</v>
      </c>
      <c r="K11" s="110">
        <f t="shared" si="0"/>
        <v>83096.38231249094</v>
      </c>
      <c r="L11" s="110">
        <f t="shared" si="0"/>
        <v>95300.816564474007</v>
      </c>
      <c r="M11" s="110">
        <f t="shared" si="0"/>
        <v>102075.03990321465</v>
      </c>
      <c r="N11" s="110">
        <f t="shared" si="0"/>
        <v>108687.57483402501</v>
      </c>
      <c r="O11" s="110">
        <f t="shared" si="0"/>
        <v>115395.42324979257</v>
      </c>
      <c r="P11" s="110">
        <f t="shared" si="0"/>
        <v>120860.09034884421</v>
      </c>
      <c r="Q11" s="110">
        <f t="shared" si="0"/>
        <v>125694.49396279798</v>
      </c>
    </row>
    <row r="12" spans="1:19" x14ac:dyDescent="0.2">
      <c r="C12" s="157"/>
    </row>
    <row r="13" spans="1:19" ht="24" x14ac:dyDescent="0.25">
      <c r="B13" s="6"/>
      <c r="C13" s="6" t="s">
        <v>46</v>
      </c>
      <c r="D13" s="6" t="s">
        <v>47</v>
      </c>
      <c r="E13" s="6" t="s">
        <v>160</v>
      </c>
      <c r="F13" s="6" t="s">
        <v>333</v>
      </c>
      <c r="G13" s="6" t="s">
        <v>332</v>
      </c>
      <c r="H13" s="87" t="s">
        <v>178</v>
      </c>
      <c r="I13" s="87" t="s">
        <v>179</v>
      </c>
      <c r="J13" s="87" t="s">
        <v>180</v>
      </c>
      <c r="K13" s="87" t="s">
        <v>181</v>
      </c>
      <c r="L13" s="87" t="s">
        <v>256</v>
      </c>
      <c r="M13" s="87" t="s">
        <v>257</v>
      </c>
      <c r="N13" s="87" t="s">
        <v>258</v>
      </c>
      <c r="O13" s="87" t="s">
        <v>259</v>
      </c>
      <c r="P13" s="87" t="s">
        <v>260</v>
      </c>
      <c r="Q13" s="87" t="s">
        <v>337</v>
      </c>
    </row>
    <row r="14" spans="1:19" x14ac:dyDescent="0.2">
      <c r="B14" s="7" t="s">
        <v>289</v>
      </c>
      <c r="C14" s="157"/>
      <c r="H14" s="79">
        <f t="shared" ref="H14:Q16" si="1">SUMIF($S$5:$S$10,$B14,H$5:H$10)</f>
        <v>33883.553108619999</v>
      </c>
      <c r="I14" s="79">
        <f t="shared" si="1"/>
        <v>45807.519211716804</v>
      </c>
      <c r="J14" s="79">
        <f t="shared" si="1"/>
        <v>58774.986518332676</v>
      </c>
      <c r="K14" s="79">
        <f t="shared" si="1"/>
        <v>72946.945603307264</v>
      </c>
      <c r="L14" s="79">
        <f t="shared" si="1"/>
        <v>79061.717829780129</v>
      </c>
      <c r="M14" s="79">
        <f t="shared" si="1"/>
        <v>84212.031295051376</v>
      </c>
      <c r="N14" s="79">
        <f t="shared" si="1"/>
        <v>89038.265365045416</v>
      </c>
      <c r="O14" s="79">
        <f t="shared" si="1"/>
        <v>94174.169023294598</v>
      </c>
      <c r="P14" s="79">
        <f t="shared" si="1"/>
        <v>97941.135784226397</v>
      </c>
      <c r="Q14" s="79">
        <f t="shared" si="1"/>
        <v>101858.78121559546</v>
      </c>
    </row>
    <row r="15" spans="1:19" x14ac:dyDescent="0.25">
      <c r="B15" s="7" t="s">
        <v>290</v>
      </c>
      <c r="H15" s="79">
        <f t="shared" si="1"/>
        <v>0</v>
      </c>
      <c r="I15" s="79">
        <f t="shared" si="1"/>
        <v>14.891999999999999</v>
      </c>
      <c r="J15" s="79">
        <f t="shared" si="1"/>
        <v>1233.0221428571429</v>
      </c>
      <c r="K15" s="79">
        <f t="shared" si="1"/>
        <v>2539.5334353741505</v>
      </c>
      <c r="L15" s="79">
        <f t="shared" si="1"/>
        <v>4063.2534965986406</v>
      </c>
      <c r="M15" s="79">
        <f t="shared" si="1"/>
        <v>4469.5788462585051</v>
      </c>
      <c r="N15" s="79">
        <f t="shared" si="1"/>
        <v>4916.5367308843552</v>
      </c>
      <c r="O15" s="79">
        <f t="shared" si="1"/>
        <v>5309.8596693551053</v>
      </c>
      <c r="P15" s="79">
        <f t="shared" si="1"/>
        <v>5734.6484429035136</v>
      </c>
      <c r="Q15" s="79">
        <f t="shared" si="1"/>
        <v>5964.0343806196543</v>
      </c>
    </row>
    <row r="16" spans="1:19" x14ac:dyDescent="0.25">
      <c r="B16" s="7" t="s">
        <v>291</v>
      </c>
      <c r="H16" s="79">
        <f t="shared" si="1"/>
        <v>0</v>
      </c>
      <c r="I16" s="79">
        <f t="shared" si="1"/>
        <v>44.625</v>
      </c>
      <c r="J16" s="79">
        <f t="shared" si="1"/>
        <v>3694.84375</v>
      </c>
      <c r="K16" s="79">
        <f t="shared" si="1"/>
        <v>7609.9032738095257</v>
      </c>
      <c r="L16" s="79">
        <f t="shared" si="1"/>
        <v>12175.845238095242</v>
      </c>
      <c r="M16" s="79">
        <f t="shared" si="1"/>
        <v>13393.429761904767</v>
      </c>
      <c r="N16" s="79">
        <f t="shared" si="1"/>
        <v>14732.772738095246</v>
      </c>
      <c r="O16" s="79">
        <f t="shared" si="1"/>
        <v>15911.394557142865</v>
      </c>
      <c r="P16" s="79">
        <f t="shared" si="1"/>
        <v>17184.306121714297</v>
      </c>
      <c r="Q16" s="79">
        <f t="shared" si="1"/>
        <v>17871.67836658287</v>
      </c>
    </row>
    <row r="17" spans="2:17" ht="12.6" thickBot="1" x14ac:dyDescent="0.3">
      <c r="B17" s="103" t="s">
        <v>68</v>
      </c>
      <c r="C17" s="110"/>
      <c r="D17" s="110"/>
      <c r="E17" s="110"/>
      <c r="F17" s="110"/>
      <c r="G17" s="110"/>
      <c r="H17" s="110">
        <f t="shared" ref="H17:Q17" si="2">SUM(H14:H16)</f>
        <v>33883.553108619999</v>
      </c>
      <c r="I17" s="110">
        <f t="shared" si="2"/>
        <v>45867.036211716804</v>
      </c>
      <c r="J17" s="110">
        <f t="shared" si="2"/>
        <v>63702.852411189822</v>
      </c>
      <c r="K17" s="110">
        <f t="shared" si="2"/>
        <v>83096.38231249094</v>
      </c>
      <c r="L17" s="110">
        <f t="shared" si="2"/>
        <v>95300.816564474007</v>
      </c>
      <c r="M17" s="110">
        <f t="shared" si="2"/>
        <v>102075.03990321465</v>
      </c>
      <c r="N17" s="110">
        <f t="shared" si="2"/>
        <v>108687.57483402501</v>
      </c>
      <c r="O17" s="110">
        <f t="shared" si="2"/>
        <v>115395.42324979257</v>
      </c>
      <c r="P17" s="110">
        <f t="shared" si="2"/>
        <v>120860.09034884421</v>
      </c>
      <c r="Q17" s="110">
        <f t="shared" si="2"/>
        <v>125694.49396279798</v>
      </c>
    </row>
    <row r="18" spans="2:17" ht="13.2" x14ac:dyDescent="0.25">
      <c r="B18" s="1"/>
    </row>
    <row r="19" spans="2:17" ht="13.2" x14ac:dyDescent="0.25">
      <c r="B19" s="1"/>
    </row>
    <row r="26" spans="2:17" x14ac:dyDescent="0.2">
      <c r="C26" s="157"/>
    </row>
    <row r="27" spans="2:17" x14ac:dyDescent="0.2">
      <c r="C27" s="157"/>
    </row>
    <row r="28" spans="2:17" x14ac:dyDescent="0.2">
      <c r="C28" s="157"/>
    </row>
    <row r="29" spans="2:17" x14ac:dyDescent="0.2">
      <c r="C29" s="157"/>
    </row>
    <row r="30" spans="2:17" x14ac:dyDescent="0.2">
      <c r="C30" s="157"/>
    </row>
    <row r="31" spans="2:17" x14ac:dyDescent="0.2">
      <c r="C31" s="157"/>
    </row>
    <row r="32" spans="2:17" x14ac:dyDescent="0.2">
      <c r="C32" s="157"/>
    </row>
  </sheetData>
  <mergeCells count="1">
    <mergeCell ref="C3:Q3"/>
  </mergeCells>
  <pageMargins left="0.7" right="0.7" top="0.75" bottom="0.75" header="0.3" footer="0.3"/>
  <pageSetup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E61EF-C59E-4207-A5A7-4E145A079BEC}">
  <dimension ref="A1:Q24"/>
  <sheetViews>
    <sheetView workbookViewId="0"/>
  </sheetViews>
  <sheetFormatPr defaultColWidth="9.109375" defaultRowHeight="11.4" x14ac:dyDescent="0.25"/>
  <cols>
    <col min="1" max="1" width="2" style="7" customWidth="1"/>
    <col min="2" max="3" width="15.109375" style="7" customWidth="1"/>
    <col min="4" max="5" width="7.33203125" style="7" bestFit="1" customWidth="1"/>
    <col min="6" max="6" width="8.109375" style="7" bestFit="1" customWidth="1"/>
    <col min="7" max="7" width="7.5546875" style="7" bestFit="1" customWidth="1"/>
    <col min="8" max="10" width="10.5546875" style="7" bestFit="1" customWidth="1"/>
    <col min="11" max="17" width="9.33203125" style="7" bestFit="1" customWidth="1"/>
    <col min="18" max="18" width="2" style="7" customWidth="1"/>
    <col min="19" max="16384" width="9.109375" style="7"/>
  </cols>
  <sheetData>
    <row r="1" spans="1:17" ht="15.6" x14ac:dyDescent="0.25">
      <c r="A1" s="184"/>
      <c r="B1" s="2" t="s">
        <v>287</v>
      </c>
    </row>
    <row r="3" spans="1:17" x14ac:dyDescent="0.2">
      <c r="C3" s="157"/>
    </row>
    <row r="4" spans="1:17" ht="24" x14ac:dyDescent="0.25">
      <c r="B4" s="5" t="s">
        <v>247</v>
      </c>
      <c r="C4" s="6" t="s">
        <v>46</v>
      </c>
      <c r="D4" s="6" t="s">
        <v>47</v>
      </c>
      <c r="E4" s="6" t="s">
        <v>160</v>
      </c>
      <c r="F4" s="6" t="s">
        <v>333</v>
      </c>
      <c r="G4" s="6" t="s">
        <v>332</v>
      </c>
      <c r="H4" s="87" t="s">
        <v>178</v>
      </c>
      <c r="I4" s="87" t="s">
        <v>179</v>
      </c>
      <c r="J4" s="87" t="s">
        <v>180</v>
      </c>
      <c r="K4" s="87" t="s">
        <v>181</v>
      </c>
      <c r="L4" s="87" t="s">
        <v>256</v>
      </c>
      <c r="M4" s="87" t="s">
        <v>257</v>
      </c>
      <c r="N4" s="87" t="s">
        <v>258</v>
      </c>
      <c r="O4" s="87" t="s">
        <v>259</v>
      </c>
      <c r="P4" s="87" t="s">
        <v>260</v>
      </c>
      <c r="Q4" s="87" t="s">
        <v>337</v>
      </c>
    </row>
    <row r="5" spans="1:17" x14ac:dyDescent="0.2">
      <c r="B5" s="7" t="s">
        <v>292</v>
      </c>
      <c r="C5" s="157">
        <f>'P&amp;L'!C5</f>
        <v>4046.0250000000001</v>
      </c>
      <c r="D5" s="60">
        <f>'P&amp;L'!D5</f>
        <v>7000.1319999999996</v>
      </c>
      <c r="E5" s="60">
        <f>'P&amp;L'!E5</f>
        <v>11758.751</v>
      </c>
      <c r="F5" s="60">
        <f>'P&amp;L'!F5</f>
        <v>21461.268</v>
      </c>
      <c r="G5" s="60">
        <f>'P&amp;L'!G5</f>
        <v>24578</v>
      </c>
      <c r="H5" s="187">
        <f>'P&amp;L'!H5</f>
        <v>38391.95310862</v>
      </c>
      <c r="I5" s="187">
        <f>'P&amp;L'!I5</f>
        <v>51006.612211716805</v>
      </c>
      <c r="J5" s="187">
        <f>'P&amp;L'!J5</f>
        <v>69356.386011189825</v>
      </c>
      <c r="K5" s="187">
        <f>'P&amp;L'!K5</f>
        <v>89202.198600490941</v>
      </c>
      <c r="L5" s="187">
        <f>'P&amp;L'!L5</f>
        <v>101895.098155514</v>
      </c>
      <c r="M5" s="187">
        <f>'P&amp;L'!M5</f>
        <v>109196.86402153785</v>
      </c>
      <c r="N5" s="187">
        <f>'P&amp;L'!N5</f>
        <v>116379.14488181408</v>
      </c>
      <c r="O5" s="187">
        <f>'P&amp;L'!O5</f>
        <v>123702.31890140475</v>
      </c>
      <c r="P5" s="187">
        <f>'P&amp;L'!P5</f>
        <v>129831.53765258536</v>
      </c>
      <c r="Q5" s="187">
        <f>'P&amp;L'!Q5</f>
        <v>135383.65705083843</v>
      </c>
    </row>
    <row r="6" spans="1:17" x14ac:dyDescent="0.25">
      <c r="B6" s="170" t="s">
        <v>210</v>
      </c>
      <c r="C6" s="188">
        <f t="shared" ref="C6:Q6" si="0">C8/C5</f>
        <v>0.22824945471172328</v>
      </c>
      <c r="D6" s="188">
        <f t="shared" si="0"/>
        <v>0.22846097759299391</v>
      </c>
      <c r="E6" s="188">
        <f t="shared" si="0"/>
        <v>0.18900706376042839</v>
      </c>
      <c r="F6" s="188">
        <f t="shared" si="0"/>
        <v>0.18834026954977687</v>
      </c>
      <c r="G6" s="188">
        <f t="shared" si="0"/>
        <v>0.1655545609895028</v>
      </c>
      <c r="H6" s="189">
        <f t="shared" si="0"/>
        <v>0.2126002063837287</v>
      </c>
      <c r="I6" s="189">
        <f t="shared" si="0"/>
        <v>0.20445255775399668</v>
      </c>
      <c r="J6" s="189">
        <f t="shared" si="0"/>
        <v>0.20058323221579524</v>
      </c>
      <c r="K6" s="189">
        <f t="shared" si="0"/>
        <v>0.19768427586829454</v>
      </c>
      <c r="L6" s="189">
        <f t="shared" si="0"/>
        <v>0.19782498667435802</v>
      </c>
      <c r="M6" s="189">
        <f t="shared" si="0"/>
        <v>0.19701463958669099</v>
      </c>
      <c r="N6" s="189">
        <f t="shared" si="0"/>
        <v>0.1963611443967275</v>
      </c>
      <c r="O6" s="189">
        <f t="shared" si="0"/>
        <v>0.19568512609695929</v>
      </c>
      <c r="P6" s="189">
        <f t="shared" si="0"/>
        <v>0.19530104717788987</v>
      </c>
      <c r="Q6" s="189">
        <f t="shared" si="0"/>
        <v>0.19483638131162317</v>
      </c>
    </row>
    <row r="7" spans="1:17" x14ac:dyDescent="0.25">
      <c r="B7" s="170" t="s">
        <v>293</v>
      </c>
      <c r="C7" s="188">
        <f t="shared" ref="C7:Q7" si="1">C9/C5</f>
        <v>-0.17711927138364195</v>
      </c>
      <c r="D7" s="188">
        <f t="shared" si="1"/>
        <v>-9.5332488015940367E-2</v>
      </c>
      <c r="E7" s="188">
        <f t="shared" si="1"/>
        <v>-0.13879756446921945</v>
      </c>
      <c r="F7" s="188">
        <f t="shared" si="1"/>
        <v>-1.8082482358451488E-2</v>
      </c>
      <c r="G7" s="188">
        <f t="shared" si="1"/>
        <v>-2.8073887216209618E-3</v>
      </c>
      <c r="H7" s="189">
        <f t="shared" si="1"/>
        <v>9.5895460575105215E-2</v>
      </c>
      <c r="I7" s="189">
        <f t="shared" si="1"/>
        <v>8.7747811945373191E-2</v>
      </c>
      <c r="J7" s="189">
        <f t="shared" si="1"/>
        <v>8.3878486407171757E-2</v>
      </c>
      <c r="K7" s="189">
        <f t="shared" si="1"/>
        <v>8.0979530059671068E-2</v>
      </c>
      <c r="L7" s="189">
        <f t="shared" si="1"/>
        <v>8.1120240865734522E-2</v>
      </c>
      <c r="M7" s="189">
        <f t="shared" si="1"/>
        <v>8.0309893778067507E-2</v>
      </c>
      <c r="N7" s="189">
        <f t="shared" si="1"/>
        <v>7.9656398588104027E-2</v>
      </c>
      <c r="O7" s="189">
        <f t="shared" si="1"/>
        <v>7.8980380288335789E-2</v>
      </c>
      <c r="P7" s="189">
        <f t="shared" si="1"/>
        <v>7.8596301369266375E-2</v>
      </c>
      <c r="Q7" s="189">
        <f t="shared" si="1"/>
        <v>7.8131635502999702E-2</v>
      </c>
    </row>
    <row r="8" spans="1:17" x14ac:dyDescent="0.2">
      <c r="B8" s="7" t="s">
        <v>76</v>
      </c>
      <c r="C8" s="157">
        <f>'P&amp;L'!C7</f>
        <v>923.50300000000016</v>
      </c>
      <c r="D8" s="60">
        <f>'P&amp;L'!D7</f>
        <v>1599.2569999999996</v>
      </c>
      <c r="E8" s="60">
        <f>'P&amp;L'!E7</f>
        <v>2222.487000000001</v>
      </c>
      <c r="F8" s="60">
        <f>'P&amp;L'!F7</f>
        <v>4042.0210000000006</v>
      </c>
      <c r="G8" s="60">
        <f>'P&amp;L'!G7</f>
        <v>4069</v>
      </c>
      <c r="H8" s="187">
        <f>'P&amp;L'!H7</f>
        <v>8162.1371543670466</v>
      </c>
      <c r="I8" s="187">
        <f>'P&amp;L'!I7</f>
        <v>10428.432329051742</v>
      </c>
      <c r="J8" s="187">
        <f>'P&amp;L'!J7</f>
        <v>13911.728080930821</v>
      </c>
      <c r="K8" s="187">
        <f>'P&amp;L'!K7</f>
        <v>17633.872036197849</v>
      </c>
      <c r="L8" s="187">
        <f>'P&amp;L'!L7</f>
        <v>20157.39643479696</v>
      </c>
      <c r="M8" s="187">
        <f>'P&amp;L'!M7</f>
        <v>21513.380809200185</v>
      </c>
      <c r="N8" s="187">
        <f>'P&amp;L'!N7</f>
        <v>22852.342072905565</v>
      </c>
      <c r="O8" s="187">
        <f>'P&amp;L'!O7</f>
        <v>24206.703872707658</v>
      </c>
      <c r="P8" s="187">
        <f>'P&amp;L'!P7</f>
        <v>25356.235260265559</v>
      </c>
      <c r="Q8" s="187">
        <f>'P&amp;L'!Q7</f>
        <v>26377.66182851918</v>
      </c>
    </row>
    <row r="9" spans="1:17" x14ac:dyDescent="0.2">
      <c r="B9" s="7" t="s">
        <v>43</v>
      </c>
      <c r="C9" s="157">
        <f>'P&amp;L'!C9</f>
        <v>-716.62899999999991</v>
      </c>
      <c r="D9" s="157">
        <f>'P&amp;L'!D9</f>
        <v>-667.3400000000006</v>
      </c>
      <c r="E9" s="157">
        <f>'P&amp;L'!E9</f>
        <v>-1632.0859999999989</v>
      </c>
      <c r="F9" s="157">
        <f>'P&amp;L'!F9</f>
        <v>-388.07299999999941</v>
      </c>
      <c r="G9" s="7">
        <f>'P&amp;L'!G9</f>
        <v>-69</v>
      </c>
      <c r="H9" s="79">
        <f>'P&amp;L'!H9</f>
        <v>3681.6140257289571</v>
      </c>
      <c r="I9" s="79">
        <f>'P&amp;L'!I9</f>
        <v>4475.7186163243023</v>
      </c>
      <c r="J9" s="79">
        <f>'P&amp;L'!J9</f>
        <v>5817.5086812901427</v>
      </c>
      <c r="K9" s="79">
        <f>'P&amp;L'!K9</f>
        <v>7223.5521229572041</v>
      </c>
      <c r="L9" s="79">
        <f>'P&amp;L'!L9</f>
        <v>8265.7549054129577</v>
      </c>
      <c r="M9" s="79">
        <f>'P&amp;L'!M9</f>
        <v>8769.5885504677863</v>
      </c>
      <c r="N9" s="79">
        <f>'P&amp;L'!N9</f>
        <v>9270.3435520484891</v>
      </c>
      <c r="O9" s="79">
        <f>'P&amp;L'!O9</f>
        <v>9770.0561893819358</v>
      </c>
      <c r="P9" s="79">
        <f>'P&amp;L'!P9</f>
        <v>10204.278660577855</v>
      </c>
      <c r="Q9" s="79">
        <f>'P&amp;L'!Q9</f>
        <v>10577.746545759224</v>
      </c>
    </row>
    <row r="10" spans="1:17" ht="13.2" x14ac:dyDescent="0.25">
      <c r="B10" s="1"/>
    </row>
    <row r="11" spans="1:17" ht="13.2" x14ac:dyDescent="0.25">
      <c r="B11" s="1"/>
    </row>
    <row r="18" spans="3:3" x14ac:dyDescent="0.2">
      <c r="C18" s="157"/>
    </row>
    <row r="19" spans="3:3" x14ac:dyDescent="0.2">
      <c r="C19" s="157"/>
    </row>
    <row r="20" spans="3:3" x14ac:dyDescent="0.2">
      <c r="C20" s="157"/>
    </row>
    <row r="21" spans="3:3" x14ac:dyDescent="0.2">
      <c r="C21" s="157"/>
    </row>
    <row r="22" spans="3:3" x14ac:dyDescent="0.2">
      <c r="C22" s="157"/>
    </row>
    <row r="23" spans="3:3" x14ac:dyDescent="0.2">
      <c r="C23" s="157"/>
    </row>
    <row r="24" spans="3:3" x14ac:dyDescent="0.2">
      <c r="C24" s="157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46"/>
  <sheetViews>
    <sheetView workbookViewId="0"/>
  </sheetViews>
  <sheetFormatPr defaultColWidth="9.109375" defaultRowHeight="11.4" x14ac:dyDescent="0.25"/>
  <cols>
    <col min="1" max="1" width="2" style="7" customWidth="1"/>
    <col min="2" max="2" width="44.88671875" style="7" bestFit="1" customWidth="1"/>
    <col min="3" max="4" width="12.88671875" style="7" bestFit="1" customWidth="1"/>
    <col min="5" max="5" width="14" style="7" bestFit="1" customWidth="1"/>
    <col min="6" max="6" width="12.88671875" style="7" bestFit="1" customWidth="1"/>
    <col min="7" max="7" width="14" style="7" bestFit="1" customWidth="1"/>
    <col min="8" max="8" width="9.109375" style="7"/>
    <col min="9" max="10" width="10.33203125" style="7" bestFit="1" customWidth="1"/>
    <col min="11" max="16384" width="9.109375" style="7"/>
  </cols>
  <sheetData>
    <row r="1" spans="2:8" ht="15.6" x14ac:dyDescent="0.25">
      <c r="B1" s="2" t="s">
        <v>163</v>
      </c>
    </row>
    <row r="3" spans="2:8" ht="24" x14ac:dyDescent="0.25">
      <c r="B3" s="5" t="s">
        <v>37</v>
      </c>
      <c r="C3" s="59" t="s">
        <v>48</v>
      </c>
      <c r="D3" s="59" t="s">
        <v>49</v>
      </c>
      <c r="E3" s="59" t="s">
        <v>162</v>
      </c>
      <c r="F3" s="59" t="s">
        <v>335</v>
      </c>
      <c r="G3" s="59" t="s">
        <v>393</v>
      </c>
    </row>
    <row r="4" spans="2:8" x14ac:dyDescent="0.25">
      <c r="B4" s="7" t="s">
        <v>7</v>
      </c>
      <c r="C4" s="73">
        <v>1196908</v>
      </c>
      <c r="D4" s="73">
        <v>3393216</v>
      </c>
      <c r="E4" s="73">
        <v>3367914</v>
      </c>
      <c r="F4" s="73">
        <v>3685618</v>
      </c>
      <c r="G4" s="73">
        <v>6268000</v>
      </c>
      <c r="H4" s="78"/>
    </row>
    <row r="5" spans="2:8" x14ac:dyDescent="0.25">
      <c r="B5" s="7" t="s">
        <v>39</v>
      </c>
      <c r="C5" s="73">
        <v>22628</v>
      </c>
      <c r="D5" s="73">
        <v>105519</v>
      </c>
      <c r="E5" s="73">
        <v>155323</v>
      </c>
      <c r="F5" s="73">
        <v>192551</v>
      </c>
      <c r="G5" s="73">
        <v>246000</v>
      </c>
      <c r="H5" s="78"/>
    </row>
    <row r="6" spans="2:8" x14ac:dyDescent="0.25">
      <c r="B6" s="7" t="s">
        <v>8</v>
      </c>
      <c r="C6" s="73">
        <v>168965</v>
      </c>
      <c r="D6" s="73">
        <v>499142</v>
      </c>
      <c r="E6" s="73">
        <v>515381</v>
      </c>
      <c r="F6" s="73">
        <v>949022</v>
      </c>
      <c r="G6" s="73">
        <v>1324000</v>
      </c>
      <c r="H6" s="78"/>
    </row>
    <row r="7" spans="2:8" x14ac:dyDescent="0.25">
      <c r="B7" s="7" t="s">
        <v>9</v>
      </c>
      <c r="C7" s="73">
        <v>1277838</v>
      </c>
      <c r="D7" s="73">
        <v>2067454</v>
      </c>
      <c r="E7" s="73">
        <v>2263537</v>
      </c>
      <c r="F7" s="73">
        <v>3113446</v>
      </c>
      <c r="G7" s="73">
        <v>3552000</v>
      </c>
      <c r="H7" s="78"/>
    </row>
    <row r="8" spans="2:8" x14ac:dyDescent="0.25">
      <c r="B8" s="7" t="s">
        <v>10</v>
      </c>
      <c r="C8" s="73">
        <v>115667</v>
      </c>
      <c r="D8" s="73">
        <v>194465</v>
      </c>
      <c r="E8" s="73">
        <v>268365</v>
      </c>
      <c r="F8" s="73">
        <v>365671</v>
      </c>
      <c r="G8" s="73">
        <v>713000</v>
      </c>
      <c r="H8" s="78"/>
    </row>
    <row r="9" spans="2:8" ht="12" x14ac:dyDescent="0.25">
      <c r="B9" s="8" t="s">
        <v>11</v>
      </c>
      <c r="C9" s="74">
        <f>SUM(C4:C8)</f>
        <v>2782006</v>
      </c>
      <c r="D9" s="74">
        <f>SUM(D4:D8)</f>
        <v>6259796</v>
      </c>
      <c r="E9" s="74">
        <f>SUM(E4:E8)</f>
        <v>6570520</v>
      </c>
      <c r="F9" s="74">
        <f>SUM(F4:F8)</f>
        <v>8306308</v>
      </c>
      <c r="G9" s="74">
        <f>SUM(G4:G8)</f>
        <v>12103000</v>
      </c>
      <c r="H9" s="78"/>
    </row>
    <row r="10" spans="2:8" x14ac:dyDescent="0.25">
      <c r="B10" s="7" t="s">
        <v>12</v>
      </c>
      <c r="C10" s="73">
        <v>1791403</v>
      </c>
      <c r="D10" s="73">
        <v>3134080</v>
      </c>
      <c r="E10" s="73">
        <v>4116604</v>
      </c>
      <c r="F10" s="73">
        <v>2089758</v>
      </c>
      <c r="G10" s="73">
        <v>2447000</v>
      </c>
      <c r="H10" s="78"/>
    </row>
    <row r="11" spans="2:8" x14ac:dyDescent="0.25">
      <c r="B11" s="7" t="s">
        <v>13</v>
      </c>
      <c r="C11" s="73">
        <v>0</v>
      </c>
      <c r="D11" s="73">
        <v>5919880</v>
      </c>
      <c r="E11" s="73">
        <v>6347490</v>
      </c>
      <c r="F11" s="73">
        <v>6271396</v>
      </c>
      <c r="G11" s="73">
        <v>6138000</v>
      </c>
      <c r="H11" s="78"/>
    </row>
    <row r="12" spans="2:8" x14ac:dyDescent="0.25">
      <c r="B12" s="7" t="s">
        <v>14</v>
      </c>
      <c r="C12" s="73">
        <v>3403334</v>
      </c>
      <c r="D12" s="73">
        <v>5982957</v>
      </c>
      <c r="E12" s="73">
        <v>10027522</v>
      </c>
      <c r="F12" s="73">
        <v>11330077</v>
      </c>
      <c r="G12" s="73">
        <v>10396000</v>
      </c>
      <c r="H12" s="78"/>
    </row>
    <row r="13" spans="2:8" x14ac:dyDescent="0.25">
      <c r="B13" s="7" t="s">
        <v>336</v>
      </c>
      <c r="C13" s="73">
        <v>0</v>
      </c>
      <c r="D13" s="73">
        <v>0</v>
      </c>
      <c r="E13" s="73">
        <v>0</v>
      </c>
      <c r="F13" s="73">
        <v>0</v>
      </c>
      <c r="G13" s="73">
        <v>1218000</v>
      </c>
      <c r="H13" s="78"/>
    </row>
    <row r="14" spans="2:8" x14ac:dyDescent="0.25">
      <c r="B14" s="7" t="s">
        <v>15</v>
      </c>
      <c r="C14" s="73">
        <v>12816</v>
      </c>
      <c r="D14" s="73">
        <v>376145</v>
      </c>
      <c r="E14" s="73">
        <v>361502</v>
      </c>
      <c r="F14" s="73">
        <v>282492</v>
      </c>
      <c r="G14" s="73">
        <v>339000</v>
      </c>
      <c r="H14" s="78"/>
    </row>
    <row r="15" spans="2:8" x14ac:dyDescent="0.25">
      <c r="B15" s="7" t="s">
        <v>16</v>
      </c>
      <c r="C15" s="73">
        <v>0</v>
      </c>
      <c r="D15" s="73">
        <v>506302</v>
      </c>
      <c r="E15" s="73">
        <f>456652+60237</f>
        <v>516889</v>
      </c>
      <c r="F15" s="73">
        <v>489707</v>
      </c>
      <c r="G15" s="73">
        <v>591000</v>
      </c>
      <c r="H15" s="78"/>
    </row>
    <row r="16" spans="2:8" x14ac:dyDescent="0.25">
      <c r="B16" s="7" t="s">
        <v>17</v>
      </c>
      <c r="C16" s="73">
        <v>31522</v>
      </c>
      <c r="D16" s="73">
        <v>268165</v>
      </c>
      <c r="E16" s="73">
        <v>441722</v>
      </c>
      <c r="F16" s="73">
        <v>398219</v>
      </c>
      <c r="G16" s="73">
        <v>269000</v>
      </c>
      <c r="H16" s="78"/>
    </row>
    <row r="17" spans="2:8" x14ac:dyDescent="0.25">
      <c r="B17" s="7" t="s">
        <v>18</v>
      </c>
      <c r="C17" s="73">
        <v>46858</v>
      </c>
      <c r="D17" s="73">
        <v>216751</v>
      </c>
      <c r="E17" s="73">
        <v>273123</v>
      </c>
      <c r="F17" s="73">
        <v>571657</v>
      </c>
      <c r="G17" s="73">
        <v>808000</v>
      </c>
      <c r="H17" s="78"/>
    </row>
    <row r="18" spans="2:8" ht="12.6" thickBot="1" x14ac:dyDescent="0.3">
      <c r="B18" s="9" t="s">
        <v>19</v>
      </c>
      <c r="C18" s="75">
        <f>SUM(C9:C17)</f>
        <v>8067939</v>
      </c>
      <c r="D18" s="75">
        <f>SUM(D9:D17)</f>
        <v>22664076</v>
      </c>
      <c r="E18" s="75">
        <f>SUM(E9:E17)</f>
        <v>28655372</v>
      </c>
      <c r="F18" s="75">
        <f>SUM(F9:F17)</f>
        <v>29739614</v>
      </c>
      <c r="G18" s="75">
        <f>SUM(G9:G17)</f>
        <v>34309000</v>
      </c>
      <c r="H18" s="78"/>
    </row>
    <row r="19" spans="2:8" x14ac:dyDescent="0.25">
      <c r="B19" s="7" t="s">
        <v>20</v>
      </c>
      <c r="C19" s="73">
        <v>916148</v>
      </c>
      <c r="D19" s="73">
        <v>1860341</v>
      </c>
      <c r="E19" s="73">
        <v>2390250</v>
      </c>
      <c r="F19" s="73">
        <v>3404451</v>
      </c>
      <c r="G19" s="73">
        <v>3771000</v>
      </c>
      <c r="H19" s="78"/>
    </row>
    <row r="20" spans="2:8" x14ac:dyDescent="0.25">
      <c r="B20" s="7" t="s">
        <v>38</v>
      </c>
      <c r="C20" s="73">
        <v>422798</v>
      </c>
      <c r="D20" s="73">
        <v>1210028</v>
      </c>
      <c r="E20" s="73">
        <v>1731366</v>
      </c>
      <c r="F20" s="73">
        <v>2094253</v>
      </c>
      <c r="G20" s="73">
        <v>2905000</v>
      </c>
      <c r="H20" s="78"/>
    </row>
    <row r="21" spans="2:8" x14ac:dyDescent="0.25">
      <c r="B21" s="7" t="s">
        <v>21</v>
      </c>
      <c r="C21" s="73">
        <v>423961</v>
      </c>
      <c r="D21" s="73">
        <v>763126</v>
      </c>
      <c r="E21" s="73">
        <v>1015253</v>
      </c>
      <c r="F21" s="73">
        <v>630292</v>
      </c>
      <c r="G21" s="73">
        <v>1163000</v>
      </c>
      <c r="H21" s="78"/>
    </row>
    <row r="22" spans="2:8" x14ac:dyDescent="0.25">
      <c r="B22" s="7" t="s">
        <v>22</v>
      </c>
      <c r="C22" s="73">
        <v>136831</v>
      </c>
      <c r="D22" s="73">
        <v>179504</v>
      </c>
      <c r="E22" s="73">
        <v>787333</v>
      </c>
      <c r="F22" s="73">
        <v>502840</v>
      </c>
      <c r="G22" s="73">
        <v>317000</v>
      </c>
      <c r="H22" s="78"/>
    </row>
    <row r="23" spans="2:8" x14ac:dyDescent="0.25">
      <c r="B23" s="7" t="s">
        <v>23</v>
      </c>
      <c r="C23" s="73">
        <v>283370</v>
      </c>
      <c r="D23" s="73">
        <v>663859</v>
      </c>
      <c r="E23" s="73">
        <v>853919</v>
      </c>
      <c r="F23" s="73">
        <v>792601</v>
      </c>
      <c r="G23" s="73">
        <v>726000</v>
      </c>
      <c r="H23" s="78"/>
    </row>
    <row r="24" spans="2:8" x14ac:dyDescent="0.25">
      <c r="B24" s="7" t="s">
        <v>24</v>
      </c>
      <c r="C24" s="73">
        <v>627927</v>
      </c>
      <c r="D24" s="73">
        <v>984211</v>
      </c>
      <c r="E24" s="73">
        <v>796549</v>
      </c>
      <c r="F24" s="73">
        <v>2567699</v>
      </c>
      <c r="G24" s="73">
        <v>1785000</v>
      </c>
      <c r="H24" s="78"/>
    </row>
    <row r="25" spans="2:8" x14ac:dyDescent="0.25">
      <c r="B25" s="7" t="s">
        <v>25</v>
      </c>
      <c r="C25" s="73"/>
      <c r="D25" s="73"/>
      <c r="E25" s="67"/>
      <c r="F25" s="73"/>
      <c r="G25" s="67"/>
      <c r="H25" s="78"/>
    </row>
    <row r="26" spans="2:8" x14ac:dyDescent="0.25">
      <c r="B26" s="7" t="s">
        <v>26</v>
      </c>
      <c r="C26" s="73">
        <v>0</v>
      </c>
      <c r="D26" s="73">
        <v>165936</v>
      </c>
      <c r="E26" s="73">
        <v>100000</v>
      </c>
      <c r="F26" s="73">
        <v>0</v>
      </c>
      <c r="G26" s="73">
        <v>0</v>
      </c>
      <c r="H26" s="78"/>
    </row>
    <row r="27" spans="2:8" ht="12" x14ac:dyDescent="0.25">
      <c r="B27" s="8" t="s">
        <v>27</v>
      </c>
      <c r="C27" s="74">
        <v>2811035</v>
      </c>
      <c r="D27" s="74">
        <v>5827005</v>
      </c>
      <c r="E27" s="74">
        <f>SUM(E19:E26)</f>
        <v>7674670</v>
      </c>
      <c r="F27" s="74">
        <f>SUM(F19:F26)</f>
        <v>9992136</v>
      </c>
      <c r="G27" s="74">
        <f>SUM(G19:G26)</f>
        <v>10667000</v>
      </c>
      <c r="H27" s="78"/>
    </row>
    <row r="28" spans="2:8" x14ac:dyDescent="0.25">
      <c r="B28" s="7" t="s">
        <v>28</v>
      </c>
      <c r="C28" s="73"/>
      <c r="D28" s="73"/>
      <c r="E28" s="73"/>
      <c r="F28" s="73"/>
      <c r="G28" s="73"/>
      <c r="H28" s="78"/>
    </row>
    <row r="29" spans="2:8" x14ac:dyDescent="0.25">
      <c r="B29" s="7" t="s">
        <v>16</v>
      </c>
      <c r="C29" s="73">
        <v>2021093</v>
      </c>
      <c r="D29" s="73">
        <v>5860049</v>
      </c>
      <c r="E29" s="73">
        <v>9415700</v>
      </c>
      <c r="F29" s="73">
        <v>9403672</v>
      </c>
      <c r="G29" s="73">
        <v>11634000</v>
      </c>
      <c r="H29" s="78"/>
    </row>
    <row r="30" spans="2:8" x14ac:dyDescent="0.25">
      <c r="B30" s="7" t="s">
        <v>65</v>
      </c>
      <c r="C30" s="67">
        <v>2152107</v>
      </c>
      <c r="D30" s="67">
        <v>5438936</v>
      </c>
      <c r="E30" s="67">
        <v>6330414</v>
      </c>
      <c r="F30" s="67">
        <v>4586166</v>
      </c>
      <c r="G30" s="67">
        <v>4541000</v>
      </c>
      <c r="H30" s="78"/>
    </row>
    <row r="31" spans="2:8" ht="12" x14ac:dyDescent="0.25">
      <c r="B31" s="11" t="s">
        <v>29</v>
      </c>
      <c r="C31" s="76">
        <f>SUM(C27:C30)</f>
        <v>6984235</v>
      </c>
      <c r="D31" s="76">
        <f>SUM(D27:D30)</f>
        <v>17125990</v>
      </c>
      <c r="E31" s="76">
        <f>SUM(E27:E30)</f>
        <v>23420784</v>
      </c>
      <c r="F31" s="76">
        <f>SUM(F27:F30)</f>
        <v>23981974</v>
      </c>
      <c r="G31" s="76">
        <f>SUM(G27:G30)</f>
        <v>26842000</v>
      </c>
      <c r="H31" s="78"/>
    </row>
    <row r="32" spans="2:8" ht="12" x14ac:dyDescent="0.25">
      <c r="B32" s="11" t="s">
        <v>30</v>
      </c>
      <c r="C32" s="76">
        <v>1083704</v>
      </c>
      <c r="D32" s="76">
        <v>4752911</v>
      </c>
      <c r="E32" s="76">
        <v>4237242</v>
      </c>
      <c r="F32" s="76">
        <v>4923243</v>
      </c>
      <c r="G32" s="76">
        <v>6618000</v>
      </c>
      <c r="H32" s="78"/>
    </row>
    <row r="33" spans="2:8" x14ac:dyDescent="0.25">
      <c r="B33" s="7" t="s">
        <v>31</v>
      </c>
      <c r="C33" s="73">
        <v>0</v>
      </c>
      <c r="D33" s="73">
        <v>785175</v>
      </c>
      <c r="E33" s="73">
        <v>997346</v>
      </c>
      <c r="F33" s="73">
        <v>834397</v>
      </c>
      <c r="G33" s="73">
        <v>849000</v>
      </c>
      <c r="H33" s="78"/>
    </row>
    <row r="34" spans="2:8" ht="12.6" thickBot="1" x14ac:dyDescent="0.3">
      <c r="B34" s="9" t="s">
        <v>32</v>
      </c>
      <c r="C34" s="75">
        <f>C31+C32+C33</f>
        <v>8067939</v>
      </c>
      <c r="D34" s="75">
        <f>D31+D32+D33</f>
        <v>22664076</v>
      </c>
      <c r="E34" s="75">
        <f>E31+E32+E33</f>
        <v>28655372</v>
      </c>
      <c r="F34" s="75">
        <f>F31+F32+F33</f>
        <v>29739614</v>
      </c>
      <c r="G34" s="75">
        <f>G31+G32+G33</f>
        <v>34309000</v>
      </c>
      <c r="H34" s="78"/>
    </row>
    <row r="36" spans="2:8" x14ac:dyDescent="0.2">
      <c r="B36" s="64" t="s">
        <v>165</v>
      </c>
      <c r="C36" s="63"/>
      <c r="D36" s="63"/>
      <c r="E36" s="63"/>
      <c r="F36" s="63"/>
      <c r="G36" s="63"/>
    </row>
    <row r="37" spans="2:8" x14ac:dyDescent="0.2">
      <c r="B37" s="64" t="s">
        <v>320</v>
      </c>
      <c r="C37" s="63"/>
      <c r="D37" s="63"/>
      <c r="E37" s="63"/>
      <c r="F37" s="63"/>
      <c r="G37" s="63"/>
    </row>
    <row r="38" spans="2:8" x14ac:dyDescent="0.2">
      <c r="B38" s="62" t="s">
        <v>322</v>
      </c>
      <c r="C38" s="63">
        <f>(C4+C5)/C27</f>
        <v>0.43383878180100921</v>
      </c>
      <c r="D38" s="63">
        <f>(D4+D5)/D27</f>
        <v>0.60043452854425217</v>
      </c>
      <c r="E38" s="63">
        <f>(E4+E5)/E27</f>
        <v>0.45907341944344188</v>
      </c>
      <c r="F38" s="63">
        <f>(F4+F5)/F27</f>
        <v>0.38812211923456608</v>
      </c>
      <c r="G38" s="63">
        <f>(G4+G5)/G27</f>
        <v>0.6106684166119809</v>
      </c>
    </row>
    <row r="39" spans="2:8" x14ac:dyDescent="0.2">
      <c r="B39" s="62" t="s">
        <v>323</v>
      </c>
      <c r="C39" s="63">
        <f>C9/C27</f>
        <v>0.98967319866170289</v>
      </c>
      <c r="D39" s="63">
        <f>D9/D27</f>
        <v>1.0742733187975642</v>
      </c>
      <c r="E39" s="63">
        <f>E9/E27</f>
        <v>0.8561306219029613</v>
      </c>
      <c r="F39" s="63">
        <f>F9/F27</f>
        <v>0.83128452214821735</v>
      </c>
      <c r="G39" s="63">
        <f>G9/G27</f>
        <v>1.1346207931002157</v>
      </c>
    </row>
    <row r="40" spans="2:8" x14ac:dyDescent="0.2">
      <c r="B40" s="62" t="s">
        <v>50</v>
      </c>
      <c r="C40" s="63">
        <f>C6/'P&amp;L Input'!C7*360</f>
        <v>15.033866572747325</v>
      </c>
      <c r="D40" s="63">
        <f>D6/'P&amp;L Input'!D7*360</f>
        <v>25.66967594325364</v>
      </c>
      <c r="E40" s="63">
        <f>E6/'P&amp;L Input'!E7*360</f>
        <v>15.77864519794662</v>
      </c>
      <c r="F40" s="63">
        <f>F6/'P&amp;L Input'!F7*360</f>
        <v>15.919279326831946</v>
      </c>
      <c r="G40" s="63">
        <f>G6/'P&amp;L Input'!G7*180</f>
        <v>9.6964765237204009</v>
      </c>
    </row>
    <row r="41" spans="2:8" x14ac:dyDescent="0.2">
      <c r="B41" s="62" t="s">
        <v>51</v>
      </c>
      <c r="C41" s="63">
        <f>-C7/SUM('P&amp;L Input'!C8:C10)*360</f>
        <v>147.32375944829212</v>
      </c>
      <c r="D41" s="63">
        <f>-D7/SUM('P&amp;L Input'!D8:D10)*360</f>
        <v>137.80793667692734</v>
      </c>
      <c r="E41" s="63">
        <f>-E7/SUM('P&amp;L Input'!E8:E10)*360</f>
        <v>85.449953986173199</v>
      </c>
      <c r="F41" s="63">
        <f>-F7/SUM('P&amp;L Input'!F8:F10)*360</f>
        <v>64.344949009563962</v>
      </c>
      <c r="G41" s="63">
        <f>-G7/SUM('P&amp;L Input'!G8:G10)*180</f>
        <v>31.174606270417865</v>
      </c>
    </row>
    <row r="42" spans="2:8" x14ac:dyDescent="0.2">
      <c r="B42" s="62" t="s">
        <v>52</v>
      </c>
      <c r="C42" s="63">
        <f>-C19/SUM('P&amp;L Input'!C8:C10)*360</f>
        <v>105.62400521117225</v>
      </c>
      <c r="D42" s="63">
        <f>-D19/SUM('P&amp;L Input'!D8:D10)*360</f>
        <v>124.00264031291226</v>
      </c>
      <c r="E42" s="63">
        <f>-E19/SUM('P&amp;L Input'!E8:E10)*360</f>
        <v>90.233449912879919</v>
      </c>
      <c r="F42" s="63">
        <f>-F19/SUM('P&amp;L Input'!F8:F10)*360</f>
        <v>70.359089574882319</v>
      </c>
      <c r="G42" s="63">
        <f>-G19/SUM('P&amp;L Input'!G8:G10)*180</f>
        <v>33.096689258374376</v>
      </c>
    </row>
    <row r="43" spans="2:8" x14ac:dyDescent="0.2">
      <c r="B43" s="62" t="s">
        <v>53</v>
      </c>
      <c r="C43" s="63">
        <f>C40+C41-C42</f>
        <v>56.73362080986719</v>
      </c>
      <c r="D43" s="63">
        <f>D40+D41-D42</f>
        <v>39.474972307268729</v>
      </c>
      <c r="E43" s="63">
        <f>E40+E41-E42</f>
        <v>10.995149271239896</v>
      </c>
      <c r="F43" s="63">
        <f>F40+F41-F42</f>
        <v>9.9051387615135837</v>
      </c>
      <c r="G43" s="63">
        <f>G40+G41-G42</f>
        <v>7.7743935357638918</v>
      </c>
    </row>
    <row r="44" spans="2:8" x14ac:dyDescent="0.2">
      <c r="B44" s="64" t="s">
        <v>324</v>
      </c>
      <c r="C44" s="63"/>
      <c r="D44" s="63"/>
      <c r="E44" s="63"/>
      <c r="F44" s="63"/>
      <c r="G44" s="63"/>
    </row>
    <row r="45" spans="2:8" x14ac:dyDescent="0.2">
      <c r="B45" s="62" t="s">
        <v>321</v>
      </c>
      <c r="C45" s="63">
        <f>C18/C31</f>
        <v>1.1551643093338069</v>
      </c>
      <c r="D45" s="63">
        <f>D18/D31</f>
        <v>1.3233731889368148</v>
      </c>
      <c r="E45" s="63">
        <f>E18/E31</f>
        <v>1.2235018264119595</v>
      </c>
      <c r="F45" s="63">
        <f>F18/F31</f>
        <v>1.2400819882466723</v>
      </c>
      <c r="G45" s="63">
        <f>G18/G31</f>
        <v>1.2781834438566426</v>
      </c>
    </row>
    <row r="46" spans="2:8" x14ac:dyDescent="0.2">
      <c r="B46" s="62" t="s">
        <v>325</v>
      </c>
      <c r="C46" s="193" t="s">
        <v>326</v>
      </c>
      <c r="D46" s="193" t="s">
        <v>326</v>
      </c>
      <c r="E46" s="193" t="s">
        <v>326</v>
      </c>
      <c r="F46" s="193" t="s">
        <v>326</v>
      </c>
      <c r="G46" s="193" t="s">
        <v>326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81805-539C-40CE-BB49-177B73BB5A1B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0" t="s">
        <v>295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F11E2-83A7-446D-9683-E65B805A5A2A}">
  <dimension ref="A1:C25"/>
  <sheetViews>
    <sheetView workbookViewId="0"/>
  </sheetViews>
  <sheetFormatPr defaultColWidth="9.109375" defaultRowHeight="11.4" x14ac:dyDescent="0.25"/>
  <cols>
    <col min="1" max="1" width="2" style="7" customWidth="1"/>
    <col min="2" max="2" width="23.33203125" style="7" customWidth="1"/>
    <col min="3" max="3" width="15.109375" style="7" customWidth="1"/>
    <col min="4" max="4" width="2" style="7" customWidth="1"/>
    <col min="5" max="6" width="11.33203125" style="7" bestFit="1" customWidth="1"/>
    <col min="7" max="7" width="10.33203125" style="7" bestFit="1" customWidth="1"/>
    <col min="8" max="12" width="10.44140625" style="7" bestFit="1" customWidth="1"/>
    <col min="13" max="16384" width="9.109375" style="7"/>
  </cols>
  <sheetData>
    <row r="1" spans="1:3" ht="15.6" x14ac:dyDescent="0.25">
      <c r="A1" s="184"/>
      <c r="B1" s="2" t="s">
        <v>304</v>
      </c>
    </row>
    <row r="3" spans="1:3" x14ac:dyDescent="0.25">
      <c r="B3" s="7" t="s">
        <v>297</v>
      </c>
      <c r="C3" s="152">
        <f>'Revenue automotive'!F11*1000/Deliveries!F11</f>
        <v>75.596043606075455</v>
      </c>
    </row>
    <row r="4" spans="1:3" x14ac:dyDescent="0.25">
      <c r="B4" s="7" t="s">
        <v>298</v>
      </c>
      <c r="C4" s="152">
        <f>'Revenue automotive'!G11*1000/Deliveries!G11</f>
        <v>56.702069716775597</v>
      </c>
    </row>
    <row r="5" spans="1:3" x14ac:dyDescent="0.25">
      <c r="B5" s="7" t="s">
        <v>373</v>
      </c>
      <c r="C5" s="152">
        <f>'Revenue automotive'!H11*1000/Deliveries!H11</f>
        <v>61.37119650528772</v>
      </c>
    </row>
    <row r="7" spans="1:3" x14ac:dyDescent="0.2">
      <c r="B7" s="7" t="s">
        <v>299</v>
      </c>
      <c r="C7" s="157">
        <f>Deliveries!F11</f>
        <v>244920</v>
      </c>
    </row>
    <row r="8" spans="1:3" x14ac:dyDescent="0.2">
      <c r="B8" s="7" t="s">
        <v>300</v>
      </c>
      <c r="C8" s="157">
        <f>Deliveries!G11</f>
        <v>367200</v>
      </c>
    </row>
    <row r="9" spans="1:3" x14ac:dyDescent="0.2">
      <c r="B9" s="7" t="s">
        <v>372</v>
      </c>
      <c r="C9" s="157">
        <f>Deliveries!H11</f>
        <v>552108.4</v>
      </c>
    </row>
    <row r="11" spans="1:3" x14ac:dyDescent="0.2">
      <c r="B11" s="7" t="s">
        <v>296</v>
      </c>
      <c r="C11" s="157">
        <f>'Revenue automotive'!F11</f>
        <v>18514.983</v>
      </c>
    </row>
    <row r="12" spans="1:3" x14ac:dyDescent="0.2">
      <c r="B12" s="7" t="s">
        <v>301</v>
      </c>
      <c r="C12" s="157">
        <f>(C8-C7)*C3/1000</f>
        <v>9243.8842121509078</v>
      </c>
    </row>
    <row r="13" spans="1:3" x14ac:dyDescent="0.2">
      <c r="B13" s="7" t="s">
        <v>302</v>
      </c>
      <c r="C13" s="157">
        <f>C7*(C4-C3)/1000</f>
        <v>-4627.5120849673203</v>
      </c>
    </row>
    <row r="14" spans="1:3" x14ac:dyDescent="0.2">
      <c r="B14" s="7" t="s">
        <v>303</v>
      </c>
      <c r="C14" s="157">
        <f>(C8-C7)*(C4-C3)/1000</f>
        <v>-2310.3551271835868</v>
      </c>
    </row>
    <row r="15" spans="1:3" x14ac:dyDescent="0.2">
      <c r="B15" s="7" t="s">
        <v>305</v>
      </c>
      <c r="C15" s="157">
        <f>'Revenue automotive'!G11</f>
        <v>20821</v>
      </c>
    </row>
    <row r="16" spans="1:3" x14ac:dyDescent="0.2">
      <c r="C16" s="157"/>
    </row>
    <row r="17" spans="2:3" x14ac:dyDescent="0.2">
      <c r="C17" s="157"/>
    </row>
    <row r="18" spans="2:3" x14ac:dyDescent="0.2">
      <c r="C18" s="157"/>
    </row>
    <row r="19" spans="2:3" x14ac:dyDescent="0.2">
      <c r="C19" s="157"/>
    </row>
    <row r="20" spans="2:3" x14ac:dyDescent="0.2">
      <c r="C20" s="157"/>
    </row>
    <row r="21" spans="2:3" x14ac:dyDescent="0.2">
      <c r="B21" s="7" t="s">
        <v>305</v>
      </c>
      <c r="C21" s="157">
        <f>'Revenue automotive'!G11</f>
        <v>20821</v>
      </c>
    </row>
    <row r="22" spans="2:3" x14ac:dyDescent="0.2">
      <c r="B22" s="7" t="s">
        <v>301</v>
      </c>
      <c r="C22" s="157">
        <f>(C9-C8)*C4/1000</f>
        <v>10484.688988017431</v>
      </c>
    </row>
    <row r="23" spans="2:3" x14ac:dyDescent="0.2">
      <c r="B23" s="7" t="s">
        <v>302</v>
      </c>
      <c r="C23" s="157">
        <f>C8*(C5-C4)/1000</f>
        <v>1714.5033567416517</v>
      </c>
    </row>
    <row r="24" spans="2:3" x14ac:dyDescent="0.2">
      <c r="B24" s="7" t="s">
        <v>303</v>
      </c>
      <c r="C24" s="157">
        <f>(C9-C8)*(C5-C4)/1000</f>
        <v>863.3607638609152</v>
      </c>
    </row>
    <row r="25" spans="2:3" x14ac:dyDescent="0.2">
      <c r="B25" s="7" t="s">
        <v>374</v>
      </c>
      <c r="C25" s="157">
        <f>'Revenue automotive'!H11</f>
        <v>33883.553108619999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4"/>
  <sheetViews>
    <sheetView topLeftCell="A7"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0" t="s">
        <v>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E883-0D4D-4DA8-ABAA-F07CB55B280E}">
  <sheetPr>
    <tabColor rgb="FFC00000"/>
  </sheetPr>
  <dimension ref="B14:G29"/>
  <sheetViews>
    <sheetView topLeftCell="A10"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0" t="s">
        <v>240</v>
      </c>
    </row>
    <row r="29" spans="7:7" x14ac:dyDescent="0.25">
      <c r="G29" s="1" t="s">
        <v>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3E8-D4EE-442D-98FE-72A55CFF9E96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0" t="s">
        <v>203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5A35-43D7-48CF-8D07-FCB5D996320B}">
  <dimension ref="A1:Q27"/>
  <sheetViews>
    <sheetView workbookViewId="0"/>
  </sheetViews>
  <sheetFormatPr defaultColWidth="9.109375" defaultRowHeight="11.4" x14ac:dyDescent="0.25"/>
  <cols>
    <col min="1" max="1" width="2" style="7" customWidth="1"/>
    <col min="2" max="2" width="15.109375" style="7" customWidth="1"/>
    <col min="3" max="4" width="11.33203125" style="7" bestFit="1" customWidth="1"/>
    <col min="5" max="5" width="10" style="7" bestFit="1" customWidth="1"/>
    <col min="6" max="6" width="11.44140625" style="7" bestFit="1" customWidth="1"/>
    <col min="7" max="7" width="11" style="7" bestFit="1" customWidth="1"/>
    <col min="8" max="8" width="10.33203125" style="7" bestFit="1" customWidth="1"/>
    <col min="9" max="12" width="10.44140625" style="7" bestFit="1" customWidth="1"/>
    <col min="13" max="17" width="10" style="7" bestFit="1" customWidth="1"/>
    <col min="18" max="16384" width="9.109375" style="7"/>
  </cols>
  <sheetData>
    <row r="1" spans="1:17" ht="15.6" x14ac:dyDescent="0.25">
      <c r="A1" s="1"/>
      <c r="B1" s="2" t="s">
        <v>174</v>
      </c>
    </row>
    <row r="2" spans="1:17" ht="15.6" x14ac:dyDescent="0.25">
      <c r="A2" s="1"/>
      <c r="B2" s="2"/>
    </row>
    <row r="3" spans="1:17" ht="12" x14ac:dyDescent="0.25">
      <c r="C3" s="226" t="s">
        <v>176</v>
      </c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</row>
    <row r="4" spans="1:17" ht="24" x14ac:dyDescent="0.25">
      <c r="B4" s="33" t="s">
        <v>166</v>
      </c>
      <c r="C4" s="6" t="s">
        <v>46</v>
      </c>
      <c r="D4" s="6" t="s">
        <v>47</v>
      </c>
      <c r="E4" s="6" t="s">
        <v>160</v>
      </c>
      <c r="F4" s="6" t="s">
        <v>333</v>
      </c>
      <c r="G4" s="6" t="s">
        <v>332</v>
      </c>
      <c r="H4" s="87" t="s">
        <v>178</v>
      </c>
      <c r="I4" s="87" t="s">
        <v>179</v>
      </c>
      <c r="J4" s="87" t="s">
        <v>180</v>
      </c>
      <c r="K4" s="87" t="s">
        <v>181</v>
      </c>
      <c r="L4" s="87" t="s">
        <v>256</v>
      </c>
      <c r="M4" s="87" t="s">
        <v>257</v>
      </c>
      <c r="N4" s="87" t="s">
        <v>258</v>
      </c>
      <c r="O4" s="87" t="s">
        <v>259</v>
      </c>
      <c r="P4" s="87" t="s">
        <v>260</v>
      </c>
      <c r="Q4" s="87" t="s">
        <v>337</v>
      </c>
    </row>
    <row r="5" spans="1:17" x14ac:dyDescent="0.25">
      <c r="B5" s="7" t="s">
        <v>169</v>
      </c>
      <c r="C5" s="67">
        <v>0</v>
      </c>
      <c r="D5" s="67">
        <v>0</v>
      </c>
      <c r="E5" s="67">
        <v>1764</v>
      </c>
      <c r="F5" s="67">
        <v>146055</v>
      </c>
      <c r="G5" s="67">
        <v>300815</v>
      </c>
      <c r="H5" s="68">
        <f t="shared" ref="H5" si="0">G5*(1+H15)</f>
        <v>481304</v>
      </c>
      <c r="I5" s="68">
        <f t="shared" ref="I5" si="1">H5*(1+I15)</f>
        <v>529434.4</v>
      </c>
      <c r="J5" s="68">
        <f t="shared" ref="J5:Q5" si="2">I5*(1+J15)</f>
        <v>582377.84000000008</v>
      </c>
      <c r="K5" s="68">
        <f t="shared" si="2"/>
        <v>628968.06720000017</v>
      </c>
      <c r="L5" s="68">
        <f t="shared" si="2"/>
        <v>679285.51257600018</v>
      </c>
      <c r="M5" s="68">
        <f t="shared" si="2"/>
        <v>706456.93307904026</v>
      </c>
      <c r="N5" s="68">
        <f t="shared" si="2"/>
        <v>734715.21040220186</v>
      </c>
      <c r="O5" s="68">
        <f t="shared" si="2"/>
        <v>764103.81881829002</v>
      </c>
      <c r="P5" s="68">
        <f t="shared" si="2"/>
        <v>794667.9715710216</v>
      </c>
      <c r="Q5" s="68">
        <f t="shared" si="2"/>
        <v>826454.6904338625</v>
      </c>
    </row>
    <row r="6" spans="1:17" x14ac:dyDescent="0.25">
      <c r="B6" s="7" t="s">
        <v>175</v>
      </c>
      <c r="C6" s="67">
        <v>50580</v>
      </c>
      <c r="D6" s="67">
        <v>76230</v>
      </c>
      <c r="E6" s="67">
        <v>101312</v>
      </c>
      <c r="F6" s="67">
        <v>98865</v>
      </c>
      <c r="G6" s="67">
        <v>66385</v>
      </c>
      <c r="H6" s="68">
        <f>G6*(1+H16)</f>
        <v>69040.400000000009</v>
      </c>
      <c r="I6" s="68">
        <f>H6*(1+I16)</f>
        <v>71802.016000000018</v>
      </c>
      <c r="J6" s="68">
        <f>I6*(1+J16)</f>
        <v>74674.096640000018</v>
      </c>
      <c r="K6" s="68">
        <f t="shared" ref="K6:Q6" si="3">J6*(1+K16)</f>
        <v>77661.06050560002</v>
      </c>
      <c r="L6" s="68">
        <f t="shared" si="3"/>
        <v>80767.502925824025</v>
      </c>
      <c r="M6" s="68">
        <f t="shared" si="3"/>
        <v>83998.203042856985</v>
      </c>
      <c r="N6" s="68">
        <f t="shared" si="3"/>
        <v>87358.13116457127</v>
      </c>
      <c r="O6" s="68">
        <f t="shared" si="3"/>
        <v>90852.456411154126</v>
      </c>
      <c r="P6" s="68">
        <f t="shared" si="3"/>
        <v>94486.5546676003</v>
      </c>
      <c r="Q6" s="68">
        <f t="shared" si="3"/>
        <v>98266.016854304311</v>
      </c>
    </row>
    <row r="7" spans="1:17" x14ac:dyDescent="0.25">
      <c r="B7" s="7" t="s">
        <v>170</v>
      </c>
      <c r="C7" s="67">
        <v>0</v>
      </c>
      <c r="D7" s="67">
        <v>0</v>
      </c>
      <c r="E7" s="67">
        <v>0</v>
      </c>
      <c r="F7" s="67">
        <v>0</v>
      </c>
      <c r="G7" s="67">
        <v>0</v>
      </c>
      <c r="H7" s="68">
        <f>E5</f>
        <v>1764</v>
      </c>
      <c r="I7" s="68">
        <f>H7*(1+I17)</f>
        <v>146055</v>
      </c>
      <c r="J7" s="68">
        <f>I7*(1+J17)</f>
        <v>300815</v>
      </c>
      <c r="K7" s="68">
        <f t="shared" ref="K7:Q7" si="4">J7*(1+K17)</f>
        <v>481304</v>
      </c>
      <c r="L7" s="68">
        <f t="shared" si="4"/>
        <v>529434.4</v>
      </c>
      <c r="M7" s="68">
        <f t="shared" si="4"/>
        <v>582377.84000000008</v>
      </c>
      <c r="N7" s="68">
        <f t="shared" si="4"/>
        <v>628968.06720000017</v>
      </c>
      <c r="O7" s="68">
        <f t="shared" si="4"/>
        <v>679285.51257600018</v>
      </c>
      <c r="P7" s="68">
        <f t="shared" si="4"/>
        <v>706456.93307904026</v>
      </c>
      <c r="Q7" s="68">
        <f t="shared" si="4"/>
        <v>734715.21040220186</v>
      </c>
    </row>
    <row r="8" spans="1:17" x14ac:dyDescent="0.25">
      <c r="B8" s="7" t="s">
        <v>172</v>
      </c>
      <c r="C8" s="67">
        <v>0</v>
      </c>
      <c r="D8" s="67">
        <v>0</v>
      </c>
      <c r="E8" s="67">
        <v>0</v>
      </c>
      <c r="F8" s="67">
        <v>0</v>
      </c>
      <c r="G8" s="67">
        <v>0</v>
      </c>
      <c r="H8" s="68">
        <v>0</v>
      </c>
      <c r="I8" s="68">
        <v>0</v>
      </c>
      <c r="J8" s="68">
        <v>500</v>
      </c>
      <c r="K8" s="68">
        <f t="shared" ref="K8:Q8" si="5">J8*(1+K18)</f>
        <v>750</v>
      </c>
      <c r="L8" s="68">
        <f t="shared" si="5"/>
        <v>825.00000000000011</v>
      </c>
      <c r="M8" s="68">
        <f t="shared" si="5"/>
        <v>907.50000000000023</v>
      </c>
      <c r="N8" s="68">
        <f t="shared" si="5"/>
        <v>980.10000000000036</v>
      </c>
      <c r="O8" s="68">
        <f t="shared" si="5"/>
        <v>1058.5080000000005</v>
      </c>
      <c r="P8" s="68">
        <f t="shared" si="5"/>
        <v>1100.8483200000005</v>
      </c>
      <c r="Q8" s="68">
        <f t="shared" si="5"/>
        <v>1144.8822528000005</v>
      </c>
    </row>
    <row r="9" spans="1:17" x14ac:dyDescent="0.25">
      <c r="B9" s="7" t="s">
        <v>171</v>
      </c>
      <c r="C9" s="67">
        <v>0</v>
      </c>
      <c r="D9" s="67">
        <v>0</v>
      </c>
      <c r="E9" s="67">
        <v>0</v>
      </c>
      <c r="F9" s="67">
        <v>0</v>
      </c>
      <c r="G9" s="67">
        <v>0</v>
      </c>
      <c r="H9" s="68">
        <v>0</v>
      </c>
      <c r="I9" s="68">
        <v>250</v>
      </c>
      <c r="J9" s="68">
        <f t="shared" ref="J9:Q9" si="6">I9*(1+J19)</f>
        <v>20699.404761904763</v>
      </c>
      <c r="K9" s="68">
        <f t="shared" si="6"/>
        <v>42632.511337868491</v>
      </c>
      <c r="L9" s="68">
        <f t="shared" si="6"/>
        <v>68212.018140589586</v>
      </c>
      <c r="M9" s="68">
        <f t="shared" si="6"/>
        <v>75033.21995464855</v>
      </c>
      <c r="N9" s="68">
        <f t="shared" si="6"/>
        <v>82536.541950113417</v>
      </c>
      <c r="O9" s="68">
        <f t="shared" si="6"/>
        <v>89139.465306122496</v>
      </c>
      <c r="P9" s="68">
        <f t="shared" si="6"/>
        <v>96270.622530612309</v>
      </c>
      <c r="Q9" s="68">
        <f t="shared" si="6"/>
        <v>100121.4474318368</v>
      </c>
    </row>
    <row r="10" spans="1:17" x14ac:dyDescent="0.25">
      <c r="B10" s="7" t="s">
        <v>168</v>
      </c>
      <c r="C10" s="67">
        <v>0</v>
      </c>
      <c r="D10" s="67">
        <v>0</v>
      </c>
      <c r="E10" s="67">
        <v>0</v>
      </c>
      <c r="F10" s="67">
        <v>0</v>
      </c>
      <c r="G10" s="67">
        <v>0</v>
      </c>
      <c r="H10" s="68">
        <v>0</v>
      </c>
      <c r="I10" s="68">
        <v>250</v>
      </c>
      <c r="J10" s="68">
        <f t="shared" ref="J10:Q10" si="7">I10*(1+J20)</f>
        <v>20699.404761904763</v>
      </c>
      <c r="K10" s="68">
        <f t="shared" si="7"/>
        <v>42632.511337868491</v>
      </c>
      <c r="L10" s="68">
        <f t="shared" si="7"/>
        <v>68212.018140589586</v>
      </c>
      <c r="M10" s="68">
        <f t="shared" si="7"/>
        <v>75033.21995464855</v>
      </c>
      <c r="N10" s="68">
        <f t="shared" si="7"/>
        <v>82536.541950113417</v>
      </c>
      <c r="O10" s="68">
        <f t="shared" si="7"/>
        <v>89139.465306122496</v>
      </c>
      <c r="P10" s="68">
        <f t="shared" si="7"/>
        <v>96270.622530612309</v>
      </c>
      <c r="Q10" s="68">
        <f t="shared" si="7"/>
        <v>100121.4474318368</v>
      </c>
    </row>
    <row r="11" spans="1:17" ht="12.6" thickBot="1" x14ac:dyDescent="0.3">
      <c r="B11" s="103" t="s">
        <v>68</v>
      </c>
      <c r="C11" s="110">
        <f>SUM(C5:C10)</f>
        <v>50580</v>
      </c>
      <c r="D11" s="110">
        <f>SUM(D5:D10)</f>
        <v>76230</v>
      </c>
      <c r="E11" s="110">
        <f>SUM(E5:E10)</f>
        <v>103076</v>
      </c>
      <c r="F11" s="110">
        <f>SUM(F5:F10)</f>
        <v>244920</v>
      </c>
      <c r="G11" s="110">
        <f>SUM(G5:G10)</f>
        <v>367200</v>
      </c>
      <c r="H11" s="110">
        <f t="shared" ref="H11:Q11" si="8">SUM(H5:H10)</f>
        <v>552108.4</v>
      </c>
      <c r="I11" s="110">
        <f t="shared" si="8"/>
        <v>747791.41600000008</v>
      </c>
      <c r="J11" s="110">
        <f t="shared" si="8"/>
        <v>999765.74616380956</v>
      </c>
      <c r="K11" s="110">
        <f t="shared" si="8"/>
        <v>1273948.1503813369</v>
      </c>
      <c r="L11" s="110">
        <f>SUM(L5:L10)</f>
        <v>1426736.4517830033</v>
      </c>
      <c r="M11" s="110">
        <f t="shared" si="8"/>
        <v>1523806.9160311944</v>
      </c>
      <c r="N11" s="110">
        <f t="shared" si="8"/>
        <v>1617094.5926670001</v>
      </c>
      <c r="O11" s="110">
        <f t="shared" si="8"/>
        <v>1713579.2264176894</v>
      </c>
      <c r="P11" s="110">
        <f t="shared" si="8"/>
        <v>1789253.5526988872</v>
      </c>
      <c r="Q11" s="110">
        <f t="shared" si="8"/>
        <v>1860823.6948068424</v>
      </c>
    </row>
    <row r="12" spans="1:17" ht="3" customHeight="1" x14ac:dyDescent="0.25"/>
    <row r="13" spans="1:17" x14ac:dyDescent="0.25">
      <c r="B13" s="80" t="s">
        <v>182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1:17" ht="3" customHeight="1" x14ac:dyDescent="0.25">
      <c r="B14" s="80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1:17" x14ac:dyDescent="0.25">
      <c r="B15" s="81" t="s">
        <v>169</v>
      </c>
      <c r="C15" s="84" t="s">
        <v>64</v>
      </c>
      <c r="D15" s="84" t="s">
        <v>64</v>
      </c>
      <c r="E15" s="84" t="s">
        <v>64</v>
      </c>
      <c r="F15" s="72">
        <f t="shared" ref="F15:G16" si="9">F5/E5-1</f>
        <v>81.797619047619051</v>
      </c>
      <c r="G15" s="72">
        <f t="shared" si="9"/>
        <v>1.0596008353017701</v>
      </c>
      <c r="H15" s="83">
        <v>0.6</v>
      </c>
      <c r="I15" s="83">
        <f>$C$25</f>
        <v>0.1</v>
      </c>
      <c r="J15" s="83">
        <f>$C$25</f>
        <v>0.1</v>
      </c>
      <c r="K15" s="83">
        <f>$C$26</f>
        <v>0.08</v>
      </c>
      <c r="L15" s="83">
        <f>$C$26</f>
        <v>0.08</v>
      </c>
      <c r="M15" s="83">
        <f>$C$27</f>
        <v>0.04</v>
      </c>
      <c r="N15" s="83">
        <f t="shared" ref="N15:Q16" si="10">$C$27</f>
        <v>0.04</v>
      </c>
      <c r="O15" s="83">
        <f t="shared" si="10"/>
        <v>0.04</v>
      </c>
      <c r="P15" s="83">
        <f t="shared" si="10"/>
        <v>0.04</v>
      </c>
      <c r="Q15" s="83">
        <f t="shared" si="10"/>
        <v>0.04</v>
      </c>
    </row>
    <row r="16" spans="1:17" x14ac:dyDescent="0.25">
      <c r="B16" s="81" t="s">
        <v>175</v>
      </c>
      <c r="C16" s="84" t="s">
        <v>64</v>
      </c>
      <c r="D16" s="72">
        <f>D6/C6-1</f>
        <v>0.50711743772241991</v>
      </c>
      <c r="E16" s="72">
        <f>E6/D6-1</f>
        <v>0.32903056539420183</v>
      </c>
      <c r="F16" s="72">
        <f t="shared" si="9"/>
        <v>-2.4153111181301368E-2</v>
      </c>
      <c r="G16" s="72">
        <f t="shared" si="9"/>
        <v>-0.32852880190158296</v>
      </c>
      <c r="H16" s="86">
        <f t="shared" ref="H16:M16" si="11">$C$27</f>
        <v>0.04</v>
      </c>
      <c r="I16" s="86">
        <f t="shared" si="11"/>
        <v>0.04</v>
      </c>
      <c r="J16" s="86">
        <f t="shared" si="11"/>
        <v>0.04</v>
      </c>
      <c r="K16" s="86">
        <f t="shared" si="11"/>
        <v>0.04</v>
      </c>
      <c r="L16" s="86">
        <f t="shared" si="11"/>
        <v>0.04</v>
      </c>
      <c r="M16" s="86">
        <f t="shared" si="11"/>
        <v>0.04</v>
      </c>
      <c r="N16" s="86">
        <f t="shared" si="10"/>
        <v>0.04</v>
      </c>
      <c r="O16" s="86">
        <f t="shared" si="10"/>
        <v>0.04</v>
      </c>
      <c r="P16" s="86">
        <f t="shared" si="10"/>
        <v>0.04</v>
      </c>
      <c r="Q16" s="86">
        <f t="shared" si="10"/>
        <v>0.04</v>
      </c>
    </row>
    <row r="17" spans="2:17" x14ac:dyDescent="0.25">
      <c r="B17" s="81" t="s">
        <v>170</v>
      </c>
      <c r="C17" s="84" t="s">
        <v>64</v>
      </c>
      <c r="D17" s="84" t="s">
        <v>64</v>
      </c>
      <c r="E17" s="84" t="s">
        <v>64</v>
      </c>
      <c r="F17" s="84" t="s">
        <v>64</v>
      </c>
      <c r="G17" s="84" t="s">
        <v>64</v>
      </c>
      <c r="H17" s="83" t="s">
        <v>64</v>
      </c>
      <c r="I17" s="86">
        <f>F15</f>
        <v>81.797619047619051</v>
      </c>
      <c r="J17" s="86">
        <f t="shared" ref="J17:Q17" si="12">G15</f>
        <v>1.0596008353017701</v>
      </c>
      <c r="K17" s="86">
        <f t="shared" si="12"/>
        <v>0.6</v>
      </c>
      <c r="L17" s="86">
        <f t="shared" si="12"/>
        <v>0.1</v>
      </c>
      <c r="M17" s="86">
        <f t="shared" si="12"/>
        <v>0.1</v>
      </c>
      <c r="N17" s="86">
        <f t="shared" si="12"/>
        <v>0.08</v>
      </c>
      <c r="O17" s="86">
        <f t="shared" si="12"/>
        <v>0.08</v>
      </c>
      <c r="P17" s="86">
        <f t="shared" si="12"/>
        <v>0.04</v>
      </c>
      <c r="Q17" s="86">
        <f t="shared" si="12"/>
        <v>0.04</v>
      </c>
    </row>
    <row r="18" spans="2:17" x14ac:dyDescent="0.25">
      <c r="B18" s="81" t="s">
        <v>172</v>
      </c>
      <c r="C18" s="84" t="s">
        <v>64</v>
      </c>
      <c r="D18" s="84" t="s">
        <v>64</v>
      </c>
      <c r="E18" s="84" t="s">
        <v>64</v>
      </c>
      <c r="F18" s="84" t="s">
        <v>64</v>
      </c>
      <c r="G18" s="84" t="s">
        <v>64</v>
      </c>
      <c r="H18" s="83" t="s">
        <v>64</v>
      </c>
      <c r="I18" s="83" t="s">
        <v>64</v>
      </c>
      <c r="J18" s="86">
        <v>1</v>
      </c>
      <c r="K18" s="86">
        <v>0.5</v>
      </c>
      <c r="L18" s="86">
        <f>$C$25</f>
        <v>0.1</v>
      </c>
      <c r="M18" s="86">
        <f>$C$25</f>
        <v>0.1</v>
      </c>
      <c r="N18" s="86">
        <f t="shared" ref="N18:P20" si="13">$C$26</f>
        <v>0.08</v>
      </c>
      <c r="O18" s="86">
        <f t="shared" si="13"/>
        <v>0.08</v>
      </c>
      <c r="P18" s="86">
        <f t="shared" ref="P18:Q20" si="14">$C$27</f>
        <v>0.04</v>
      </c>
      <c r="Q18" s="86">
        <f t="shared" si="14"/>
        <v>0.04</v>
      </c>
    </row>
    <row r="19" spans="2:17" x14ac:dyDescent="0.25">
      <c r="B19" s="81" t="s">
        <v>171</v>
      </c>
      <c r="C19" s="84" t="s">
        <v>64</v>
      </c>
      <c r="D19" s="84" t="s">
        <v>64</v>
      </c>
      <c r="E19" s="84" t="s">
        <v>64</v>
      </c>
      <c r="F19" s="84" t="s">
        <v>64</v>
      </c>
      <c r="G19" s="84" t="s">
        <v>64</v>
      </c>
      <c r="H19" s="84" t="s">
        <v>64</v>
      </c>
      <c r="I19" s="84" t="s">
        <v>64</v>
      </c>
      <c r="J19" s="86">
        <f t="shared" ref="J19:L20" si="15">F$15</f>
        <v>81.797619047619051</v>
      </c>
      <c r="K19" s="86">
        <f t="shared" si="15"/>
        <v>1.0596008353017701</v>
      </c>
      <c r="L19" s="86">
        <f t="shared" si="15"/>
        <v>0.6</v>
      </c>
      <c r="M19" s="86">
        <f>$C$25</f>
        <v>0.1</v>
      </c>
      <c r="N19" s="86">
        <f>$C$25</f>
        <v>0.1</v>
      </c>
      <c r="O19" s="86">
        <f t="shared" si="13"/>
        <v>0.08</v>
      </c>
      <c r="P19" s="86">
        <f t="shared" si="13"/>
        <v>0.08</v>
      </c>
      <c r="Q19" s="86">
        <f t="shared" si="14"/>
        <v>0.04</v>
      </c>
    </row>
    <row r="20" spans="2:17" x14ac:dyDescent="0.25">
      <c r="B20" s="81" t="s">
        <v>168</v>
      </c>
      <c r="C20" s="84" t="s">
        <v>64</v>
      </c>
      <c r="D20" s="84" t="s">
        <v>64</v>
      </c>
      <c r="E20" s="84" t="s">
        <v>64</v>
      </c>
      <c r="F20" s="84" t="s">
        <v>64</v>
      </c>
      <c r="G20" s="84" t="s">
        <v>64</v>
      </c>
      <c r="H20" s="84" t="s">
        <v>64</v>
      </c>
      <c r="I20" s="84" t="s">
        <v>64</v>
      </c>
      <c r="J20" s="86">
        <f t="shared" si="15"/>
        <v>81.797619047619051</v>
      </c>
      <c r="K20" s="86">
        <f t="shared" si="15"/>
        <v>1.0596008353017701</v>
      </c>
      <c r="L20" s="86">
        <f t="shared" si="15"/>
        <v>0.6</v>
      </c>
      <c r="M20" s="86">
        <f>$C$25</f>
        <v>0.1</v>
      </c>
      <c r="N20" s="86">
        <f>$C$25</f>
        <v>0.1</v>
      </c>
      <c r="O20" s="86">
        <f t="shared" si="13"/>
        <v>0.08</v>
      </c>
      <c r="P20" s="86">
        <f t="shared" si="13"/>
        <v>0.08</v>
      </c>
      <c r="Q20" s="86">
        <f t="shared" si="14"/>
        <v>0.04</v>
      </c>
    </row>
    <row r="21" spans="2:17" x14ac:dyDescent="0.25">
      <c r="B21" s="81"/>
      <c r="C21" s="84"/>
      <c r="D21" s="84"/>
      <c r="E21" s="84"/>
      <c r="F21" s="81"/>
      <c r="G21" s="81"/>
      <c r="H21" s="84"/>
      <c r="I21" s="82"/>
      <c r="J21" s="82"/>
      <c r="K21" s="82"/>
      <c r="L21" s="82"/>
      <c r="M21" s="82"/>
      <c r="N21" s="82"/>
      <c r="O21" s="82"/>
      <c r="P21" s="82"/>
      <c r="Q21" s="82"/>
    </row>
    <row r="24" spans="2:17" x14ac:dyDescent="0.25">
      <c r="B24" s="7" t="s">
        <v>253</v>
      </c>
    </row>
    <row r="25" spans="2:17" x14ac:dyDescent="0.25">
      <c r="B25" s="7" t="s">
        <v>254</v>
      </c>
      <c r="C25" s="31">
        <v>0.1</v>
      </c>
    </row>
    <row r="26" spans="2:17" x14ac:dyDescent="0.25">
      <c r="B26" s="7" t="s">
        <v>254</v>
      </c>
      <c r="C26" s="31">
        <v>0.08</v>
      </c>
    </row>
    <row r="27" spans="2:17" x14ac:dyDescent="0.25">
      <c r="B27" s="7" t="s">
        <v>255</v>
      </c>
      <c r="C27" s="31">
        <v>0.04</v>
      </c>
    </row>
  </sheetData>
  <mergeCells count="1">
    <mergeCell ref="C3:Q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Cover</vt:lpstr>
      <vt:lpstr>Drivers</vt:lpstr>
      <vt:lpstr>Input --&gt;</vt:lpstr>
      <vt:lpstr>P&amp;L Input</vt:lpstr>
      <vt:lpstr>Balance Sheet Input</vt:lpstr>
      <vt:lpstr>Workings --&gt;</vt:lpstr>
      <vt:lpstr>Income Statement items</vt:lpstr>
      <vt:lpstr>Automotive</vt:lpstr>
      <vt:lpstr>Deliveries</vt:lpstr>
      <vt:lpstr>Deliveries development</vt:lpstr>
      <vt:lpstr>Deliveries comparables</vt:lpstr>
      <vt:lpstr>Average Prices</vt:lpstr>
      <vt:lpstr>Revenue automotive</vt:lpstr>
      <vt:lpstr>GP% automotive</vt:lpstr>
      <vt:lpstr>GP automotive</vt:lpstr>
      <vt:lpstr>Cost of sales automotive</vt:lpstr>
      <vt:lpstr>Revenue &amp; GP autom</vt:lpstr>
      <vt:lpstr>Energy &amp; Other</vt:lpstr>
      <vt:lpstr>Revenue Energy &amp; Other</vt:lpstr>
      <vt:lpstr>GP Energy &amp; Other</vt:lpstr>
      <vt:lpstr>Cost of sales Energy &amp; Other</vt:lpstr>
      <vt:lpstr>Operating expenses</vt:lpstr>
      <vt:lpstr>Opex comparables</vt:lpstr>
      <vt:lpstr>Opex</vt:lpstr>
      <vt:lpstr>Balance Sheet --&gt;</vt:lpstr>
      <vt:lpstr>PP&amp;E --&gt;</vt:lpstr>
      <vt:lpstr>PP&amp;E</vt:lpstr>
      <vt:lpstr>PP&amp;E Comparables</vt:lpstr>
      <vt:lpstr>Working Capital --&gt; </vt:lpstr>
      <vt:lpstr>WC comparables</vt:lpstr>
      <vt:lpstr>Working capital</vt:lpstr>
      <vt:lpstr>WC development</vt:lpstr>
      <vt:lpstr>Financing --&gt;</vt:lpstr>
      <vt:lpstr>Financing</vt:lpstr>
      <vt:lpstr>WACC</vt:lpstr>
      <vt:lpstr>Output --&gt;</vt:lpstr>
      <vt:lpstr>P&amp;L</vt:lpstr>
      <vt:lpstr>Balance Sheet</vt:lpstr>
      <vt:lpstr>Cash Flow</vt:lpstr>
      <vt:lpstr>DCF</vt:lpstr>
      <vt:lpstr>Bridge charts --&gt;</vt:lpstr>
      <vt:lpstr>Revenue bridge</vt:lpstr>
      <vt:lpstr>Cash flow bridge</vt:lpstr>
      <vt:lpstr>Expenses bridge</vt:lpstr>
      <vt:lpstr>Net Income bridge</vt:lpstr>
      <vt:lpstr>Other charts --&gt;</vt:lpstr>
      <vt:lpstr>Revenue by type of car</vt:lpstr>
      <vt:lpstr>Types of vehicles</vt:lpstr>
      <vt:lpstr>Profitability</vt:lpstr>
      <vt:lpstr>Price - Volume - Mix --&gt;</vt:lpstr>
      <vt:lpstr>Price-Volume-Mix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MANI SRIKAR</cp:lastModifiedBy>
  <dcterms:created xsi:type="dcterms:W3CDTF">2017-12-26T16:16:22Z</dcterms:created>
  <dcterms:modified xsi:type="dcterms:W3CDTF">2024-04-26T12:50:06Z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9ddfd792-6523-4e72-b799-7ce7d130e454</vt:lpwstr>
  </property>
</Properties>
</file>