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ni Srikar\Downloads\models\"/>
    </mc:Choice>
  </mc:AlternateContent>
  <xr:revisionPtr revIDLastSave="0" documentId="13_ncr:1_{2F4EDD13-99A6-425F-B227-35FD75629B4B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INCOME STATEMENTS" sheetId="2" r:id="rId1"/>
    <sheet name="BALANCE SHEETS" sheetId="4" r:id="rId2"/>
    <sheet name="CASH FLOWS STATEMENTS" sheetId="6" r:id="rId3"/>
    <sheet name="STOCKHOLDERS' EQUITY STATEMENTS" sheetId="7" r:id="rId4"/>
    <sheet name="Free Cash Flows" sheetId="88" r:id="rId5"/>
    <sheet name="Net working Capital" sheetId="89" r:id="rId6"/>
    <sheet name="Wacc" sheetId="91" r:id="rId7"/>
    <sheet name="DCF" sheetId="9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92" l="1"/>
  <c r="K9" i="92"/>
  <c r="K7" i="92"/>
  <c r="K6" i="92"/>
  <c r="H3" i="89"/>
  <c r="H4" i="89"/>
  <c r="H5" i="89"/>
  <c r="H7" i="89" s="1"/>
  <c r="I20" i="88" s="1"/>
  <c r="H6" i="89"/>
  <c r="H9" i="89"/>
  <c r="H12" i="89" s="1"/>
  <c r="I21" i="88" s="1"/>
  <c r="H10" i="89"/>
  <c r="H11" i="89"/>
  <c r="H19" i="89"/>
  <c r="H21" i="89"/>
  <c r="H22" i="89"/>
  <c r="H23" i="89"/>
  <c r="H24" i="89"/>
  <c r="H25" i="89"/>
  <c r="H26" i="89"/>
  <c r="G21" i="89"/>
  <c r="G22" i="89"/>
  <c r="G23" i="89"/>
  <c r="G24" i="89"/>
  <c r="G25" i="89"/>
  <c r="G26" i="89"/>
  <c r="H18" i="89"/>
  <c r="H17" i="89"/>
  <c r="I7" i="88"/>
  <c r="I10" i="88"/>
  <c r="I11" i="88"/>
  <c r="I14" i="88"/>
  <c r="I16" i="88"/>
  <c r="I12" i="88" s="1"/>
  <c r="I13" i="88" s="1"/>
  <c r="I15" i="88" s="1"/>
  <c r="I6" i="88"/>
  <c r="I31" i="88"/>
  <c r="I30" i="88"/>
  <c r="I28" i="88"/>
  <c r="I26" i="88"/>
  <c r="I5" i="88"/>
  <c r="M15" i="92"/>
  <c r="L15" i="92"/>
  <c r="I19" i="88" l="1"/>
  <c r="I18" i="88" s="1"/>
  <c r="I22" i="88" s="1"/>
  <c r="I18" i="92" l="1"/>
  <c r="K15" i="92"/>
  <c r="J15" i="92" s="1"/>
  <c r="E15" i="92"/>
  <c r="E21" i="92"/>
  <c r="E19" i="92"/>
  <c r="G7" i="92"/>
  <c r="H7" i="92"/>
  <c r="I7" i="92"/>
  <c r="F7" i="92"/>
  <c r="E22" i="88"/>
  <c r="F22" i="88"/>
  <c r="G22" i="88"/>
  <c r="D22" i="88"/>
  <c r="E18" i="88"/>
  <c r="F18" i="88"/>
  <c r="G18" i="88"/>
  <c r="E19" i="88"/>
  <c r="F19" i="88"/>
  <c r="G19" i="88"/>
  <c r="D19" i="88"/>
  <c r="D18" i="88" s="1"/>
  <c r="E21" i="88"/>
  <c r="F21" i="88"/>
  <c r="G21" i="88"/>
  <c r="D21" i="88"/>
  <c r="E20" i="88"/>
  <c r="F20" i="88"/>
  <c r="G20" i="88"/>
  <c r="D20" i="88"/>
  <c r="E26" i="89"/>
  <c r="E24" i="89"/>
  <c r="E6" i="89"/>
  <c r="D6" i="89"/>
  <c r="C6" i="89"/>
  <c r="E11" i="89"/>
  <c r="D11" i="89"/>
  <c r="C11" i="89"/>
  <c r="H30" i="88"/>
  <c r="G30" i="88"/>
  <c r="F30" i="88"/>
  <c r="E30" i="88"/>
  <c r="D30" i="88"/>
  <c r="G13" i="88"/>
  <c r="H13" i="88"/>
  <c r="G11" i="88"/>
  <c r="H11" i="88"/>
  <c r="G10" i="88"/>
  <c r="H10" i="88"/>
  <c r="H12" i="88" l="1"/>
  <c r="G12" i="88"/>
  <c r="H16" i="88"/>
  <c r="G16" i="88"/>
  <c r="H31" i="88"/>
  <c r="G31" i="88"/>
  <c r="F31" i="88"/>
  <c r="E31" i="88"/>
  <c r="H28" i="88"/>
  <c r="G28" i="88"/>
  <c r="F28" i="88"/>
  <c r="E28" i="88"/>
  <c r="D28" i="88"/>
  <c r="D26" i="88"/>
  <c r="G26" i="88" s="1"/>
  <c r="G5" i="88" s="1"/>
  <c r="F18" i="89" s="1"/>
  <c r="F26" i="88"/>
  <c r="E26" i="88"/>
  <c r="E25" i="88"/>
  <c r="F25" i="88"/>
  <c r="G25" i="88"/>
  <c r="H25" i="88"/>
  <c r="D25" i="88"/>
  <c r="E16" i="88"/>
  <c r="F16" i="88"/>
  <c r="D16" i="88"/>
  <c r="D15" i="88"/>
  <c r="D13" i="88"/>
  <c r="E10" i="88"/>
  <c r="E11" i="88" s="1"/>
  <c r="E13" i="88" s="1"/>
  <c r="E15" i="88" s="1"/>
  <c r="F10" i="88"/>
  <c r="F11" i="88" s="1"/>
  <c r="F13" i="88" s="1"/>
  <c r="F15" i="88" s="1"/>
  <c r="D10" i="88"/>
  <c r="D11" i="88"/>
  <c r="F8" i="88"/>
  <c r="E8" i="88"/>
  <c r="D8" i="88"/>
  <c r="E7" i="88"/>
  <c r="F7" i="88"/>
  <c r="D7" i="88"/>
  <c r="E6" i="88"/>
  <c r="F6" i="88"/>
  <c r="D6" i="88"/>
  <c r="E5" i="88"/>
  <c r="F5" i="88"/>
  <c r="D5" i="88"/>
  <c r="D3" i="2"/>
  <c r="C3" i="2"/>
  <c r="B3" i="2"/>
  <c r="B6" i="6"/>
  <c r="D39" i="6"/>
  <c r="C39" i="6"/>
  <c r="C38" i="6"/>
  <c r="D34" i="6"/>
  <c r="C34" i="6"/>
  <c r="D33" i="6"/>
  <c r="C33" i="6"/>
  <c r="D9" i="6"/>
  <c r="C9" i="6"/>
  <c r="C6" i="6"/>
  <c r="D6" i="6"/>
  <c r="G6" i="92"/>
  <c r="H6" i="92"/>
  <c r="I6" i="92"/>
  <c r="J6" i="92"/>
  <c r="F6" i="92"/>
  <c r="C11" i="91"/>
  <c r="C16" i="91"/>
  <c r="C19" i="91" s="1"/>
  <c r="D5" i="89"/>
  <c r="C5" i="89"/>
  <c r="D10" i="89"/>
  <c r="C10" i="89"/>
  <c r="D9" i="89"/>
  <c r="D12" i="89" s="1"/>
  <c r="C9" i="89"/>
  <c r="D4" i="89"/>
  <c r="C4" i="89"/>
  <c r="D19" i="89"/>
  <c r="C19" i="89"/>
  <c r="D17" i="89"/>
  <c r="D3" i="89" s="1"/>
  <c r="E17" i="89"/>
  <c r="E3" i="89" s="1"/>
  <c r="F17" i="89"/>
  <c r="F3" i="89" s="1"/>
  <c r="G17" i="89"/>
  <c r="G3" i="89" s="1"/>
  <c r="C17" i="89"/>
  <c r="C3" i="89" s="1"/>
  <c r="E18" i="89"/>
  <c r="C18" i="89"/>
  <c r="B25" i="88"/>
  <c r="H26" i="88" l="1"/>
  <c r="H5" i="88" s="1"/>
  <c r="G18" i="89" s="1"/>
  <c r="C26" i="89"/>
  <c r="C21" i="89"/>
  <c r="D18" i="89"/>
  <c r="D24" i="89" s="1"/>
  <c r="D22" i="89"/>
  <c r="C24" i="89"/>
  <c r="C25" i="89"/>
  <c r="E19" i="89"/>
  <c r="C12" i="91"/>
  <c r="C21" i="91" s="1"/>
  <c r="D23" i="89"/>
  <c r="E20" i="92"/>
  <c r="D7" i="89"/>
  <c r="C23" i="89"/>
  <c r="E23" i="89" s="1"/>
  <c r="E9" i="89" s="1"/>
  <c r="C22" i="89"/>
  <c r="E22" i="89" s="1"/>
  <c r="F22" i="89" s="1"/>
  <c r="C12" i="89"/>
  <c r="C7" i="89"/>
  <c r="D21" i="89" l="1"/>
  <c r="E21" i="89" s="1"/>
  <c r="E4" i="89" s="1"/>
  <c r="D25" i="89"/>
  <c r="E25" i="89" s="1"/>
  <c r="D26" i="89"/>
  <c r="F26" i="89" s="1"/>
  <c r="F11" i="89" s="1"/>
  <c r="F21" i="89"/>
  <c r="F4" i="89" s="1"/>
  <c r="F23" i="89"/>
  <c r="E5" i="89"/>
  <c r="F24" i="89" l="1"/>
  <c r="F6" i="89" s="1"/>
  <c r="E7" i="89"/>
  <c r="E12" i="89"/>
  <c r="E10" i="89"/>
  <c r="F25" i="89"/>
  <c r="F10" i="89" s="1"/>
  <c r="G11" i="89"/>
  <c r="G6" i="89"/>
  <c r="G4" i="89"/>
  <c r="G10" i="89" l="1"/>
  <c r="I9" i="92" l="1"/>
  <c r="G6" i="88" l="1"/>
  <c r="G7" i="88" s="1"/>
  <c r="F19" i="89" l="1"/>
  <c r="F5" i="89" l="1"/>
  <c r="F7" i="89" s="1"/>
  <c r="F9" i="89"/>
  <c r="F12" i="89" s="1"/>
  <c r="H6" i="88"/>
  <c r="H7" i="88" s="1"/>
  <c r="G19" i="89" l="1"/>
  <c r="G5" i="89" l="1"/>
  <c r="G7" i="89" s="1"/>
  <c r="H20" i="88" s="1"/>
  <c r="G9" i="89"/>
  <c r="G12" i="89" s="1"/>
  <c r="H21" i="88" s="1"/>
  <c r="G14" i="88"/>
  <c r="G15" i="88"/>
  <c r="H14" i="88"/>
  <c r="H15" i="88"/>
  <c r="H19" i="88" l="1"/>
  <c r="H18" i="88" s="1"/>
  <c r="H22" i="88" s="1"/>
  <c r="J7" i="92" s="1"/>
  <c r="J9" i="92" s="1"/>
  <c r="E16" i="92" l="1"/>
  <c r="E17" i="92" l="1"/>
  <c r="E18" i="92" s="1"/>
  <c r="E22" i="92" s="1"/>
  <c r="E24" i="92" s="1"/>
  <c r="I15" i="9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C7D85CEB-60D5-458B-B994-80C3FA1BB8D8}">
      <text>
        <r>
          <rPr>
            <sz val="11"/>
            <color theme="1"/>
            <rFont val="Calibri"/>
            <family val="2"/>
            <scheme val="minor"/>
          </rPr>
          <t>======
ID#AAAAccCPVgU
kenji    (2022-07-02 07:51:37)
Source: Bloomberg</t>
        </r>
      </text>
    </comment>
    <comment ref="C10" authorId="0" shapeId="0" xr:uid="{24916C34-F7FB-46EB-9634-C4169F570C7A}">
      <text>
        <r>
          <rPr>
            <sz val="11"/>
            <color theme="1"/>
            <rFont val="Calibri"/>
            <family val="2"/>
            <scheme val="minor"/>
          </rPr>
          <t>======
ID#AAAAccCPVgk
kenji    (2022-07-02 07:51:37)
US Corporate Tax Rate</t>
        </r>
      </text>
    </comment>
    <comment ref="C14" authorId="0" shapeId="0" xr:uid="{683656B6-7183-4F00-BFCC-F3DD217DDAB2}">
      <text>
        <r>
          <rPr>
            <sz val="11"/>
            <color theme="1"/>
            <rFont val="Calibri"/>
            <family val="2"/>
            <scheme val="minor"/>
          </rPr>
          <t>======
ID#AAAAccCPVgs
kenji    (2022-07-02 07:51:37)
Source: Bloomberg</t>
        </r>
      </text>
    </comment>
    <comment ref="C15" authorId="0" shapeId="0" xr:uid="{C13992D9-F939-4D6F-B57A-3DEB04A1D161}">
      <text>
        <r>
          <rPr>
            <sz val="11"/>
            <color theme="1"/>
            <rFont val="Calibri"/>
            <family val="2"/>
            <scheme val="minor"/>
          </rPr>
          <t>======
ID#AAAAccCPVgo
kenji    (2022-07-02 07:51:37)
Source: Bloomberg</t>
        </r>
      </text>
    </comment>
    <comment ref="C17" authorId="0" shapeId="0" xr:uid="{FC18255A-7C4D-4F0B-9470-602B43A5FA16}">
      <text>
        <r>
          <rPr>
            <sz val="11"/>
            <color theme="1"/>
            <rFont val="Calibri"/>
            <family val="2"/>
            <scheme val="minor"/>
          </rPr>
          <t>======
ID#AAAAccCPVgY
kenji    (2022-07-02 07:51:37)
Source: Bloomberg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4" authorId="0" shapeId="0" xr:uid="{BE667B90-E044-4480-8496-E43EBEABA925}">
      <text>
        <r>
          <rPr>
            <sz val="11"/>
            <color theme="1"/>
            <rFont val="Calibri"/>
            <family val="2"/>
            <scheme val="minor"/>
          </rPr>
          <t>======
ID#AAAAccCPVgc
kenji    (2022-07-02 07:51:37)
Industry Growth Rate</t>
        </r>
      </text>
    </comment>
    <comment ref="E23" authorId="0" shapeId="0" xr:uid="{F5DBED60-25B5-4989-B738-4E82B9CEC6F4}">
      <text>
        <r>
          <rPr>
            <sz val="11"/>
            <color theme="1"/>
            <rFont val="Calibri"/>
            <family val="2"/>
            <scheme val="minor"/>
          </rPr>
          <t>======
ID#AAAAccCPVgg
kenji    (2022-07-02 07:51:37)
Source: Company 10k filing</t>
        </r>
      </text>
    </comment>
  </commentList>
</comments>
</file>

<file path=xl/sharedStrings.xml><?xml version="1.0" encoding="utf-8"?>
<sst xmlns="http://schemas.openxmlformats.org/spreadsheetml/2006/main" count="235" uniqueCount="162">
  <si>
    <t>3 Months Ended</t>
  </si>
  <si>
    <t> </t>
  </si>
  <si>
    <t>Revenue</t>
  </si>
  <si>
    <t>Cost of revenue</t>
  </si>
  <si>
    <t>Gross margin</t>
  </si>
  <si>
    <t>Research and development</t>
  </si>
  <si>
    <t>Sales and marketing</t>
  </si>
  <si>
    <t>General and administrative</t>
  </si>
  <si>
    <t>Operating income</t>
  </si>
  <si>
    <t>Other income, net</t>
  </si>
  <si>
    <t>Income before income taxes</t>
  </si>
  <si>
    <t>Provision for income taxes</t>
  </si>
  <si>
    <t>Net income</t>
  </si>
  <si>
    <t>Earnings per share:</t>
  </si>
  <si>
    <t>Basic</t>
  </si>
  <si>
    <t>Diluted</t>
  </si>
  <si>
    <t>Weighted average shares outstanding:</t>
  </si>
  <si>
    <t>Product</t>
  </si>
  <si>
    <t>Service and Other</t>
  </si>
  <si>
    <t>Other comprehensive loss</t>
  </si>
  <si>
    <t>Inventories</t>
  </si>
  <si>
    <t>Other current assets</t>
  </si>
  <si>
    <t>Other long-term assets</t>
  </si>
  <si>
    <t>Accounts payable</t>
  </si>
  <si>
    <t>Other current liabilities</t>
  </si>
  <si>
    <t>Deferred income taxes</t>
  </si>
  <si>
    <t>Other long-term liabilities</t>
  </si>
  <si>
    <t>Retained earnings</t>
  </si>
  <si>
    <t>Accumulated other comprehensive loss</t>
  </si>
  <si>
    <t>CASH FLOWS STATEMENTS - USD ($) $ in Millions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</si>
  <si>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</si>
  <si>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</si>
  <si>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</si>
  <si>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</si>
  <si>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losses (gains)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</si>
  <si>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</si>
  <si>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</si>
  <si>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</si>
  <si>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</si>
  <si>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</si>
  <si>
    <t>Financing</t>
  </si>
  <si>
    <t>Proceeds from issuance of debt, maturities of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</si>
  <si>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</si>
  <si>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</si>
  <si>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</si>
  <si>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</si>
  <si>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</si>
  <si>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</si>
  <si>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>Net cash from (used in) financing</t>
  </si>
  <si>
    <t>Investing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</si>
  <si>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</si>
  <si>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</si>
  <si>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</si>
  <si>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</si>
  <si>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</si>
  <si>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Net cash from (used in)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</si>
  <si>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</si>
  <si>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</si>
  <si>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</si>
  <si>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</si>
  <si>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STOCKHOLDERS' EQUITY STATEMENTS - USD ($) $ in Millions</t>
  </si>
  <si>
    <t>Total</t>
  </si>
  <si>
    <t>Common stock and paid-in capital</t>
  </si>
  <si>
    <t>Balance, beginning of period at Jun. 30, 2022</t>
  </si>
  <si>
    <t>Common stock cash dividends</t>
  </si>
  <si>
    <t>Balance, end of period at Sep. 30, 2022</t>
  </si>
  <si>
    <t>Cash dividends declared per common share</t>
  </si>
  <si>
    <t>Balance, beginning of period at Jun. 30, 2023</t>
  </si>
  <si>
    <t>Balance, end of period at Sep. 30, 2023</t>
  </si>
  <si>
    <t>Other Current Assets</t>
  </si>
  <si>
    <t>Other Current Liabilities</t>
  </si>
  <si>
    <t>Free Cash Flows</t>
  </si>
  <si>
    <t>COGS</t>
  </si>
  <si>
    <t>Fiscal Year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</si>
  <si>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</si>
  <si>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</si>
  <si>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</si>
  <si>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</si>
  <si>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</si>
  <si>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</si>
  <si>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</si>
  <si>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</si>
  <si>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</si>
  <si>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</si>
  <si>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</si>
  <si>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</si>
  <si>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</si>
  <si>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</si>
  <si>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</si>
  <si>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</si>
  <si>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</si>
  <si>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</si>
  <si>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</si>
  <si>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</si>
  <si>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</si>
  <si>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D&amp;A as a % of Beginning PP&amp;E</t>
  </si>
  <si>
    <t>CapEx as a % of Beginning PP&amp;E</t>
  </si>
  <si>
    <t>PPPEX</t>
  </si>
  <si>
    <t>Accounts Receivables</t>
  </si>
  <si>
    <t>Merchandise Inventory</t>
  </si>
  <si>
    <t>Accounts Payable</t>
  </si>
  <si>
    <t>Accrued Member Rewards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</si>
  <si>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</si>
  <si>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</si>
  <si>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</si>
  <si>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</si>
  <si>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</si>
  <si>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Member Rewards as a % of Revenue</t>
  </si>
  <si>
    <t>Other Current Liabilities as a % of Revenue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</si>
  <si>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</si>
  <si>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</si>
  <si>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</si>
  <si>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</si>
  <si>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</si>
  <si>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</si>
  <si>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</si>
  <si>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</si>
  <si>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</si>
  <si>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</si>
  <si>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</si>
  <si>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</si>
  <si>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</si>
  <si>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WACC</t>
  </si>
  <si>
    <t>Implied Share Price Calculation</t>
  </si>
  <si>
    <t>Sum of PV of FCF</t>
  </si>
  <si>
    <t>Growth Rate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</si>
  <si>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</si>
  <si>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</si>
  <si>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</si>
  <si>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</si>
  <si>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</si>
  <si>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</si>
  <si>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</si>
  <si>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</si>
  <si>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</si>
  <si>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Unlevered Free Cash Flow (mm)</t>
  </si>
  <si>
    <t>Projection Year</t>
  </si>
  <si>
    <t>Present Value of Free Cash Flow</t>
  </si>
  <si>
    <t>fiscal period</t>
  </si>
  <si>
    <t xml:space="preserve">Zomato </t>
  </si>
  <si>
    <t>Inr millions</t>
  </si>
  <si>
    <t>Assets</t>
  </si>
  <si>
    <t>PP&amp;E</t>
  </si>
  <si>
    <t>GoodWill</t>
  </si>
  <si>
    <t>Intangible Assets</t>
  </si>
  <si>
    <t>Investments</t>
  </si>
  <si>
    <t>Financial Assets</t>
  </si>
  <si>
    <t>Non Current Assets</t>
  </si>
  <si>
    <t>Current  Assets</t>
  </si>
  <si>
    <t>Invetsments</t>
  </si>
  <si>
    <t>Trade Receivables</t>
  </si>
  <si>
    <t>Cash &amp;Cash Equivalents</t>
  </si>
  <si>
    <t>Financiaal Assets</t>
  </si>
  <si>
    <t>Lease Liabilities</t>
  </si>
  <si>
    <t>Trade payables for micro and small enterprises</t>
  </si>
  <si>
    <t>current liabilites</t>
  </si>
  <si>
    <t>Equity sharre capital</t>
  </si>
  <si>
    <t>other equity</t>
  </si>
  <si>
    <t>INCOME STATEMENTS - INR shares in Millions, inr in Millions</t>
  </si>
  <si>
    <t>other current liabilities</t>
  </si>
  <si>
    <t>other current assets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</si>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</sst>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 &quot;#,##0_);_(&quot;$ &quot;\(#,##0\)"/>
    <numFmt numFmtId="165" formatCode="_(&quot;$ &quot;#,##0.00_);_(&quot;$ &quot;\(#,##0.00\)"/>
    <numFmt numFmtId="166" formatCode="0.0%"/>
    <numFmt numFmtId="167" formatCode="yyyy\A"/>
    <numFmt numFmtId="168" formatCode="&quot;₹&quot;\ #,##0"/>
    <numFmt numFmtId="169" formatCode="&quot;₹&quot;\ #,##0.00"/>
    <numFmt numFmtId="170" formatCode="#,##0;[Red]#,##0"/>
    <numFmt numFmtId="172" formatCode="0;[Red]0"/>
    <numFmt numFmtId="174" formatCode="#,##0.00_ ;\-#,##0.00\ "/>
    <numFmt numFmtId="175" formatCode="#,##0.00;[Red]#,##0.00"/>
    <numFmt numFmtId="176" formatCode="0.000%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3"/>
      <name val="Calibri"/>
      <family val="2"/>
      <scheme val="minor"/>
    </font>
    <font>
      <sz val="11"/>
      <color rgb="FF0000FF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2A3E68"/>
        <bgColor rgb="FF2A3E68"/>
      </patternFill>
    </fill>
    <fill>
      <patternFill patternType="solid">
        <fgColor rgb="FFE7E6E6"/>
        <bgColor rgb="FFE7E6E6"/>
      </patternFill>
    </fill>
    <fill>
      <patternFill patternType="solid">
        <fgColor theme="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37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4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4" fillId="0" borderId="0" xfId="0" applyFont="1" applyAlignment="1">
      <alignment horizontal="left"/>
    </xf>
    <xf numFmtId="0" fontId="5" fillId="3" borderId="2" xfId="0" applyFont="1" applyFill="1" applyBorder="1"/>
    <xf numFmtId="0" fontId="6" fillId="4" borderId="0" xfId="0" applyFont="1" applyFill="1"/>
    <xf numFmtId="0" fontId="4" fillId="5" borderId="0" xfId="0" applyFont="1" applyFill="1"/>
    <xf numFmtId="16" fontId="0" fillId="0" borderId="0" xfId="0" applyNumberFormat="1"/>
    <xf numFmtId="10" fontId="0" fillId="0" borderId="0" xfId="0" applyNumberFormat="1"/>
    <xf numFmtId="166" fontId="4" fillId="5" borderId="0" xfId="0" applyNumberFormat="1" applyFont="1" applyFill="1"/>
    <xf numFmtId="37" fontId="0" fillId="0" borderId="0" xfId="0" applyNumberFormat="1"/>
    <xf numFmtId="1" fontId="0" fillId="0" borderId="0" xfId="0" applyNumberFormat="1"/>
    <xf numFmtId="37" fontId="0" fillId="0" borderId="3" xfId="0" applyNumberFormat="1" applyBorder="1"/>
    <xf numFmtId="1" fontId="0" fillId="0" borderId="3" xfId="0" applyNumberFormat="1" applyBorder="1"/>
    <xf numFmtId="16" fontId="0" fillId="0" borderId="3" xfId="0" applyNumberFormat="1" applyBorder="1"/>
    <xf numFmtId="0" fontId="0" fillId="0" borderId="3" xfId="0" applyBorder="1"/>
    <xf numFmtId="167" fontId="4" fillId="2" borderId="1" xfId="0" applyNumberFormat="1" applyFont="1" applyFill="1" applyBorder="1"/>
    <xf numFmtId="166" fontId="0" fillId="0" borderId="0" xfId="0" applyNumberFormat="1"/>
    <xf numFmtId="0" fontId="5" fillId="0" borderId="2" xfId="0" applyFont="1" applyBorder="1"/>
    <xf numFmtId="9" fontId="0" fillId="0" borderId="0" xfId="0" applyNumberFormat="1"/>
    <xf numFmtId="37" fontId="0" fillId="0" borderId="4" xfId="0" applyNumberFormat="1" applyBorder="1"/>
    <xf numFmtId="16" fontId="0" fillId="0" borderId="4" xfId="0" applyNumberFormat="1" applyBorder="1"/>
    <xf numFmtId="0" fontId="7" fillId="6" borderId="0" xfId="0" applyFont="1" applyFill="1"/>
    <xf numFmtId="1" fontId="0" fillId="0" borderId="4" xfId="0" applyNumberFormat="1" applyBorder="1"/>
    <xf numFmtId="0" fontId="4" fillId="0" borderId="0" xfId="0" applyFont="1"/>
    <xf numFmtId="3" fontId="8" fillId="0" borderId="0" xfId="0" applyNumberFormat="1" applyFont="1"/>
    <xf numFmtId="3" fontId="4" fillId="0" borderId="0" xfId="0" applyNumberFormat="1" applyFont="1"/>
    <xf numFmtId="166" fontId="4" fillId="0" borderId="0" xfId="0" applyNumberFormat="1" applyFont="1"/>
    <xf numFmtId="166" fontId="8" fillId="0" borderId="0" xfId="0" applyNumberFormat="1" applyFont="1"/>
    <xf numFmtId="166" fontId="5" fillId="0" borderId="2" xfId="0" applyNumberFormat="1" applyFont="1" applyBorder="1"/>
    <xf numFmtId="166" fontId="5" fillId="0" borderId="0" xfId="0" applyNumberFormat="1" applyFont="1"/>
    <xf numFmtId="0" fontId="8" fillId="0" borderId="0" xfId="0" applyFont="1"/>
    <xf numFmtId="166" fontId="5" fillId="3" borderId="2" xfId="0" applyNumberFormat="1" applyFont="1" applyFill="1" applyBorder="1"/>
    <xf numFmtId="0" fontId="4" fillId="0" borderId="2" xfId="0" applyFont="1" applyBorder="1"/>
    <xf numFmtId="3" fontId="4" fillId="0" borderId="2" xfId="0" applyNumberFormat="1" applyFont="1" applyBorder="1"/>
    <xf numFmtId="2" fontId="8" fillId="0" borderId="0" xfId="0" applyNumberFormat="1" applyFont="1"/>
    <xf numFmtId="4" fontId="5" fillId="3" borderId="2" xfId="0" applyNumberFormat="1" applyFont="1" applyFill="1" applyBorder="1"/>
    <xf numFmtId="3" fontId="5" fillId="0" borderId="2" xfId="0" applyNumberFormat="1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2" fillId="0" borderId="0" xfId="0" applyFont="1"/>
    <xf numFmtId="168" fontId="2" fillId="0" borderId="0" xfId="0" applyNumberFormat="1" applyFont="1" applyAlignment="1">
      <alignment horizontal="right" vertical="top"/>
    </xf>
    <xf numFmtId="169" fontId="0" fillId="0" borderId="0" xfId="0" applyNumberFormat="1"/>
    <xf numFmtId="170" fontId="2" fillId="0" borderId="0" xfId="0" applyNumberFormat="1" applyFont="1" applyAlignment="1">
      <alignment horizontal="right" vertical="top"/>
    </xf>
    <xf numFmtId="172" fontId="0" fillId="0" borderId="0" xfId="0" applyNumberFormat="1"/>
    <xf numFmtId="174" fontId="2" fillId="0" borderId="0" xfId="0" applyNumberFormat="1" applyFont="1" applyAlignment="1">
      <alignment horizontal="right" vertical="top"/>
    </xf>
    <xf numFmtId="175" fontId="2" fillId="0" borderId="0" xfId="0" applyNumberFormat="1" applyFont="1" applyAlignment="1">
      <alignment horizontal="right" vertical="top"/>
    </xf>
    <xf numFmtId="170" fontId="0" fillId="0" borderId="0" xfId="0" applyNumberFormat="1"/>
    <xf numFmtId="4" fontId="0" fillId="0" borderId="0" xfId="0" applyNumberFormat="1"/>
    <xf numFmtId="176" fontId="0" fillId="7" borderId="0" xfId="0" applyNumberFormat="1" applyFill="1"/>
    <xf numFmtId="10" fontId="0" fillId="7" borderId="0" xfId="0" applyNumberFormat="1" applyFill="1"/>
    <xf numFmtId="9" fontId="0" fillId="7" borderId="0" xfId="0" applyNumberFormat="1" applyFill="1"/>
    <xf numFmtId="166" fontId="0" fillId="7" borderId="0" xfId="0" applyNumberForma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B26" sqref="B26"/>
    </sheetView>
  </sheetViews>
  <sheetFormatPr defaultRowHeight="14.4" x14ac:dyDescent="0.3"/>
  <cols>
    <col min="1" max="1" width="62" customWidth="1"/>
    <col min="2" max="2" width="15" customWidth="1"/>
    <col min="3" max="3" width="14" customWidth="1"/>
    <col min="4" max="4" width="10.44140625" bestFit="1" customWidth="1"/>
  </cols>
  <sheetData>
    <row r="1" spans="1:6" x14ac:dyDescent="0.3">
      <c r="A1" s="47" t="s">
        <v>158</v>
      </c>
      <c r="B1" s="49"/>
      <c r="C1" s="48"/>
    </row>
    <row r="2" spans="1:6" x14ac:dyDescent="0.3">
      <c r="A2" s="48"/>
      <c r="B2" s="2">
        <v>2021</v>
      </c>
      <c r="C2" s="2">
        <v>2022</v>
      </c>
      <c r="D2">
        <v>2023</v>
      </c>
      <c r="E2">
        <v>2024</v>
      </c>
      <c r="F2">
        <v>2025</v>
      </c>
    </row>
    <row r="3" spans="1:6" x14ac:dyDescent="0.3">
      <c r="A3" s="4" t="s">
        <v>2</v>
      </c>
      <c r="B3" s="52">
        <f>17319+1319</f>
        <v>18638</v>
      </c>
      <c r="C3" s="52">
        <f>36110+4975</f>
        <v>41085</v>
      </c>
      <c r="D3" s="53">
        <f>77609</f>
        <v>77609</v>
      </c>
    </row>
    <row r="4" spans="1:6" x14ac:dyDescent="0.3">
      <c r="A4" s="4" t="s">
        <v>3</v>
      </c>
      <c r="B4" s="5">
        <v>79</v>
      </c>
      <c r="C4" s="5">
        <v>120</v>
      </c>
      <c r="D4">
        <v>487</v>
      </c>
    </row>
    <row r="5" spans="1:6" x14ac:dyDescent="0.3">
      <c r="A5" s="4" t="s">
        <v>4</v>
      </c>
      <c r="B5" s="5"/>
      <c r="C5" s="5"/>
    </row>
    <row r="6" spans="1:6" x14ac:dyDescent="0.3">
      <c r="A6" s="4" t="s">
        <v>5</v>
      </c>
      <c r="B6" s="5"/>
      <c r="C6" s="5"/>
    </row>
    <row r="7" spans="1:6" x14ac:dyDescent="0.3">
      <c r="A7" s="4" t="s">
        <v>6</v>
      </c>
      <c r="B7" s="5"/>
      <c r="C7" s="5"/>
    </row>
    <row r="8" spans="1:6" x14ac:dyDescent="0.3">
      <c r="A8" s="4" t="s">
        <v>7</v>
      </c>
      <c r="B8" s="5"/>
      <c r="C8" s="5"/>
    </row>
    <row r="9" spans="1:6" x14ac:dyDescent="0.3">
      <c r="A9" s="4" t="s">
        <v>8</v>
      </c>
      <c r="B9" s="5"/>
      <c r="C9" s="5"/>
    </row>
    <row r="10" spans="1:6" x14ac:dyDescent="0.3">
      <c r="A10" s="4" t="s">
        <v>9</v>
      </c>
      <c r="B10" s="5"/>
      <c r="C10" s="5"/>
    </row>
    <row r="11" spans="1:6" x14ac:dyDescent="0.3">
      <c r="A11" s="4" t="s">
        <v>10</v>
      </c>
      <c r="B11" s="5"/>
      <c r="C11" s="5"/>
    </row>
    <row r="12" spans="1:6" x14ac:dyDescent="0.3">
      <c r="A12" s="4" t="s">
        <v>11</v>
      </c>
      <c r="B12" s="5"/>
      <c r="C12" s="5"/>
    </row>
    <row r="13" spans="1:6" x14ac:dyDescent="0.3">
      <c r="A13" s="4" t="s">
        <v>12</v>
      </c>
      <c r="B13" s="6"/>
      <c r="C13" s="6"/>
    </row>
    <row r="14" spans="1:6" x14ac:dyDescent="0.3">
      <c r="A14" s="3" t="s">
        <v>13</v>
      </c>
      <c r="B14" s="4"/>
      <c r="C14" s="4"/>
    </row>
    <row r="15" spans="1:6" x14ac:dyDescent="0.3">
      <c r="A15" s="4" t="s">
        <v>14</v>
      </c>
      <c r="B15" s="6"/>
      <c r="C15" s="7"/>
    </row>
    <row r="16" spans="1:6" x14ac:dyDescent="0.3">
      <c r="A16" s="4" t="s">
        <v>15</v>
      </c>
      <c r="B16" s="7"/>
      <c r="C16" s="7"/>
    </row>
    <row r="17" spans="1:4" x14ac:dyDescent="0.3">
      <c r="A17" s="3" t="s">
        <v>16</v>
      </c>
      <c r="B17" s="4"/>
      <c r="C17" s="4"/>
    </row>
    <row r="18" spans="1:4" x14ac:dyDescent="0.3">
      <c r="A18" s="4" t="s">
        <v>14</v>
      </c>
      <c r="B18" s="57">
        <v>-1.52</v>
      </c>
      <c r="C18" s="56">
        <v>1.67</v>
      </c>
      <c r="D18">
        <v>1.2</v>
      </c>
    </row>
    <row r="19" spans="1:4" x14ac:dyDescent="0.3">
      <c r="A19" s="4" t="s">
        <v>15</v>
      </c>
      <c r="B19" s="57">
        <v>-1.52</v>
      </c>
      <c r="C19" s="56">
        <v>1.67</v>
      </c>
      <c r="D19">
        <v>1.2</v>
      </c>
    </row>
    <row r="20" spans="1:4" x14ac:dyDescent="0.3">
      <c r="A20" s="4" t="s">
        <v>17</v>
      </c>
      <c r="B20" s="4"/>
      <c r="C20" s="4"/>
    </row>
    <row r="21" spans="1:4" x14ac:dyDescent="0.3">
      <c r="A21" s="4" t="s">
        <v>2</v>
      </c>
      <c r="B21" s="6"/>
      <c r="C21" s="6"/>
    </row>
    <row r="22" spans="1:4" x14ac:dyDescent="0.3">
      <c r="A22" s="4" t="s">
        <v>3</v>
      </c>
      <c r="B22" s="5"/>
      <c r="C22" s="5"/>
    </row>
    <row r="23" spans="1:4" x14ac:dyDescent="0.3">
      <c r="A23" s="4" t="s">
        <v>18</v>
      </c>
      <c r="B23" s="4"/>
      <c r="C23" s="4"/>
    </row>
    <row r="24" spans="1:4" x14ac:dyDescent="0.3">
      <c r="A24" s="4" t="s">
        <v>2</v>
      </c>
      <c r="B24" s="5"/>
      <c r="C24" s="5"/>
    </row>
    <row r="25" spans="1:4" x14ac:dyDescent="0.3">
      <c r="A25" s="4" t="s">
        <v>3</v>
      </c>
      <c r="B25" s="6"/>
      <c r="C25" s="6"/>
    </row>
  </sheetData>
  <mergeCells count="2">
    <mergeCell ref="A1:A2"/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workbookViewId="0">
      <selection activeCell="B17" sqref="B17"/>
    </sheetView>
  </sheetViews>
  <sheetFormatPr defaultRowHeight="14.4" x14ac:dyDescent="0.3"/>
  <cols>
    <col min="1" max="1" width="41.5546875" customWidth="1"/>
    <col min="2" max="3" width="14" customWidth="1"/>
  </cols>
  <sheetData>
    <row r="1" spans="1:7" x14ac:dyDescent="0.3">
      <c r="A1" s="1"/>
      <c r="B1" s="2" t="s">
        <v>140</v>
      </c>
      <c r="C1" s="2"/>
    </row>
    <row r="2" spans="1:7" x14ac:dyDescent="0.3">
      <c r="A2" s="3" t="s">
        <v>139</v>
      </c>
      <c r="B2" s="4">
        <v>2021</v>
      </c>
      <c r="C2" s="4">
        <v>2022</v>
      </c>
      <c r="D2" s="4">
        <v>2023</v>
      </c>
      <c r="E2" s="4">
        <v>2024</v>
      </c>
      <c r="F2" s="4">
        <v>2025</v>
      </c>
      <c r="G2" s="4">
        <v>2026</v>
      </c>
    </row>
    <row r="3" spans="1:7" x14ac:dyDescent="0.3">
      <c r="A3" s="3" t="s">
        <v>141</v>
      </c>
      <c r="B3" s="6"/>
      <c r="C3" s="6"/>
    </row>
    <row r="4" spans="1:7" x14ac:dyDescent="0.3">
      <c r="A4" s="3" t="s">
        <v>147</v>
      </c>
      <c r="B4" s="5"/>
      <c r="C4" s="5"/>
    </row>
    <row r="5" spans="1:7" x14ac:dyDescent="0.3">
      <c r="A5" s="4" t="s">
        <v>142</v>
      </c>
      <c r="B5" s="5">
        <v>177</v>
      </c>
      <c r="C5" s="5">
        <v>326</v>
      </c>
      <c r="D5">
        <v>587</v>
      </c>
    </row>
    <row r="6" spans="1:7" x14ac:dyDescent="0.3">
      <c r="A6" s="4" t="s">
        <v>143</v>
      </c>
      <c r="B6" s="5">
        <v>12093</v>
      </c>
      <c r="C6" s="5">
        <v>12093</v>
      </c>
      <c r="D6">
        <v>12093</v>
      </c>
    </row>
    <row r="7" spans="1:7" x14ac:dyDescent="0.3">
      <c r="A7" s="4" t="s">
        <v>144</v>
      </c>
      <c r="B7" s="5">
        <v>1837</v>
      </c>
      <c r="C7" s="5">
        <v>799</v>
      </c>
      <c r="D7">
        <v>4</v>
      </c>
    </row>
    <row r="8" spans="1:7" x14ac:dyDescent="0.3">
      <c r="A8" s="4" t="s">
        <v>145</v>
      </c>
      <c r="B8" s="5">
        <v>3117</v>
      </c>
      <c r="C8" s="5">
        <v>35356</v>
      </c>
      <c r="D8">
        <v>88619</v>
      </c>
    </row>
    <row r="9" spans="1:7" x14ac:dyDescent="0.3">
      <c r="A9" s="4" t="s">
        <v>146</v>
      </c>
      <c r="B9" s="5">
        <v>30029</v>
      </c>
      <c r="C9" s="5">
        <v>52150</v>
      </c>
      <c r="D9">
        <v>18627</v>
      </c>
    </row>
    <row r="10" spans="1:7" x14ac:dyDescent="0.3">
      <c r="A10" s="4"/>
      <c r="B10" s="5"/>
      <c r="C10" s="5"/>
    </row>
    <row r="11" spans="1:7" x14ac:dyDescent="0.3">
      <c r="A11" s="3" t="s">
        <v>148</v>
      </c>
      <c r="B11" s="5"/>
      <c r="C11" s="5"/>
    </row>
    <row r="12" spans="1:7" x14ac:dyDescent="0.3">
      <c r="A12" s="4" t="s">
        <v>149</v>
      </c>
      <c r="B12" s="5">
        <v>21942</v>
      </c>
      <c r="C12" s="5">
        <v>16008</v>
      </c>
      <c r="D12">
        <v>38325</v>
      </c>
    </row>
    <row r="13" spans="1:7" x14ac:dyDescent="0.3">
      <c r="A13" s="4" t="s">
        <v>150</v>
      </c>
      <c r="B13" s="5">
        <v>1237</v>
      </c>
      <c r="C13" s="5">
        <v>1669</v>
      </c>
      <c r="D13">
        <v>622</v>
      </c>
    </row>
    <row r="14" spans="1:7" x14ac:dyDescent="0.3">
      <c r="A14" s="4" t="s">
        <v>151</v>
      </c>
      <c r="B14" s="5">
        <v>1686</v>
      </c>
      <c r="C14" s="5">
        <v>2941</v>
      </c>
      <c r="D14">
        <v>1228</v>
      </c>
    </row>
    <row r="15" spans="1:7" x14ac:dyDescent="0.3">
      <c r="A15" s="4" t="s">
        <v>152</v>
      </c>
      <c r="B15" s="5">
        <v>6237</v>
      </c>
      <c r="C15" s="5">
        <v>36639</v>
      </c>
      <c r="D15">
        <v>43995</v>
      </c>
    </row>
    <row r="16" spans="1:7" x14ac:dyDescent="0.3">
      <c r="A16" s="4" t="s">
        <v>160</v>
      </c>
      <c r="B16" s="5">
        <v>2031</v>
      </c>
      <c r="C16" s="5">
        <v>958</v>
      </c>
      <c r="D16">
        <v>3715</v>
      </c>
    </row>
    <row r="17" spans="1:4" x14ac:dyDescent="0.3">
      <c r="A17" s="3" t="s">
        <v>153</v>
      </c>
      <c r="B17" s="4">
        <v>128</v>
      </c>
      <c r="C17" s="4">
        <v>123</v>
      </c>
      <c r="D17">
        <v>314</v>
      </c>
    </row>
    <row r="18" spans="1:4" x14ac:dyDescent="0.3">
      <c r="A18" s="4" t="s">
        <v>154</v>
      </c>
      <c r="B18" s="5">
        <v>2720</v>
      </c>
      <c r="C18" s="5">
        <v>3897</v>
      </c>
      <c r="D18">
        <v>3630</v>
      </c>
    </row>
    <row r="19" spans="1:4" x14ac:dyDescent="0.3">
      <c r="A19" s="4" t="s">
        <v>155</v>
      </c>
      <c r="B19" s="5">
        <v>4725</v>
      </c>
      <c r="C19" s="5">
        <v>6631</v>
      </c>
      <c r="D19">
        <v>2293</v>
      </c>
    </row>
    <row r="20" spans="1:4" x14ac:dyDescent="0.3">
      <c r="A20" s="4" t="s">
        <v>159</v>
      </c>
      <c r="B20" s="5">
        <v>1992</v>
      </c>
      <c r="C20" s="5">
        <v>2162</v>
      </c>
      <c r="D20">
        <v>2527</v>
      </c>
    </row>
    <row r="21" spans="1:4" x14ac:dyDescent="0.3">
      <c r="A21" s="4"/>
      <c r="B21" s="5"/>
      <c r="C21" s="5"/>
    </row>
    <row r="22" spans="1:4" x14ac:dyDescent="0.3">
      <c r="A22" s="4" t="s">
        <v>156</v>
      </c>
      <c r="B22" s="5">
        <v>0</v>
      </c>
      <c r="C22" s="5">
        <v>7643</v>
      </c>
      <c r="D22">
        <v>8634</v>
      </c>
    </row>
    <row r="23" spans="1:4" x14ac:dyDescent="0.3">
      <c r="A23" s="4" t="s">
        <v>157</v>
      </c>
      <c r="B23" s="5">
        <v>77545</v>
      </c>
      <c r="C23" s="5">
        <v>160029</v>
      </c>
      <c r="D23">
        <v>199704</v>
      </c>
    </row>
    <row r="24" spans="1:4" x14ac:dyDescent="0.3">
      <c r="A24" s="4"/>
      <c r="B24" s="5"/>
      <c r="C24" s="5"/>
    </row>
    <row r="25" spans="1:4" x14ac:dyDescent="0.3">
      <c r="A25" s="4"/>
      <c r="B25" s="5"/>
      <c r="C25" s="5"/>
    </row>
    <row r="26" spans="1:4" x14ac:dyDescent="0.3">
      <c r="A26" s="4"/>
      <c r="B26" s="5"/>
      <c r="C26" s="5"/>
    </row>
    <row r="27" spans="1:4" x14ac:dyDescent="0.3">
      <c r="A27" s="4"/>
      <c r="B27" s="5"/>
      <c r="C27" s="5"/>
    </row>
    <row r="28" spans="1:4" x14ac:dyDescent="0.3">
      <c r="A28" s="4"/>
      <c r="B28" s="5"/>
      <c r="C28" s="5"/>
    </row>
    <row r="29" spans="1:4" x14ac:dyDescent="0.3">
      <c r="A29" s="4"/>
      <c r="B29" s="5"/>
      <c r="C29" s="5"/>
    </row>
    <row r="30" spans="1:4" x14ac:dyDescent="0.3">
      <c r="A30" s="4"/>
      <c r="B30" s="5"/>
      <c r="C30" s="5"/>
    </row>
    <row r="31" spans="1:4" x14ac:dyDescent="0.3">
      <c r="A31" s="4"/>
      <c r="B31" s="5"/>
      <c r="C31" s="5"/>
    </row>
    <row r="32" spans="1:4" x14ac:dyDescent="0.3">
      <c r="A32" s="4"/>
      <c r="B32" s="5"/>
      <c r="C32" s="5"/>
    </row>
    <row r="33" spans="1:3" x14ac:dyDescent="0.3">
      <c r="A33" s="4"/>
      <c r="B33" s="4"/>
      <c r="C33" s="4"/>
    </row>
    <row r="34" spans="1:3" x14ac:dyDescent="0.3">
      <c r="A34" s="3"/>
      <c r="B34" s="4"/>
      <c r="C34" s="4"/>
    </row>
    <row r="35" spans="1:3" x14ac:dyDescent="0.3">
      <c r="A35" s="4"/>
      <c r="B35" s="5"/>
      <c r="C35" s="5"/>
    </row>
    <row r="36" spans="1:3" x14ac:dyDescent="0.3">
      <c r="A36" s="4"/>
      <c r="B36" s="5"/>
      <c r="C36" s="5"/>
    </row>
    <row r="37" spans="1:3" x14ac:dyDescent="0.3">
      <c r="A37" s="4"/>
      <c r="B37" s="5"/>
      <c r="C37" s="5"/>
    </row>
    <row r="38" spans="1:3" x14ac:dyDescent="0.3">
      <c r="A38" s="4"/>
      <c r="B38" s="5"/>
      <c r="C38" s="5"/>
    </row>
    <row r="39" spans="1:3" x14ac:dyDescent="0.3">
      <c r="A39" s="4"/>
      <c r="B39" s="6"/>
      <c r="C39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"/>
  <sheetViews>
    <sheetView zoomScale="70" zoomScaleNormal="70" workbookViewId="0">
      <selection activeCell="J13" sqref="J13"/>
    </sheetView>
  </sheetViews>
  <sheetFormatPr defaultRowHeight="14.4" x14ac:dyDescent="0.3"/>
  <cols>
    <col min="1" max="1" width="80" customWidth="1"/>
    <col min="2" max="2" width="15" customWidth="1"/>
    <col min="3" max="3" width="14" customWidth="1"/>
    <col min="4" max="4" width="10.44140625" customWidth="1"/>
  </cols>
  <sheetData>
    <row r="1" spans="1:6" x14ac:dyDescent="0.3">
      <c r="A1" s="47" t="s">
        <v>29</v>
      </c>
      <c r="B1" s="49" t="s">
        <v>0</v>
      </c>
      <c r="C1" s="48"/>
    </row>
    <row r="2" spans="1:6" x14ac:dyDescent="0.3">
      <c r="A2" s="48"/>
      <c r="B2" s="2">
        <v>2021</v>
      </c>
      <c r="C2" s="2">
        <v>2022</v>
      </c>
      <c r="D2">
        <v>2023</v>
      </c>
      <c r="E2">
        <v>2024</v>
      </c>
      <c r="F2">
        <v>2025</v>
      </c>
    </row>
    <row r="3" spans="1:6" x14ac:dyDescent="0.3">
      <c r="A3" s="3" t="s">
        <v>30</v>
      </c>
      <c r="B3" s="4" t="s">
        <v>1</v>
      </c>
      <c r="C3" s="4" t="s">
        <v>1</v>
      </c>
    </row>
    <row r="4" spans="1:6" x14ac:dyDescent="0.3">
      <c r="A4" s="4" t="s">
        <v>12</v>
      </c>
      <c r="B4" s="54">
        <v>-8660</v>
      </c>
      <c r="C4" s="55">
        <v>-12205</v>
      </c>
      <c r="D4" s="55">
        <v>-10146</v>
      </c>
    </row>
    <row r="5" spans="1:6" x14ac:dyDescent="0.3">
      <c r="A5" s="3" t="s">
        <v>31</v>
      </c>
      <c r="B5" s="4"/>
      <c r="C5" s="4"/>
    </row>
    <row r="6" spans="1:6" x14ac:dyDescent="0.3">
      <c r="A6" s="4" t="s">
        <v>32</v>
      </c>
      <c r="B6">
        <f>(302+987)</f>
        <v>1289</v>
      </c>
      <c r="C6" s="5">
        <f>428+1075</f>
        <v>1503</v>
      </c>
      <c r="D6" s="5">
        <f>1811+2558</f>
        <v>4369</v>
      </c>
    </row>
    <row r="7" spans="1:6" x14ac:dyDescent="0.3">
      <c r="A7" s="4" t="s">
        <v>33</v>
      </c>
      <c r="B7" s="5">
        <v>1226</v>
      </c>
      <c r="C7" s="5">
        <v>8779</v>
      </c>
      <c r="D7">
        <v>5058</v>
      </c>
    </row>
    <row r="8" spans="1:6" x14ac:dyDescent="0.3">
      <c r="A8" s="4" t="s">
        <v>34</v>
      </c>
      <c r="B8" s="5">
        <v>2329</v>
      </c>
      <c r="C8" s="5">
        <v>0</v>
      </c>
      <c r="D8">
        <v>0</v>
      </c>
    </row>
    <row r="9" spans="1:6" x14ac:dyDescent="0.3">
      <c r="A9" s="4" t="s">
        <v>25</v>
      </c>
      <c r="B9" s="5">
        <v>218</v>
      </c>
      <c r="C9" s="5">
        <f>3951</f>
        <v>3951</v>
      </c>
      <c r="D9">
        <f>4571+49</f>
        <v>4620</v>
      </c>
    </row>
    <row r="10" spans="1:6" x14ac:dyDescent="0.3">
      <c r="A10" s="3" t="s">
        <v>35</v>
      </c>
      <c r="B10" s="4"/>
      <c r="C10" s="4"/>
    </row>
    <row r="11" spans="1:6" x14ac:dyDescent="0.3">
      <c r="A11" s="4" t="s">
        <v>36</v>
      </c>
      <c r="B11" s="5">
        <v>122</v>
      </c>
      <c r="C11" s="5">
        <v>341</v>
      </c>
      <c r="D11">
        <v>2029</v>
      </c>
    </row>
    <row r="12" spans="1:6" x14ac:dyDescent="0.3">
      <c r="A12" s="4" t="s">
        <v>20</v>
      </c>
      <c r="B12" s="5">
        <v>234</v>
      </c>
      <c r="C12" s="5">
        <v>277</v>
      </c>
      <c r="D12">
        <v>430</v>
      </c>
    </row>
    <row r="13" spans="1:6" x14ac:dyDescent="0.3">
      <c r="A13" s="4" t="s">
        <v>21</v>
      </c>
      <c r="B13" s="5"/>
      <c r="C13" s="5"/>
    </row>
    <row r="14" spans="1:6" x14ac:dyDescent="0.3">
      <c r="A14" s="4" t="s">
        <v>22</v>
      </c>
      <c r="B14" s="5"/>
      <c r="C14" s="5"/>
    </row>
    <row r="15" spans="1:6" x14ac:dyDescent="0.3">
      <c r="A15" s="4" t="s">
        <v>23</v>
      </c>
      <c r="B15" s="5"/>
      <c r="C15" s="5"/>
    </row>
    <row r="16" spans="1:6" x14ac:dyDescent="0.3">
      <c r="A16" s="4" t="s">
        <v>37</v>
      </c>
      <c r="B16" s="5"/>
      <c r="C16" s="5"/>
    </row>
    <row r="17" spans="1:4" x14ac:dyDescent="0.3">
      <c r="A17" s="4" t="s">
        <v>38</v>
      </c>
      <c r="B17" s="5"/>
      <c r="C17" s="5"/>
    </row>
    <row r="18" spans="1:4" x14ac:dyDescent="0.3">
      <c r="A18" s="4" t="s">
        <v>24</v>
      </c>
      <c r="B18" s="5"/>
      <c r="C18" s="5"/>
    </row>
    <row r="19" spans="1:4" x14ac:dyDescent="0.3">
      <c r="A19" s="4" t="s">
        <v>26</v>
      </c>
      <c r="B19" s="5"/>
      <c r="C19" s="5"/>
    </row>
    <row r="20" spans="1:4" x14ac:dyDescent="0.3">
      <c r="A20" s="4" t="s">
        <v>39</v>
      </c>
      <c r="B20" s="54">
        <v>-5086</v>
      </c>
      <c r="C20" s="5">
        <v>6930</v>
      </c>
      <c r="D20">
        <v>8440</v>
      </c>
    </row>
    <row r="21" spans="1:4" x14ac:dyDescent="0.3">
      <c r="A21" s="3" t="s">
        <v>40</v>
      </c>
      <c r="B21" s="4"/>
      <c r="C21" s="4"/>
    </row>
    <row r="22" spans="1:4" x14ac:dyDescent="0.3">
      <c r="A22" s="4" t="s">
        <v>41</v>
      </c>
      <c r="B22" s="5"/>
      <c r="C22" s="5">
        <v>95</v>
      </c>
      <c r="D22">
        <v>402</v>
      </c>
    </row>
    <row r="23" spans="1:4" x14ac:dyDescent="0.3">
      <c r="A23" s="4" t="s">
        <v>42</v>
      </c>
      <c r="B23" s="5"/>
      <c r="C23" s="5">
        <v>203</v>
      </c>
      <c r="D23">
        <v>653</v>
      </c>
    </row>
    <row r="24" spans="1:4" x14ac:dyDescent="0.3">
      <c r="A24" s="4" t="s">
        <v>43</v>
      </c>
      <c r="B24" s="5"/>
      <c r="C24" s="5">
        <v>13</v>
      </c>
      <c r="D24">
        <v>231</v>
      </c>
    </row>
    <row r="25" spans="1:4" x14ac:dyDescent="0.3">
      <c r="A25" s="4" t="s">
        <v>44</v>
      </c>
      <c r="B25" s="5"/>
      <c r="C25" s="5">
        <v>2257</v>
      </c>
      <c r="D25">
        <v>0</v>
      </c>
    </row>
    <row r="26" spans="1:4" x14ac:dyDescent="0.3">
      <c r="A26" s="4" t="s">
        <v>45</v>
      </c>
      <c r="B26" s="5"/>
      <c r="C26" s="5">
        <v>0</v>
      </c>
      <c r="D26">
        <v>0</v>
      </c>
    </row>
    <row r="27" spans="1:4" x14ac:dyDescent="0.3">
      <c r="A27" s="4" t="s">
        <v>46</v>
      </c>
      <c r="B27" s="5"/>
      <c r="C27" s="5">
        <v>0</v>
      </c>
      <c r="D27">
        <v>0</v>
      </c>
    </row>
    <row r="28" spans="1:4" x14ac:dyDescent="0.3">
      <c r="A28" s="4" t="s">
        <v>47</v>
      </c>
      <c r="B28" s="5"/>
      <c r="C28" s="5">
        <v>79</v>
      </c>
      <c r="D28">
        <v>67</v>
      </c>
    </row>
    <row r="29" spans="1:4" x14ac:dyDescent="0.3">
      <c r="A29" s="4" t="s">
        <v>48</v>
      </c>
      <c r="B29" s="5"/>
      <c r="C29" s="5">
        <v>87498</v>
      </c>
      <c r="D29">
        <v>1274</v>
      </c>
    </row>
    <row r="30" spans="1:4" x14ac:dyDescent="0.3">
      <c r="A30" s="3" t="s">
        <v>49</v>
      </c>
      <c r="B30" s="4"/>
      <c r="C30" s="4"/>
    </row>
    <row r="31" spans="1:4" x14ac:dyDescent="0.3">
      <c r="A31" s="4" t="s">
        <v>50</v>
      </c>
      <c r="B31" s="5"/>
      <c r="C31" s="5">
        <v>590</v>
      </c>
      <c r="D31">
        <v>1030</v>
      </c>
    </row>
    <row r="32" spans="1:4" x14ac:dyDescent="0.3">
      <c r="A32" s="4" t="s">
        <v>51</v>
      </c>
      <c r="B32" s="5"/>
      <c r="C32" s="5">
        <v>0</v>
      </c>
      <c r="D32">
        <v>0</v>
      </c>
    </row>
    <row r="33" spans="1:4" x14ac:dyDescent="0.3">
      <c r="A33" s="4" t="s">
        <v>52</v>
      </c>
      <c r="B33" s="5"/>
      <c r="C33" s="5">
        <f>26609+4681</f>
        <v>31290</v>
      </c>
      <c r="D33">
        <f>0+5652+500</f>
        <v>6152</v>
      </c>
    </row>
    <row r="34" spans="1:4" x14ac:dyDescent="0.3">
      <c r="A34" s="4" t="s">
        <v>53</v>
      </c>
      <c r="B34" s="5"/>
      <c r="C34" s="5">
        <f>1126+117142+61834</f>
        <v>180102</v>
      </c>
      <c r="D34">
        <f>4904+54328+87214</f>
        <v>146446</v>
      </c>
    </row>
    <row r="35" spans="1:4" x14ac:dyDescent="0.3">
      <c r="A35" s="4" t="s">
        <v>54</v>
      </c>
      <c r="B35" s="5"/>
      <c r="C35" s="5">
        <v>3750</v>
      </c>
      <c r="D35">
        <v>0</v>
      </c>
    </row>
    <row r="36" spans="1:4" x14ac:dyDescent="0.3">
      <c r="A36" s="4" t="s">
        <v>47</v>
      </c>
      <c r="B36" s="5"/>
      <c r="C36" s="5">
        <v>3750</v>
      </c>
      <c r="D36">
        <v>7504</v>
      </c>
    </row>
    <row r="37" spans="1:4" x14ac:dyDescent="0.3">
      <c r="A37" s="4" t="s">
        <v>55</v>
      </c>
      <c r="B37" s="5"/>
      <c r="C37" s="5">
        <v>79378</v>
      </c>
      <c r="D37">
        <v>4573</v>
      </c>
    </row>
    <row r="38" spans="1:4" x14ac:dyDescent="0.3">
      <c r="A38" s="4" t="s">
        <v>56</v>
      </c>
      <c r="B38" s="5"/>
      <c r="C38" s="5">
        <f>6+283</f>
        <v>289</v>
      </c>
      <c r="D38">
        <v>9</v>
      </c>
    </row>
    <row r="39" spans="1:4" x14ac:dyDescent="0.3">
      <c r="A39" s="4" t="s">
        <v>57</v>
      </c>
      <c r="C39" s="5">
        <f>(C41-C40)</f>
        <v>858</v>
      </c>
      <c r="D39" s="5">
        <f>(D41-D40)</f>
        <v>-1742</v>
      </c>
    </row>
    <row r="40" spans="1:4" x14ac:dyDescent="0.3">
      <c r="A40" s="4" t="s">
        <v>58</v>
      </c>
      <c r="B40" s="5"/>
      <c r="C40" s="5">
        <v>3065</v>
      </c>
      <c r="D40">
        <v>3923</v>
      </c>
    </row>
    <row r="41" spans="1:4" x14ac:dyDescent="0.3">
      <c r="A41" s="4" t="s">
        <v>59</v>
      </c>
      <c r="B41" s="6"/>
      <c r="C41" s="52">
        <v>3923</v>
      </c>
      <c r="D41">
        <v>2181</v>
      </c>
    </row>
    <row r="42" spans="1:4" x14ac:dyDescent="0.3">
      <c r="D42" s="5"/>
    </row>
  </sheetData>
  <mergeCells count="2">
    <mergeCell ref="A1:A2"/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sqref="A1:A2"/>
    </sheetView>
  </sheetViews>
  <sheetFormatPr defaultRowHeight="14.4" x14ac:dyDescent="0.3"/>
  <cols>
    <col min="1" max="1" width="56" customWidth="1"/>
    <col min="2" max="2" width="13" customWidth="1"/>
    <col min="3" max="3" width="33" customWidth="1"/>
    <col min="4" max="4" width="18" customWidth="1"/>
    <col min="5" max="5" width="37" customWidth="1"/>
  </cols>
  <sheetData>
    <row r="1" spans="1:5" x14ac:dyDescent="0.3">
      <c r="A1" s="1" t="s">
        <v>60</v>
      </c>
      <c r="B1" s="2" t="s">
        <v>61</v>
      </c>
      <c r="C1" s="2" t="s">
        <v>62</v>
      </c>
      <c r="D1" s="2" t="s">
        <v>27</v>
      </c>
      <c r="E1" s="2" t="s">
        <v>28</v>
      </c>
    </row>
    <row r="2" spans="1:5" x14ac:dyDescent="0.3">
      <c r="A2" s="4" t="s">
        <v>63</v>
      </c>
      <c r="B2" s="4" t="s">
        <v>1</v>
      </c>
      <c r="C2" s="6">
        <v>86939</v>
      </c>
      <c r="D2" s="6">
        <v>84281</v>
      </c>
      <c r="E2" s="6">
        <v>-4678</v>
      </c>
    </row>
    <row r="3" spans="1:5" x14ac:dyDescent="0.3">
      <c r="A3" s="4" t="s">
        <v>44</v>
      </c>
      <c r="B3" s="4" t="s">
        <v>1</v>
      </c>
      <c r="C3" s="5">
        <v>575</v>
      </c>
      <c r="D3" s="4" t="s">
        <v>1</v>
      </c>
      <c r="E3" s="4" t="s">
        <v>1</v>
      </c>
    </row>
    <row r="4" spans="1:5" x14ac:dyDescent="0.3">
      <c r="A4" s="4" t="s">
        <v>12</v>
      </c>
      <c r="B4" s="6">
        <v>17556</v>
      </c>
      <c r="C4" s="4" t="s">
        <v>1</v>
      </c>
      <c r="D4" s="5">
        <v>17556</v>
      </c>
      <c r="E4" s="4" t="s">
        <v>1</v>
      </c>
    </row>
    <row r="5" spans="1:5" x14ac:dyDescent="0.3">
      <c r="A5" s="4" t="s">
        <v>19</v>
      </c>
      <c r="B5" s="5">
        <v>-2665</v>
      </c>
      <c r="C5" s="4" t="s">
        <v>1</v>
      </c>
      <c r="D5" s="4" t="s">
        <v>1</v>
      </c>
      <c r="E5" s="5">
        <v>-2665</v>
      </c>
    </row>
    <row r="6" spans="1:5" x14ac:dyDescent="0.3">
      <c r="A6" s="4" t="s">
        <v>64</v>
      </c>
      <c r="B6" s="5">
        <v>-5066</v>
      </c>
      <c r="C6" s="4" t="s">
        <v>1</v>
      </c>
      <c r="D6" s="5">
        <v>-5064</v>
      </c>
      <c r="E6" s="4" t="s">
        <v>1</v>
      </c>
    </row>
    <row r="7" spans="1:5" x14ac:dyDescent="0.3">
      <c r="A7" s="4" t="s">
        <v>45</v>
      </c>
      <c r="B7" s="4" t="s">
        <v>1</v>
      </c>
      <c r="C7" s="5">
        <v>-1171</v>
      </c>
      <c r="D7" s="5">
        <v>-4399</v>
      </c>
      <c r="E7" s="4" t="s">
        <v>1</v>
      </c>
    </row>
    <row r="8" spans="1:5" x14ac:dyDescent="0.3">
      <c r="A8" s="4" t="s">
        <v>33</v>
      </c>
      <c r="B8" s="4" t="s">
        <v>1</v>
      </c>
      <c r="C8" s="5">
        <v>2192</v>
      </c>
      <c r="D8" s="4" t="s">
        <v>1</v>
      </c>
      <c r="E8" s="4" t="s">
        <v>1</v>
      </c>
    </row>
    <row r="9" spans="1:5" x14ac:dyDescent="0.3">
      <c r="A9" s="4" t="s">
        <v>47</v>
      </c>
      <c r="B9" s="4" t="s">
        <v>1</v>
      </c>
      <c r="C9" s="5">
        <v>0</v>
      </c>
      <c r="D9" s="4" t="s">
        <v>1</v>
      </c>
      <c r="E9" s="4" t="s">
        <v>1</v>
      </c>
    </row>
    <row r="10" spans="1:5" x14ac:dyDescent="0.3">
      <c r="A10" s="4" t="s">
        <v>65</v>
      </c>
      <c r="B10" s="6">
        <v>173566</v>
      </c>
      <c r="C10" s="5">
        <v>88535</v>
      </c>
      <c r="D10" s="5">
        <v>92374</v>
      </c>
      <c r="E10" s="5">
        <v>-7343</v>
      </c>
    </row>
    <row r="11" spans="1:5" x14ac:dyDescent="0.3">
      <c r="A11" s="4" t="s">
        <v>66</v>
      </c>
      <c r="B11" s="7">
        <v>0.68</v>
      </c>
      <c r="C11" s="4" t="s">
        <v>1</v>
      </c>
      <c r="D11" s="4" t="s">
        <v>1</v>
      </c>
      <c r="E11" s="4" t="s">
        <v>1</v>
      </c>
    </row>
    <row r="12" spans="1:5" x14ac:dyDescent="0.3">
      <c r="A12" s="4" t="s">
        <v>67</v>
      </c>
      <c r="B12" s="6">
        <v>206223</v>
      </c>
      <c r="C12" s="5">
        <v>93718</v>
      </c>
      <c r="D12" s="5">
        <v>118848</v>
      </c>
      <c r="E12" s="5">
        <v>-6343</v>
      </c>
    </row>
    <row r="13" spans="1:5" x14ac:dyDescent="0.3">
      <c r="A13" s="4" t="s">
        <v>44</v>
      </c>
      <c r="B13" s="4" t="s">
        <v>1</v>
      </c>
      <c r="C13" s="5">
        <v>685</v>
      </c>
      <c r="D13" s="4" t="s">
        <v>1</v>
      </c>
      <c r="E13" s="4" t="s">
        <v>1</v>
      </c>
    </row>
    <row r="14" spans="1:5" x14ac:dyDescent="0.3">
      <c r="A14" s="4" t="s">
        <v>12</v>
      </c>
      <c r="B14" s="5">
        <v>22291</v>
      </c>
      <c r="C14" s="4" t="s">
        <v>1</v>
      </c>
      <c r="D14" s="5">
        <v>22291</v>
      </c>
      <c r="E14" s="4" t="s">
        <v>1</v>
      </c>
    </row>
    <row r="15" spans="1:5" x14ac:dyDescent="0.3">
      <c r="A15" s="4" t="s">
        <v>19</v>
      </c>
      <c r="B15" s="5">
        <v>-594</v>
      </c>
      <c r="C15" s="4" t="s">
        <v>1</v>
      </c>
      <c r="D15" s="4" t="s">
        <v>1</v>
      </c>
      <c r="E15" s="5">
        <v>-594</v>
      </c>
    </row>
    <row r="16" spans="1:5" x14ac:dyDescent="0.3">
      <c r="A16" s="4" t="s">
        <v>64</v>
      </c>
      <c r="B16" s="5">
        <v>-5573</v>
      </c>
      <c r="C16" s="4" t="s">
        <v>1</v>
      </c>
      <c r="D16" s="5">
        <v>-5571</v>
      </c>
      <c r="E16" s="4" t="s">
        <v>1</v>
      </c>
    </row>
    <row r="17" spans="1:5" x14ac:dyDescent="0.3">
      <c r="A17" s="4" t="s">
        <v>45</v>
      </c>
      <c r="B17" s="4" t="s">
        <v>1</v>
      </c>
      <c r="C17" s="5">
        <v>-1401</v>
      </c>
      <c r="D17" s="5">
        <v>-3425</v>
      </c>
      <c r="E17" s="4" t="s">
        <v>1</v>
      </c>
    </row>
    <row r="18" spans="1:5" x14ac:dyDescent="0.3">
      <c r="A18" s="4" t="s">
        <v>33</v>
      </c>
      <c r="B18" s="4" t="s">
        <v>1</v>
      </c>
      <c r="C18" s="5">
        <v>2507</v>
      </c>
      <c r="D18" s="4" t="s">
        <v>1</v>
      </c>
      <c r="E18" s="4" t="s">
        <v>1</v>
      </c>
    </row>
    <row r="19" spans="1:5" x14ac:dyDescent="0.3">
      <c r="A19" s="4" t="s">
        <v>47</v>
      </c>
      <c r="B19" s="4" t="s">
        <v>1</v>
      </c>
      <c r="C19" s="5">
        <v>-1</v>
      </c>
      <c r="D19" s="4" t="s">
        <v>1</v>
      </c>
      <c r="E19" s="4" t="s">
        <v>1</v>
      </c>
    </row>
    <row r="20" spans="1:5" x14ac:dyDescent="0.3">
      <c r="A20" s="4" t="s">
        <v>68</v>
      </c>
      <c r="B20" s="6">
        <v>220714</v>
      </c>
      <c r="C20" s="6">
        <v>95508</v>
      </c>
      <c r="D20" s="6">
        <v>132143</v>
      </c>
      <c r="E20" s="6">
        <v>-6937</v>
      </c>
    </row>
    <row r="21" spans="1:5" x14ac:dyDescent="0.3">
      <c r="A21" s="4" t="s">
        <v>66</v>
      </c>
      <c r="B21" s="7">
        <v>0.75</v>
      </c>
      <c r="C21" s="4" t="s">
        <v>1</v>
      </c>
      <c r="D21" s="4" t="s">
        <v>1</v>
      </c>
      <c r="E21" s="4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C80B-D199-473B-928E-D293FA2BDDCE}">
  <dimension ref="B2:K35"/>
  <sheetViews>
    <sheetView topLeftCell="B4" workbookViewId="0">
      <selection activeCell="I5" sqref="I5"/>
    </sheetView>
  </sheetViews>
  <sheetFormatPr defaultRowHeight="14.4" x14ac:dyDescent="0.3"/>
  <cols>
    <col min="2" max="2" width="44" customWidth="1"/>
    <col min="4" max="4" width="15.44140625" customWidth="1"/>
    <col min="5" max="5" width="10.77734375" customWidth="1"/>
    <col min="6" max="6" width="12.109375" customWidth="1"/>
  </cols>
  <sheetData>
    <row r="2" spans="2:11" x14ac:dyDescent="0.3">
      <c r="B2" t="s">
        <v>71</v>
      </c>
    </row>
    <row r="4" spans="2:11" x14ac:dyDescent="0.3">
      <c r="B4" s="8" t="s">
        <v>73</v>
      </c>
      <c r="D4" s="23">
        <v>2009</v>
      </c>
      <c r="E4" s="23">
        <v>2010</v>
      </c>
      <c r="F4" s="23">
        <v>2011</v>
      </c>
      <c r="G4" s="23">
        <v>2012</v>
      </c>
      <c r="H4" s="23">
        <v>2013</v>
      </c>
      <c r="I4" s="23">
        <v>188</v>
      </c>
      <c r="J4" s="23"/>
    </row>
    <row r="5" spans="2:11" x14ac:dyDescent="0.3">
      <c r="B5" s="9" t="s">
        <v>2</v>
      </c>
      <c r="C5">
        <v>10000</v>
      </c>
      <c r="D5">
        <f>'INCOME STATEMENTS'!B3</f>
        <v>18638</v>
      </c>
      <c r="E5">
        <f>'INCOME STATEMENTS'!C3</f>
        <v>41085</v>
      </c>
      <c r="F5">
        <f>'INCOME STATEMENTS'!D3</f>
        <v>77609</v>
      </c>
      <c r="G5">
        <f>G26*F5+F5</f>
        <v>116919.70771223976</v>
      </c>
      <c r="H5">
        <f>H26*G5+G5</f>
        <v>176142.1748961535</v>
      </c>
      <c r="I5">
        <f>I26*H5+H5</f>
        <v>264040.39811912738</v>
      </c>
    </row>
    <row r="6" spans="2:11" x14ac:dyDescent="0.3">
      <c r="B6" s="10" t="s">
        <v>72</v>
      </c>
      <c r="C6">
        <v>60</v>
      </c>
      <c r="D6" s="21">
        <f>'INCOME STATEMENTS'!B4</f>
        <v>79</v>
      </c>
      <c r="E6" s="21">
        <f>'INCOME STATEMENTS'!C4</f>
        <v>120</v>
      </c>
      <c r="F6" s="21">
        <f>'INCOME STATEMENTS'!D4</f>
        <v>487</v>
      </c>
      <c r="G6" s="22">
        <f>G28*F6+F6</f>
        <v>489.18086256305634</v>
      </c>
      <c r="H6" s="22">
        <f>H28*G6+G6</f>
        <v>491.37149137153148</v>
      </c>
      <c r="I6" s="22">
        <f>I28*H6+H6</f>
        <v>493.60135164219344</v>
      </c>
      <c r="J6" s="22"/>
    </row>
    <row r="7" spans="2:11" x14ac:dyDescent="0.3">
      <c r="B7" s="11" t="s">
        <v>74</v>
      </c>
      <c r="D7" s="19">
        <f>(D5-D6)</f>
        <v>18559</v>
      </c>
      <c r="E7" s="19">
        <f t="shared" ref="E7:F7" si="0">(E5-E6)</f>
        <v>40965</v>
      </c>
      <c r="F7" s="19">
        <f t="shared" si="0"/>
        <v>77122</v>
      </c>
      <c r="G7" s="19">
        <f t="shared" ref="G7" si="1">(G5-G6)</f>
        <v>116430.52684967671</v>
      </c>
      <c r="H7" s="19">
        <f t="shared" ref="H7:I7" si="2">(H5-H6)</f>
        <v>175650.80340478197</v>
      </c>
      <c r="I7" s="19">
        <f t="shared" si="2"/>
        <v>263546.79676748521</v>
      </c>
      <c r="J7" s="20"/>
    </row>
    <row r="8" spans="2:11" x14ac:dyDescent="0.3">
      <c r="B8" s="9" t="s">
        <v>75</v>
      </c>
      <c r="D8">
        <f>(5784+79)</f>
        <v>5863</v>
      </c>
      <c r="E8">
        <f>(14790+55)</f>
        <v>14845</v>
      </c>
      <c r="F8">
        <f>(14650+487)</f>
        <v>15137</v>
      </c>
      <c r="G8">
        <v>22356</v>
      </c>
      <c r="H8">
        <v>28654</v>
      </c>
      <c r="I8">
        <v>28654</v>
      </c>
    </row>
    <row r="9" spans="2:11" x14ac:dyDescent="0.3">
      <c r="B9" s="9" t="s">
        <v>76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/>
    </row>
    <row r="10" spans="2:11" x14ac:dyDescent="0.3">
      <c r="B10" s="10" t="s">
        <v>77</v>
      </c>
      <c r="D10" s="21">
        <f>SUM(D8:D9)</f>
        <v>5863</v>
      </c>
      <c r="E10" s="21">
        <f t="shared" ref="E10:F10" si="3">SUM(E8:E9)</f>
        <v>14845</v>
      </c>
      <c r="F10" s="21">
        <f t="shared" si="3"/>
        <v>15137</v>
      </c>
      <c r="G10" s="21">
        <f t="shared" ref="G10" si="4">SUM(G8:G9)</f>
        <v>22356</v>
      </c>
      <c r="H10" s="21">
        <f t="shared" ref="H10:I10" si="5">SUM(H8:H9)</f>
        <v>28654</v>
      </c>
      <c r="I10" s="21">
        <f t="shared" si="5"/>
        <v>28654</v>
      </c>
      <c r="J10" s="24"/>
    </row>
    <row r="11" spans="2:11" x14ac:dyDescent="0.3">
      <c r="B11" s="11" t="s">
        <v>78</v>
      </c>
      <c r="D11" s="20">
        <f>(D7-D10)</f>
        <v>12696</v>
      </c>
      <c r="E11" s="20">
        <f t="shared" ref="E11:F11" si="6">(E7-E10)</f>
        <v>26120</v>
      </c>
      <c r="F11" s="20">
        <f t="shared" si="6"/>
        <v>61985</v>
      </c>
      <c r="G11" s="20">
        <f t="shared" ref="G11" si="7">(G7-G10)</f>
        <v>94074.526849676709</v>
      </c>
      <c r="H11" s="20">
        <f t="shared" ref="H11:I11" si="8">(H7-H10)</f>
        <v>146996.80340478197</v>
      </c>
      <c r="I11" s="20">
        <f t="shared" si="8"/>
        <v>234892.79676748521</v>
      </c>
      <c r="J11" s="20"/>
    </row>
    <row r="12" spans="2:11" x14ac:dyDescent="0.3">
      <c r="B12" s="10" t="s">
        <v>79</v>
      </c>
      <c r="D12" s="21">
        <v>1334</v>
      </c>
      <c r="E12" s="21">
        <v>1503</v>
      </c>
      <c r="F12" s="22">
        <v>4369</v>
      </c>
      <c r="G12" s="22">
        <f>G16</f>
        <v>4594.0524269917751</v>
      </c>
      <c r="H12" s="22">
        <f>H16</f>
        <v>4857.5133625123281</v>
      </c>
      <c r="I12" s="22">
        <f>I16</f>
        <v>5154.2892377328253</v>
      </c>
      <c r="J12" s="22"/>
    </row>
    <row r="13" spans="2:11" x14ac:dyDescent="0.3">
      <c r="B13" s="11" t="s">
        <v>80</v>
      </c>
      <c r="D13" s="20">
        <f>(D11-D12)</f>
        <v>11362</v>
      </c>
      <c r="E13" s="20">
        <f t="shared" ref="E13:F13" si="9">(E11-E12)</f>
        <v>24617</v>
      </c>
      <c r="F13" s="20">
        <f t="shared" si="9"/>
        <v>57616</v>
      </c>
      <c r="G13" s="20">
        <f t="shared" ref="G13" si="10">(G11-G12)</f>
        <v>89480.474422684929</v>
      </c>
      <c r="H13" s="20">
        <f t="shared" ref="H13:I13" si="11">(H11-H12)</f>
        <v>142139.29004226963</v>
      </c>
      <c r="I13" s="20">
        <f t="shared" si="11"/>
        <v>229738.50752975239</v>
      </c>
      <c r="J13" s="20"/>
    </row>
    <row r="14" spans="2:11" x14ac:dyDescent="0.3">
      <c r="B14" s="10" t="s">
        <v>81</v>
      </c>
      <c r="D14" s="21">
        <v>2</v>
      </c>
      <c r="E14" s="21">
        <v>20</v>
      </c>
      <c r="F14" s="21">
        <v>444</v>
      </c>
      <c r="G14" s="21">
        <f>G30*F14+F14</f>
        <v>447.42154956956404</v>
      </c>
      <c r="H14" s="21">
        <f>H30*G14+G14</f>
        <v>450.86946625952663</v>
      </c>
      <c r="I14" s="21">
        <f>I30*H14+H14</f>
        <v>454.34395325999924</v>
      </c>
      <c r="J14" s="21"/>
      <c r="K14" s="24"/>
    </row>
    <row r="15" spans="2:11" x14ac:dyDescent="0.3">
      <c r="B15" s="11" t="s">
        <v>82</v>
      </c>
      <c r="D15" s="20">
        <f>(D13-D14)</f>
        <v>11360</v>
      </c>
      <c r="E15" s="20">
        <f t="shared" ref="E15:F15" si="12">(E13-E14)</f>
        <v>24597</v>
      </c>
      <c r="F15" s="20">
        <f t="shared" si="12"/>
        <v>57172</v>
      </c>
      <c r="G15" s="20">
        <f t="shared" ref="G15" si="13">(G13-G14)</f>
        <v>89033.052873115361</v>
      </c>
      <c r="H15" s="20">
        <f t="shared" ref="H15:I15" si="14">(H13-H14)</f>
        <v>141688.4205760101</v>
      </c>
      <c r="I15" s="20">
        <f t="shared" si="14"/>
        <v>229284.1635764924</v>
      </c>
      <c r="J15" s="20"/>
    </row>
    <row r="16" spans="2:11" x14ac:dyDescent="0.3">
      <c r="B16" s="9" t="s">
        <v>83</v>
      </c>
      <c r="D16" s="19">
        <f>D12</f>
        <v>1334</v>
      </c>
      <c r="E16" s="19">
        <f t="shared" ref="E16:F16" si="15">E12</f>
        <v>1503</v>
      </c>
      <c r="F16" s="19">
        <f t="shared" si="15"/>
        <v>4369</v>
      </c>
      <c r="G16" s="19">
        <f>G31*F16+F16</f>
        <v>4594.0524269917751</v>
      </c>
      <c r="H16" s="19">
        <f>H31*G16+G16</f>
        <v>4857.5133625123281</v>
      </c>
      <c r="I16" s="19">
        <f>I31*H16+H16</f>
        <v>5154.2892377328253</v>
      </c>
      <c r="J16" s="19"/>
    </row>
    <row r="17" spans="2:11" x14ac:dyDescent="0.3">
      <c r="B17" s="9" t="s">
        <v>84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s="20"/>
    </row>
    <row r="18" spans="2:11" x14ac:dyDescent="0.3">
      <c r="B18" s="9" t="s">
        <v>85</v>
      </c>
      <c r="D18" s="19">
        <f>D19-('Net working Capital'!C7-'Net working Capital'!C12)</f>
        <v>5586</v>
      </c>
      <c r="E18" s="19">
        <f>E19-('Net working Capital'!D7-'Net working Capital'!D12)</f>
        <v>10074</v>
      </c>
      <c r="F18" s="19">
        <f>F19-('Net working Capital'!E7-'Net working Capital'!E12)</f>
        <v>31621.429879738331</v>
      </c>
      <c r="G18" s="19">
        <f>G19-('Net working Capital'!F7-'Net working Capital'!F12)</f>
        <v>82273.900292287886</v>
      </c>
      <c r="H18" s="19">
        <f>H19-('Net working Capital'!G7-'Net working Capital'!G12)</f>
        <v>105580.33375294862</v>
      </c>
      <c r="I18" s="19">
        <f>I19-('Net working Capital'!H7-'Net working Capital'!H12)</f>
        <v>141688.72863279586</v>
      </c>
      <c r="J18" s="19"/>
    </row>
    <row r="19" spans="2:11" x14ac:dyDescent="0.3">
      <c r="B19" s="12" t="s">
        <v>86</v>
      </c>
      <c r="D19" s="58">
        <f>-(D20-D21)</f>
        <v>2793</v>
      </c>
      <c r="E19" s="58">
        <f t="shared" ref="E19:I19" si="16">-(E20-E21)</f>
        <v>5037</v>
      </c>
      <c r="F19" s="58">
        <f t="shared" si="16"/>
        <v>15810.714939869165</v>
      </c>
      <c r="G19" s="58">
        <f t="shared" si="16"/>
        <v>41136.950146143943</v>
      </c>
      <c r="H19" s="58">
        <f t="shared" si="16"/>
        <v>52790.166876474308</v>
      </c>
      <c r="I19" s="58">
        <f t="shared" si="16"/>
        <v>70844.364316397929</v>
      </c>
      <c r="J19" s="19"/>
    </row>
    <row r="20" spans="2:11" x14ac:dyDescent="0.3">
      <c r="B20" s="12" t="s">
        <v>87</v>
      </c>
      <c r="D20" s="19">
        <f>'Net working Capital'!C7</f>
        <v>1919</v>
      </c>
      <c r="E20" s="19">
        <f>'Net working Capital'!D7</f>
        <v>1022</v>
      </c>
      <c r="F20" s="19">
        <f>'Net working Capital'!E7</f>
        <v>3007.7450284852648</v>
      </c>
      <c r="G20" s="19">
        <f>'Net working Capital'!F7</f>
        <v>3338.7660408604656</v>
      </c>
      <c r="H20" s="19">
        <f>'Net working Capital'!G7</f>
        <v>6237.9969412100199</v>
      </c>
      <c r="I20" s="19">
        <f>'Net working Capital'!H7</f>
        <v>9510.8938976853988</v>
      </c>
      <c r="J20" s="19"/>
    </row>
    <row r="21" spans="2:11" x14ac:dyDescent="0.3">
      <c r="B21" s="12" t="s">
        <v>88</v>
      </c>
      <c r="D21" s="19">
        <f>'Net working Capital'!C12</f>
        <v>4712</v>
      </c>
      <c r="E21" s="19">
        <f>'Net working Capital'!D12</f>
        <v>6059</v>
      </c>
      <c r="F21" s="19">
        <f>'Net working Capital'!E12</f>
        <v>18818.459968354429</v>
      </c>
      <c r="G21" s="19">
        <f>'Net working Capital'!F12</f>
        <v>44475.716187004407</v>
      </c>
      <c r="H21" s="19">
        <f>'Net working Capital'!G12</f>
        <v>59028.163817684326</v>
      </c>
      <c r="I21" s="19">
        <f>'Net working Capital'!H12</f>
        <v>80355.258214083326</v>
      </c>
      <c r="J21" s="19"/>
    </row>
    <row r="22" spans="2:11" x14ac:dyDescent="0.3">
      <c r="B22" s="13" t="s">
        <v>89</v>
      </c>
      <c r="D22" s="32">
        <f>D15+D16-D17-D18</f>
        <v>7108</v>
      </c>
      <c r="E22" s="32">
        <f t="shared" ref="E22:I22" si="17">E15+E16-E17-E18</f>
        <v>16026</v>
      </c>
      <c r="F22" s="32">
        <f t="shared" si="17"/>
        <v>29919.570120261669</v>
      </c>
      <c r="G22" s="32">
        <f t="shared" si="17"/>
        <v>11353.205007819255</v>
      </c>
      <c r="H22" s="32">
        <f t="shared" si="17"/>
        <v>40965.600185573829</v>
      </c>
      <c r="I22" s="32">
        <f t="shared" ref="I22" si="18">I15+I16-I17-I18</f>
        <v>92748.724181429367</v>
      </c>
      <c r="J22" s="32"/>
    </row>
    <row r="24" spans="2:11" x14ac:dyDescent="0.3">
      <c r="B24" s="14" t="s">
        <v>90</v>
      </c>
    </row>
    <row r="25" spans="2:11" x14ac:dyDescent="0.3">
      <c r="B25" s="8" t="str">
        <f t="shared" ref="B25" si="19">B4</f>
        <v>Fiscal Year</v>
      </c>
      <c r="D25" s="16">
        <f>D4</f>
        <v>2009</v>
      </c>
      <c r="E25" s="16">
        <f t="shared" ref="E25:H25" si="20">E4</f>
        <v>2010</v>
      </c>
      <c r="F25" s="16">
        <f t="shared" si="20"/>
        <v>2011</v>
      </c>
      <c r="G25" s="16">
        <f t="shared" si="20"/>
        <v>2012</v>
      </c>
      <c r="H25" s="16">
        <f t="shared" si="20"/>
        <v>2013</v>
      </c>
      <c r="I25" s="16">
        <v>45479</v>
      </c>
      <c r="J25" s="16"/>
      <c r="K25" s="16"/>
    </row>
    <row r="26" spans="2:11" x14ac:dyDescent="0.3">
      <c r="B26" s="15" t="s">
        <v>91</v>
      </c>
      <c r="D26" s="17">
        <f>C5/$D5</f>
        <v>0.53653825517759413</v>
      </c>
      <c r="E26" s="18">
        <f>D5/$E5</f>
        <v>0.45364488256054519</v>
      </c>
      <c r="F26" s="18">
        <f>E5/$F5</f>
        <v>0.52938447860428561</v>
      </c>
      <c r="G26" s="18">
        <f>AVERAGE(D26:F26)</f>
        <v>0.50652253878080833</v>
      </c>
      <c r="H26" s="18">
        <f>AVERAGE(D26:G26)</f>
        <v>0.50652253878080833</v>
      </c>
      <c r="I26" s="18">
        <f>AVERAGE(E26:H26)</f>
        <v>0.49901860968161188</v>
      </c>
      <c r="J26" s="18"/>
      <c r="K26" s="18"/>
    </row>
    <row r="27" spans="2:11" x14ac:dyDescent="0.3">
      <c r="B27" s="15"/>
      <c r="E27" s="15"/>
      <c r="F27" s="15"/>
      <c r="G27" s="15"/>
      <c r="H27" s="15"/>
      <c r="I27" s="15"/>
      <c r="J27" s="15"/>
      <c r="K27" s="15"/>
    </row>
    <row r="28" spans="2:11" x14ac:dyDescent="0.3">
      <c r="B28" s="15" t="s">
        <v>92</v>
      </c>
      <c r="D28" s="17">
        <f>D6/$D5</f>
        <v>4.2386522159029941E-3</v>
      </c>
      <c r="E28" s="17">
        <f>E6/$E5</f>
        <v>2.9207740051113546E-3</v>
      </c>
      <c r="F28" s="17">
        <f>F6/$F5</f>
        <v>6.2750454199899499E-3</v>
      </c>
      <c r="G28" s="17">
        <f>AVERAGE(D28:F28)</f>
        <v>4.4781572136680997E-3</v>
      </c>
      <c r="H28" s="17">
        <f>AVERAGE(D28:G28)</f>
        <v>4.4781572136680997E-3</v>
      </c>
      <c r="I28" s="17">
        <f>AVERAGE(E28:H28)</f>
        <v>4.5380334631093758E-3</v>
      </c>
      <c r="J28" s="17"/>
      <c r="K28" s="17"/>
    </row>
    <row r="29" spans="2:11" x14ac:dyDescent="0.3">
      <c r="B29" s="15" t="s">
        <v>93</v>
      </c>
      <c r="D29" s="17"/>
      <c r="E29" s="17"/>
      <c r="F29" s="17"/>
      <c r="G29" s="17"/>
      <c r="H29" s="17"/>
      <c r="I29" s="17"/>
      <c r="J29" s="17"/>
      <c r="K29" s="17"/>
    </row>
    <row r="30" spans="2:11" x14ac:dyDescent="0.3">
      <c r="B30" s="15" t="s">
        <v>94</v>
      </c>
      <c r="D30" s="17">
        <f>D14/$D13</f>
        <v>1.7602534765006161E-4</v>
      </c>
      <c r="E30" s="17">
        <f>E14/$E13</f>
        <v>8.1244668318641584E-4</v>
      </c>
      <c r="F30" s="17">
        <f>F14/$F13</f>
        <v>7.7061927242432658E-3</v>
      </c>
      <c r="G30" s="17">
        <f>F30</f>
        <v>7.7061927242432658E-3</v>
      </c>
      <c r="H30" s="17">
        <f>F30</f>
        <v>7.7061927242432658E-3</v>
      </c>
      <c r="I30" s="17">
        <f>G30</f>
        <v>7.7061927242432658E-3</v>
      </c>
      <c r="J30" s="17"/>
      <c r="K30" s="17"/>
    </row>
    <row r="31" spans="2:11" x14ac:dyDescent="0.3">
      <c r="B31" t="s">
        <v>95</v>
      </c>
      <c r="D31" s="26">
        <v>3.4000000000000002E-2</v>
      </c>
      <c r="E31" s="26">
        <f>E16/100/'BALANCE SHEETS'!C5</f>
        <v>4.6104294478527603E-2</v>
      </c>
      <c r="F31" s="26">
        <f>F16/100/'BALANCE SHEETS'!D5</f>
        <v>7.4429301533219763E-2</v>
      </c>
      <c r="G31" s="26">
        <f>AVERAGE(D31:F31)</f>
        <v>5.1511198670582459E-2</v>
      </c>
      <c r="H31" s="26">
        <f>AVERAGE(E31:G31)</f>
        <v>5.7348264894109942E-2</v>
      </c>
      <c r="I31" s="26">
        <f>AVERAGE(F31:H31)</f>
        <v>6.1096255032637381E-2</v>
      </c>
      <c r="J31" s="26"/>
      <c r="K31" s="26"/>
    </row>
    <row r="32" spans="2:11" x14ac:dyDescent="0.3">
      <c r="B32" t="s">
        <v>96</v>
      </c>
      <c r="D32" s="26"/>
      <c r="E32" s="26"/>
      <c r="F32" s="26"/>
      <c r="G32" s="26"/>
      <c r="H32" s="26"/>
      <c r="I32" s="26"/>
      <c r="J32" s="26"/>
      <c r="K32" s="26"/>
    </row>
    <row r="33" spans="2:6" x14ac:dyDescent="0.3">
      <c r="E33" s="28"/>
      <c r="F33" s="28"/>
    </row>
    <row r="35" spans="2:6" x14ac:dyDescent="0.3">
      <c r="B35" t="s">
        <v>97</v>
      </c>
      <c r="D35" s="19"/>
      <c r="E3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7A63-35AD-4560-BAFA-9D35D72FFACF}">
  <dimension ref="B3:J26"/>
  <sheetViews>
    <sheetView workbookViewId="0">
      <selection activeCell="K9" sqref="K9"/>
    </sheetView>
  </sheetViews>
  <sheetFormatPr defaultRowHeight="14.4" x14ac:dyDescent="0.3"/>
  <cols>
    <col min="2" max="2" width="38.33203125" customWidth="1"/>
    <col min="6" max="6" width="9.44140625" bestFit="1" customWidth="1"/>
  </cols>
  <sheetData>
    <row r="3" spans="2:10" x14ac:dyDescent="0.3">
      <c r="B3" s="8" t="s">
        <v>73</v>
      </c>
      <c r="C3" s="16">
        <f>C17</f>
        <v>2009</v>
      </c>
      <c r="D3" s="16">
        <f t="shared" ref="D3:I3" si="0">D17</f>
        <v>2010</v>
      </c>
      <c r="E3" s="16">
        <f t="shared" si="0"/>
        <v>2011</v>
      </c>
      <c r="F3" s="16">
        <f t="shared" si="0"/>
        <v>2012</v>
      </c>
      <c r="G3" s="16">
        <f t="shared" si="0"/>
        <v>2013</v>
      </c>
      <c r="H3" s="16">
        <f t="shared" ref="H3" si="1">H17</f>
        <v>188</v>
      </c>
      <c r="I3" s="16"/>
    </row>
    <row r="4" spans="2:10" x14ac:dyDescent="0.3">
      <c r="B4" s="9" t="s">
        <v>98</v>
      </c>
      <c r="C4" s="19">
        <f>'CASH FLOWS STATEMENTS'!B11</f>
        <v>122</v>
      </c>
      <c r="D4" s="19">
        <f>'CASH FLOWS STATEMENTS'!C11</f>
        <v>341</v>
      </c>
      <c r="E4" s="19">
        <f>E18*E21/360</f>
        <v>576.07735970889314</v>
      </c>
      <c r="F4" s="19">
        <f t="shared" ref="F4:I4" si="2">F18*F21/360</f>
        <v>919.14572429620364</v>
      </c>
      <c r="G4" s="19">
        <f t="shared" si="2"/>
        <v>1346.0923892668711</v>
      </c>
      <c r="H4" s="19">
        <f t="shared" ref="H4" si="3">H18*H21/360</f>
        <v>2046.7646111540612</v>
      </c>
      <c r="I4" s="19"/>
    </row>
    <row r="5" spans="2:10" x14ac:dyDescent="0.3">
      <c r="B5" s="9" t="s">
        <v>99</v>
      </c>
      <c r="C5" s="19">
        <f>-'CASH FLOWS STATEMENTS'!B12</f>
        <v>-234</v>
      </c>
      <c r="D5" s="19">
        <f>-'CASH FLOWS STATEMENTS'!C12</f>
        <v>-277</v>
      </c>
      <c r="E5" s="20">
        <f>E19*E22/360</f>
        <v>-1283.3323312236284</v>
      </c>
      <c r="F5" s="20">
        <f t="shared" ref="F5:I5" si="4">F19*F22/360</f>
        <v>-1209.135893121643</v>
      </c>
      <c r="G5" s="20">
        <f t="shared" si="4"/>
        <v>-1254.7012943242869</v>
      </c>
      <c r="H5" s="20">
        <f t="shared" ref="H5" si="5">H19*H22/360</f>
        <v>-1240.2287178824579</v>
      </c>
      <c r="I5" s="20"/>
    </row>
    <row r="6" spans="2:10" x14ac:dyDescent="0.3">
      <c r="B6" s="9" t="s">
        <v>69</v>
      </c>
      <c r="C6" s="19">
        <f>'BALANCE SHEETS'!B16</f>
        <v>2031</v>
      </c>
      <c r="D6" s="19">
        <f>'BALANCE SHEETS'!C16</f>
        <v>958</v>
      </c>
      <c r="E6" s="20">
        <f>'BALANCE SHEETS'!D16</f>
        <v>3715</v>
      </c>
      <c r="F6" s="20">
        <f>F18*F24</f>
        <v>3628.7562096859051</v>
      </c>
      <c r="G6" s="20">
        <f>G18*G24</f>
        <v>6146.6058462674355</v>
      </c>
      <c r="H6" s="20">
        <f>H18*H24</f>
        <v>8704.3580044137962</v>
      </c>
      <c r="I6" s="20"/>
    </row>
    <row r="7" spans="2:10" x14ac:dyDescent="0.3">
      <c r="B7" s="27" t="s">
        <v>87</v>
      </c>
      <c r="C7" s="29">
        <f>SUM(C4:C6)</f>
        <v>1919</v>
      </c>
      <c r="D7" s="29">
        <f>SUM(D4:D6)</f>
        <v>1022</v>
      </c>
      <c r="E7" s="29">
        <f t="shared" ref="E7:I7" si="6">SUM(E4:E6)</f>
        <v>3007.7450284852648</v>
      </c>
      <c r="F7" s="29">
        <f t="shared" si="6"/>
        <v>3338.7660408604656</v>
      </c>
      <c r="G7" s="29">
        <f t="shared" si="6"/>
        <v>6237.9969412100199</v>
      </c>
      <c r="H7" s="29">
        <f t="shared" ref="H7" si="7">SUM(H4:H6)</f>
        <v>9510.8938976853988</v>
      </c>
      <c r="I7" s="29"/>
    </row>
    <row r="9" spans="2:10" x14ac:dyDescent="0.3">
      <c r="B9" s="9" t="s">
        <v>100</v>
      </c>
      <c r="C9" s="19">
        <f>'BALANCE SHEETS'!B18</f>
        <v>2720</v>
      </c>
      <c r="D9" s="19">
        <f>'BALANCE SHEETS'!C18</f>
        <v>3897</v>
      </c>
      <c r="E9" s="20">
        <f>E23*E19/360</f>
        <v>16291.459968354431</v>
      </c>
      <c r="F9" s="20">
        <f t="shared" ref="F9:I9" si="8">F23*F19/360</f>
        <v>16125.282099534079</v>
      </c>
      <c r="G9" s="20">
        <f t="shared" si="8"/>
        <v>16317.595880690566</v>
      </c>
      <c r="H9" s="20">
        <f t="shared" ref="H9" si="9">H23*H19/360</f>
        <v>16331.322046458903</v>
      </c>
      <c r="I9" s="20"/>
    </row>
    <row r="10" spans="2:10" x14ac:dyDescent="0.3">
      <c r="B10" s="9" t="s">
        <v>101</v>
      </c>
      <c r="C10" s="19">
        <f>'BALANCE SHEETS'!B21</f>
        <v>0</v>
      </c>
      <c r="D10" s="19">
        <f>'BALANCE SHEETS'!C21</f>
        <v>0</v>
      </c>
      <c r="E10" s="20">
        <f>E25*E18</f>
        <v>0</v>
      </c>
      <c r="F10" s="20">
        <f>F25*F18</f>
        <v>0</v>
      </c>
      <c r="G10" s="20">
        <f>G25*G18</f>
        <v>0</v>
      </c>
      <c r="H10" s="20">
        <f>H25*H18</f>
        <v>0</v>
      </c>
      <c r="I10" s="20"/>
      <c r="J10" s="20"/>
    </row>
    <row r="11" spans="2:10" x14ac:dyDescent="0.3">
      <c r="B11" s="9" t="s">
        <v>70</v>
      </c>
      <c r="C11" s="19">
        <f>'BALANCE SHEETS'!B20</f>
        <v>1992</v>
      </c>
      <c r="D11" s="19">
        <f>'BALANCE SHEETS'!C20</f>
        <v>2162</v>
      </c>
      <c r="E11" s="20">
        <f>'BALANCE SHEETS'!D20</f>
        <v>2527</v>
      </c>
      <c r="F11" s="20">
        <f>F26*F18</f>
        <v>28350.434087470327</v>
      </c>
      <c r="G11" s="20">
        <f>G26*G18</f>
        <v>42710.567936993764</v>
      </c>
      <c r="H11" s="20">
        <f>H26*H18</f>
        <v>64023.93616762443</v>
      </c>
      <c r="I11" s="20"/>
    </row>
    <row r="12" spans="2:10" x14ac:dyDescent="0.3">
      <c r="B12" s="27" t="s">
        <v>102</v>
      </c>
      <c r="C12" s="29">
        <f t="shared" ref="C12:I12" si="10">SUM(C9:C11)</f>
        <v>4712</v>
      </c>
      <c r="D12" s="29">
        <f t="shared" si="10"/>
        <v>6059</v>
      </c>
      <c r="E12" s="29">
        <f t="shared" si="10"/>
        <v>18818.459968354429</v>
      </c>
      <c r="F12" s="29">
        <f t="shared" si="10"/>
        <v>44475.716187004407</v>
      </c>
      <c r="G12" s="29">
        <f t="shared" si="10"/>
        <v>59028.163817684326</v>
      </c>
      <c r="H12" s="29">
        <f t="shared" si="10"/>
        <v>80355.258214083326</v>
      </c>
      <c r="I12" s="29"/>
    </row>
    <row r="16" spans="2:10" x14ac:dyDescent="0.3">
      <c r="B16" s="14" t="s">
        <v>90</v>
      </c>
      <c r="C16" s="31"/>
      <c r="D16" s="31"/>
      <c r="E16" s="31"/>
      <c r="F16" s="31"/>
      <c r="G16" s="31"/>
      <c r="H16" s="31"/>
      <c r="I16" s="31"/>
    </row>
    <row r="17" spans="2:9" x14ac:dyDescent="0.3">
      <c r="B17" s="8" t="s">
        <v>73</v>
      </c>
      <c r="C17" s="30">
        <f>'Free Cash Flows'!D4</f>
        <v>2009</v>
      </c>
      <c r="D17" s="30">
        <f>'Free Cash Flows'!E4</f>
        <v>2010</v>
      </c>
      <c r="E17" s="30">
        <f>'Free Cash Flows'!F4</f>
        <v>2011</v>
      </c>
      <c r="F17" s="30">
        <f>'Free Cash Flows'!G4</f>
        <v>2012</v>
      </c>
      <c r="G17" s="30">
        <f>'Free Cash Flows'!H4</f>
        <v>2013</v>
      </c>
      <c r="H17" s="30">
        <f>'Free Cash Flows'!I4</f>
        <v>188</v>
      </c>
      <c r="I17" s="30"/>
    </row>
    <row r="18" spans="2:9" x14ac:dyDescent="0.3">
      <c r="B18" s="15" t="s">
        <v>2</v>
      </c>
      <c r="C18">
        <f>'Free Cash Flows'!D5</f>
        <v>18638</v>
      </c>
      <c r="D18">
        <f>'Free Cash Flows'!E5</f>
        <v>41085</v>
      </c>
      <c r="E18">
        <f>'Free Cash Flows'!F5</f>
        <v>77609</v>
      </c>
      <c r="F18">
        <f>'Free Cash Flows'!G5</f>
        <v>116919.70771223976</v>
      </c>
      <c r="G18">
        <f>'Free Cash Flows'!H5</f>
        <v>176142.1748961535</v>
      </c>
      <c r="H18">
        <f>'Free Cash Flows'!I5</f>
        <v>264040.39811912738</v>
      </c>
    </row>
    <row r="19" spans="2:9" x14ac:dyDescent="0.3">
      <c r="B19" s="15" t="s">
        <v>72</v>
      </c>
      <c r="C19" s="19">
        <f>'Free Cash Flows'!D6</f>
        <v>79</v>
      </c>
      <c r="D19" s="19">
        <f>'Free Cash Flows'!E6</f>
        <v>120</v>
      </c>
      <c r="E19" s="19">
        <f>'Free Cash Flows'!F6</f>
        <v>487</v>
      </c>
      <c r="F19" s="19">
        <f>'Free Cash Flows'!G6</f>
        <v>489.18086256305634</v>
      </c>
      <c r="G19" s="19">
        <f>'Free Cash Flows'!H6</f>
        <v>491.37149137153148</v>
      </c>
      <c r="H19" s="19">
        <f>'Free Cash Flows'!I6</f>
        <v>493.60135164219344</v>
      </c>
      <c r="I19" s="19"/>
    </row>
    <row r="20" spans="2:9" x14ac:dyDescent="0.3">
      <c r="B20" s="15"/>
    </row>
    <row r="21" spans="2:9" x14ac:dyDescent="0.3">
      <c r="B21" s="15" t="s">
        <v>103</v>
      </c>
      <c r="C21" s="20">
        <f>C4/C18*360</f>
        <v>2.3564760167399936</v>
      </c>
      <c r="D21" s="20">
        <f>D4/D18*360</f>
        <v>2.9879518072289155</v>
      </c>
      <c r="E21" s="20">
        <f t="shared" ref="E21:E26" si="11">AVERAGE(C21:D21)</f>
        <v>2.6722139119844543</v>
      </c>
      <c r="F21" s="20">
        <f t="shared" ref="F21:I21" si="12">AVERAGE(D21:E21)</f>
        <v>2.8300828596066849</v>
      </c>
      <c r="G21" s="20">
        <f t="shared" si="12"/>
        <v>2.7511483857955694</v>
      </c>
      <c r="H21" s="20">
        <f t="shared" si="12"/>
        <v>2.790615622701127</v>
      </c>
      <c r="I21" s="20"/>
    </row>
    <row r="22" spans="2:9" x14ac:dyDescent="0.3">
      <c r="B22" s="15" t="s">
        <v>104</v>
      </c>
      <c r="C22" s="20">
        <f>C5/C19*360</f>
        <v>-1066.3291139240505</v>
      </c>
      <c r="D22" s="20">
        <f>D5/D19*360</f>
        <v>-830.99999999999989</v>
      </c>
      <c r="E22" s="20">
        <f t="shared" si="11"/>
        <v>-948.66455696202524</v>
      </c>
      <c r="F22" s="20">
        <f t="shared" ref="F22:I22" si="13">AVERAGE(D22:E22)</f>
        <v>-889.83227848101251</v>
      </c>
      <c r="G22" s="20">
        <f t="shared" si="13"/>
        <v>-919.24841772151888</v>
      </c>
      <c r="H22" s="20">
        <f t="shared" si="13"/>
        <v>-904.54034810126564</v>
      </c>
      <c r="I22" s="20"/>
    </row>
    <row r="23" spans="2:9" x14ac:dyDescent="0.3">
      <c r="B23" s="15" t="s">
        <v>105</v>
      </c>
      <c r="C23" s="20">
        <f>C9/C19*360</f>
        <v>12394.93670886076</v>
      </c>
      <c r="D23" s="20">
        <f>D9/D19*360</f>
        <v>11691</v>
      </c>
      <c r="E23" s="20">
        <f t="shared" si="11"/>
        <v>12042.968354430381</v>
      </c>
      <c r="F23" s="20">
        <f t="shared" ref="F23:I23" si="14">AVERAGE(D23:E23)</f>
        <v>11866.98417721519</v>
      </c>
      <c r="G23" s="20">
        <f t="shared" si="14"/>
        <v>11954.976265822785</v>
      </c>
      <c r="H23" s="20">
        <f t="shared" si="14"/>
        <v>11910.980221518988</v>
      </c>
      <c r="I23" s="20"/>
    </row>
    <row r="24" spans="2:9" x14ac:dyDescent="0.3">
      <c r="B24" s="15" t="s">
        <v>106</v>
      </c>
      <c r="C24" s="26">
        <f>C6/C$18</f>
        <v>0.10897091962656938</v>
      </c>
      <c r="D24" s="26">
        <f>D6/D$18</f>
        <v>2.331751247413898E-2</v>
      </c>
      <c r="E24" s="26">
        <f>E7/$E18</f>
        <v>3.8755106089310064E-2</v>
      </c>
      <c r="F24" s="26">
        <f t="shared" ref="F24:I24" si="15">AVERAGE(D24:E24)</f>
        <v>3.1036309281724524E-2</v>
      </c>
      <c r="G24" s="26">
        <f t="shared" si="15"/>
        <v>3.4895707685517294E-2</v>
      </c>
      <c r="H24" s="26">
        <f t="shared" si="15"/>
        <v>3.2966008483620912E-2</v>
      </c>
      <c r="I24" s="26"/>
    </row>
    <row r="25" spans="2:9" x14ac:dyDescent="0.3">
      <c r="B25" s="15" t="s">
        <v>107</v>
      </c>
      <c r="C25" s="28">
        <f>C10/C18</f>
        <v>0</v>
      </c>
      <c r="D25" s="28">
        <f>D10/D18</f>
        <v>0</v>
      </c>
      <c r="E25" s="28">
        <f t="shared" si="11"/>
        <v>0</v>
      </c>
      <c r="F25" s="28">
        <f>E25</f>
        <v>0</v>
      </c>
      <c r="G25" s="28">
        <f t="shared" ref="G25:H25" si="16">F25</f>
        <v>0</v>
      </c>
      <c r="H25" s="28">
        <f t="shared" si="16"/>
        <v>0</v>
      </c>
      <c r="I25" s="28"/>
    </row>
    <row r="26" spans="2:9" x14ac:dyDescent="0.3">
      <c r="B26" s="15" t="s">
        <v>108</v>
      </c>
      <c r="C26" s="28">
        <f>C11/C18</f>
        <v>0.10687842043137676</v>
      </c>
      <c r="D26" s="28">
        <f>D11/D18</f>
        <v>5.2622611658756237E-2</v>
      </c>
      <c r="E26" s="28">
        <f>E12/E18</f>
        <v>0.24247780500141</v>
      </c>
      <c r="F26" s="28">
        <f>E26</f>
        <v>0.24247780500141</v>
      </c>
      <c r="G26" s="28">
        <f t="shared" ref="G26:H26" si="17">F26</f>
        <v>0.24247780500141</v>
      </c>
      <c r="H26" s="28">
        <f t="shared" si="17"/>
        <v>0.24247780500141</v>
      </c>
      <c r="I26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634C-DED5-4E71-9C7A-0D6B5C9CF656}">
  <dimension ref="B5:H22"/>
  <sheetViews>
    <sheetView workbookViewId="0">
      <selection activeCell="C14" sqref="C14"/>
    </sheetView>
  </sheetViews>
  <sheetFormatPr defaultRowHeight="14.4" x14ac:dyDescent="0.3"/>
  <cols>
    <col min="2" max="2" width="30.88671875" customWidth="1"/>
    <col min="3" max="3" width="16.44140625" customWidth="1"/>
  </cols>
  <sheetData>
    <row r="5" spans="2:3" x14ac:dyDescent="0.3">
      <c r="B5" s="50" t="s">
        <v>109</v>
      </c>
      <c r="C5" s="51"/>
    </row>
    <row r="6" spans="2:3" x14ac:dyDescent="0.3">
      <c r="B6" s="33" t="s">
        <v>110</v>
      </c>
      <c r="C6" s="34">
        <v>215987</v>
      </c>
    </row>
    <row r="7" spans="2:3" x14ac:dyDescent="0.3">
      <c r="B7" s="33" t="s">
        <v>111</v>
      </c>
      <c r="C7" s="35">
        <v>3600</v>
      </c>
    </row>
    <row r="8" spans="2:3" x14ac:dyDescent="0.3">
      <c r="B8" s="33"/>
      <c r="C8" s="33"/>
    </row>
    <row r="9" spans="2:3" x14ac:dyDescent="0.3">
      <c r="B9" s="33" t="s">
        <v>112</v>
      </c>
      <c r="C9" s="36">
        <v>4.4999999999999998E-2</v>
      </c>
    </row>
    <row r="10" spans="2:3" x14ac:dyDescent="0.3">
      <c r="B10" s="33" t="s">
        <v>113</v>
      </c>
      <c r="C10" s="37">
        <v>0.21</v>
      </c>
    </row>
    <row r="11" spans="2:3" x14ac:dyDescent="0.3">
      <c r="B11" s="33" t="s">
        <v>114</v>
      </c>
      <c r="C11" s="36">
        <f>C7/SUM(C6:C7)</f>
        <v>1.6394413148319346E-2</v>
      </c>
    </row>
    <row r="12" spans="2:3" x14ac:dyDescent="0.3">
      <c r="B12" s="27" t="s">
        <v>115</v>
      </c>
      <c r="C12" s="38">
        <f>C9*(1-C10)</f>
        <v>3.5549999999999998E-2</v>
      </c>
    </row>
    <row r="13" spans="2:3" x14ac:dyDescent="0.3">
      <c r="B13" s="11"/>
      <c r="C13" s="39"/>
    </row>
    <row r="14" spans="2:3" x14ac:dyDescent="0.3">
      <c r="B14" s="33" t="s">
        <v>116</v>
      </c>
      <c r="C14" s="37">
        <v>3.1E-2</v>
      </c>
    </row>
    <row r="15" spans="2:3" x14ac:dyDescent="0.3">
      <c r="B15" s="33" t="s">
        <v>117</v>
      </c>
      <c r="C15" s="37">
        <v>7.8E-2</v>
      </c>
    </row>
    <row r="16" spans="2:3" x14ac:dyDescent="0.3">
      <c r="B16" s="33" t="s">
        <v>118</v>
      </c>
      <c r="C16" s="36">
        <f>C15-C14</f>
        <v>4.7E-2</v>
      </c>
    </row>
    <row r="17" spans="2:8" x14ac:dyDescent="0.3">
      <c r="B17" s="33" t="s">
        <v>119</v>
      </c>
      <c r="C17" s="40">
        <v>0.7</v>
      </c>
    </row>
    <row r="18" spans="2:8" x14ac:dyDescent="0.3">
      <c r="B18" s="33" t="s">
        <v>120</v>
      </c>
    </row>
    <row r="19" spans="2:8" x14ac:dyDescent="0.3">
      <c r="B19" s="27" t="s">
        <v>121</v>
      </c>
      <c r="C19" s="38">
        <f>C14+C17*(C16)</f>
        <v>6.3899999999999998E-2</v>
      </c>
    </row>
    <row r="20" spans="2:8" x14ac:dyDescent="0.3">
      <c r="B20" s="33"/>
      <c r="C20" s="33"/>
    </row>
    <row r="21" spans="2:8" x14ac:dyDescent="0.3">
      <c r="B21" s="13" t="s">
        <v>122</v>
      </c>
      <c r="C21" s="41">
        <f>C12*C11+C19</f>
        <v>6.4482821387422756E-2</v>
      </c>
    </row>
    <row r="22" spans="2:8" x14ac:dyDescent="0.3">
      <c r="H22" s="28">
        <v>0.05</v>
      </c>
    </row>
  </sheetData>
  <mergeCells count="1">
    <mergeCell ref="B5:C5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3564-3E5E-4A72-851D-63A0BAE49C35}">
  <dimension ref="D4:O24"/>
  <sheetViews>
    <sheetView tabSelected="1" workbookViewId="0">
      <selection activeCell="Q20" sqref="Q20"/>
    </sheetView>
  </sheetViews>
  <sheetFormatPr defaultRowHeight="14.4" x14ac:dyDescent="0.3"/>
  <cols>
    <col min="4" max="4" width="23.109375" customWidth="1"/>
    <col min="5" max="5" width="15.6640625" customWidth="1"/>
    <col min="11" max="11" width="11" customWidth="1"/>
    <col min="12" max="12" width="10.6640625" customWidth="1"/>
  </cols>
  <sheetData>
    <row r="4" spans="4:15" x14ac:dyDescent="0.3">
      <c r="D4" s="14" t="s">
        <v>135</v>
      </c>
      <c r="E4" s="14"/>
      <c r="F4" s="14"/>
      <c r="G4" s="14"/>
      <c r="H4" s="14"/>
      <c r="I4" s="14"/>
      <c r="J4" s="14"/>
      <c r="K4" s="14"/>
      <c r="L4" s="14"/>
      <c r="M4" s="14"/>
    </row>
    <row r="5" spans="4:15" x14ac:dyDescent="0.3"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4:15" x14ac:dyDescent="0.3">
      <c r="D6" t="s">
        <v>138</v>
      </c>
      <c r="F6" s="16">
        <f>'Free Cash Flows'!D4</f>
        <v>2009</v>
      </c>
      <c r="G6" s="16">
        <f>'Free Cash Flows'!E4</f>
        <v>2010</v>
      </c>
      <c r="H6" s="16">
        <f>'Free Cash Flows'!F4</f>
        <v>2011</v>
      </c>
      <c r="I6" s="16">
        <f>'Free Cash Flows'!G4</f>
        <v>2012</v>
      </c>
      <c r="J6" s="16">
        <f>'Free Cash Flows'!H4</f>
        <v>2013</v>
      </c>
      <c r="K6" s="16">
        <f>'Free Cash Flows'!I4</f>
        <v>188</v>
      </c>
      <c r="L6" s="16"/>
      <c r="M6" s="16"/>
    </row>
    <row r="7" spans="4:15" x14ac:dyDescent="0.3">
      <c r="D7" s="9" t="s">
        <v>89</v>
      </c>
      <c r="E7" s="35"/>
      <c r="F7" s="35">
        <f>'Free Cash Flows'!D22</f>
        <v>7108</v>
      </c>
      <c r="G7" s="35">
        <f>'Free Cash Flows'!E22</f>
        <v>16026</v>
      </c>
      <c r="H7" s="35">
        <f>'Free Cash Flows'!F22</f>
        <v>29919.570120261669</v>
      </c>
      <c r="I7" s="35">
        <f>'Free Cash Flows'!G22</f>
        <v>11353.205007819255</v>
      </c>
      <c r="J7" s="35">
        <f>'Free Cash Flows'!H22</f>
        <v>40965.600185573829</v>
      </c>
      <c r="K7" s="35">
        <f>'Free Cash Flows'!I22</f>
        <v>92748.724181429367</v>
      </c>
      <c r="L7" s="35"/>
      <c r="M7" s="35"/>
    </row>
    <row r="8" spans="4:15" x14ac:dyDescent="0.3">
      <c r="D8" s="9" t="s">
        <v>136</v>
      </c>
      <c r="I8" s="9">
        <v>1</v>
      </c>
      <c r="J8">
        <v>2</v>
      </c>
      <c r="K8" s="9">
        <v>3</v>
      </c>
      <c r="M8" s="9"/>
    </row>
    <row r="9" spans="4:15" x14ac:dyDescent="0.3">
      <c r="D9" s="27" t="s">
        <v>137</v>
      </c>
      <c r="E9" s="27"/>
      <c r="F9" s="27"/>
      <c r="G9" s="27"/>
      <c r="H9" s="27"/>
      <c r="I9" s="27">
        <f t="shared" ref="I9:L9" si="0">I7/(1+F$15)^I8</f>
        <v>11353.205007819255</v>
      </c>
      <c r="J9" s="27">
        <f t="shared" si="0"/>
        <v>40965.600185573829</v>
      </c>
      <c r="K9" s="27">
        <f t="shared" si="0"/>
        <v>92748.724181429367</v>
      </c>
      <c r="L9" s="27"/>
      <c r="M9" s="46"/>
    </row>
    <row r="12" spans="4:15" x14ac:dyDescent="0.3">
      <c r="D12" s="50" t="s">
        <v>123</v>
      </c>
      <c r="E12" s="51"/>
    </row>
    <row r="13" spans="4:15" x14ac:dyDescent="0.3">
      <c r="D13" s="33" t="s">
        <v>124</v>
      </c>
      <c r="E13" s="35">
        <f>SUM(I9:K9)</f>
        <v>145067.52937482245</v>
      </c>
    </row>
    <row r="14" spans="4:15" x14ac:dyDescent="0.3">
      <c r="D14" s="33" t="s">
        <v>125</v>
      </c>
      <c r="E14" s="37">
        <v>3.5000000000000003E-2</v>
      </c>
      <c r="K14" s="64"/>
      <c r="L14" s="64" t="s">
        <v>125</v>
      </c>
      <c r="M14" s="64"/>
    </row>
    <row r="15" spans="4:15" x14ac:dyDescent="0.3">
      <c r="D15" s="33" t="s">
        <v>122</v>
      </c>
      <c r="E15" s="36">
        <f>Wacc!C21</f>
        <v>6.4482821387422756E-2</v>
      </c>
      <c r="H15" s="28"/>
      <c r="I15" s="59">
        <f>E24</f>
        <v>166.98158077241337</v>
      </c>
      <c r="J15" s="60">
        <f>K15-0.5%</f>
        <v>2.5000000000000001E-2</v>
      </c>
      <c r="K15" s="61">
        <f>L15-0.5%</f>
        <v>3.0000000000000002E-2</v>
      </c>
      <c r="L15" s="63">
        <f>3.5%</f>
        <v>3.5000000000000003E-2</v>
      </c>
      <c r="M15" s="63">
        <f>4%</f>
        <v>0.04</v>
      </c>
      <c r="N15" s="63">
        <v>4.4999999999999998E-2</v>
      </c>
      <c r="O15" s="62">
        <v>0.05</v>
      </c>
    </row>
    <row r="16" spans="4:15" x14ac:dyDescent="0.3">
      <c r="D16" s="33" t="s">
        <v>126</v>
      </c>
      <c r="E16" s="35">
        <f>J9*(1+E14)/(E15-E14)</f>
        <v>1438105.1133103671</v>
      </c>
      <c r="I16" s="61">
        <v>5.5E-2</v>
      </c>
      <c r="J16" s="20">
        <f t="dataTable" ref="J16:O20" dt2D="1" dtr="1" r1="E14" r2="E15"/>
        <v>166.9438015948285</v>
      </c>
      <c r="K16" s="20">
        <v>197.61517030141181</v>
      </c>
      <c r="L16" s="20">
        <v>243.6222233612867</v>
      </c>
      <c r="M16" s="20">
        <v>320.30064512774493</v>
      </c>
      <c r="N16" s="20">
        <v>473.65748866066122</v>
      </c>
      <c r="O16" s="20">
        <v>933.72801925941098</v>
      </c>
    </row>
    <row r="17" spans="4:15" x14ac:dyDescent="0.3">
      <c r="D17" s="33" t="s">
        <v>127</v>
      </c>
      <c r="E17" s="35">
        <f>E16/(1+E15)^K8</f>
        <v>1192270.1168044845</v>
      </c>
      <c r="F17" s="35"/>
      <c r="I17" s="62">
        <v>0.06</v>
      </c>
      <c r="J17" s="20">
        <v>143.85994314763639</v>
      </c>
      <c r="K17" s="20">
        <v>165.56187072395036</v>
      </c>
      <c r="L17" s="20">
        <v>195.94456933078985</v>
      </c>
      <c r="M17" s="20">
        <v>241.51861724104907</v>
      </c>
      <c r="N17" s="20">
        <v>317.47536375814775</v>
      </c>
      <c r="O17" s="20">
        <v>469.38885679234539</v>
      </c>
    </row>
    <row r="18" spans="4:15" x14ac:dyDescent="0.3">
      <c r="D18" s="33" t="s">
        <v>128</v>
      </c>
      <c r="E18" s="35">
        <f>E17+E13</f>
        <v>1337337.646179307</v>
      </c>
      <c r="H18" s="64" t="s">
        <v>161</v>
      </c>
      <c r="I18" s="63">
        <f>E15</f>
        <v>6.4482821387422756E-2</v>
      </c>
      <c r="J18" s="20">
        <v>143.85994314763639</v>
      </c>
      <c r="K18" s="20">
        <v>165.56187072395036</v>
      </c>
      <c r="L18" s="20">
        <v>195.94456933078985</v>
      </c>
      <c r="M18" s="20">
        <v>241.51861724104907</v>
      </c>
      <c r="N18" s="20">
        <v>317.47536375814775</v>
      </c>
      <c r="O18" s="20">
        <v>469.38885679234539</v>
      </c>
    </row>
    <row r="19" spans="4:15" x14ac:dyDescent="0.3">
      <c r="D19" s="12" t="s">
        <v>129</v>
      </c>
      <c r="E19" s="35">
        <f>'CASH FLOWS STATEMENTS'!D41</f>
        <v>2181</v>
      </c>
      <c r="I19" s="62">
        <v>7.0000000000000007E-2</v>
      </c>
      <c r="J19" s="20">
        <v>113.15930441760138</v>
      </c>
      <c r="K19" s="20">
        <v>125.58324251796125</v>
      </c>
      <c r="L19" s="20">
        <v>141.55687721842398</v>
      </c>
      <c r="M19" s="20">
        <v>162.8550568190409</v>
      </c>
      <c r="N19" s="20">
        <v>192.67250825990453</v>
      </c>
      <c r="O19" s="20">
        <v>237.39868542120013</v>
      </c>
    </row>
    <row r="20" spans="4:15" x14ac:dyDescent="0.3">
      <c r="D20" s="12" t="s">
        <v>130</v>
      </c>
      <c r="E20" s="35">
        <f>Wacc!C7</f>
        <v>3600</v>
      </c>
      <c r="I20" s="61">
        <v>7.4999999999999997E-2</v>
      </c>
      <c r="J20" s="20">
        <v>102.44802911453846</v>
      </c>
      <c r="K20" s="20">
        <v>112.29493739783246</v>
      </c>
      <c r="L20" s="20">
        <v>124.60357275194995</v>
      </c>
      <c r="M20" s="20">
        <v>140.42896106438675</v>
      </c>
      <c r="N20" s="20">
        <v>161.52947881430242</v>
      </c>
      <c r="O20" s="20">
        <v>191.07020366418445</v>
      </c>
    </row>
    <row r="21" spans="4:15" x14ac:dyDescent="0.3">
      <c r="D21" s="12" t="s">
        <v>131</v>
      </c>
      <c r="E21" s="35">
        <f>66</f>
        <v>66</v>
      </c>
    </row>
    <row r="22" spans="4:15" x14ac:dyDescent="0.3">
      <c r="D22" s="42" t="s">
        <v>132</v>
      </c>
      <c r="E22" s="43">
        <f>E18+E19-E20-E21</f>
        <v>1335852.646179307</v>
      </c>
    </row>
    <row r="23" spans="4:15" x14ac:dyDescent="0.3">
      <c r="D23" s="33" t="s">
        <v>133</v>
      </c>
      <c r="E23" s="44">
        <v>8000</v>
      </c>
    </row>
    <row r="24" spans="4:15" x14ac:dyDescent="0.3">
      <c r="D24" s="13" t="s">
        <v>134</v>
      </c>
      <c r="E24" s="45">
        <f>E22/E23</f>
        <v>166.98158077241337</v>
      </c>
    </row>
  </sheetData>
  <mergeCells count="1">
    <mergeCell ref="D12:E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STATEMENTS</vt:lpstr>
      <vt:lpstr>BALANCE SHEETS</vt:lpstr>
      <vt:lpstr>CASH FLOWS STATEMENTS</vt:lpstr>
      <vt:lpstr>STOCKHOLDERS' EQUITY STATEMENTS</vt:lpstr>
      <vt:lpstr>Free Cash Flows</vt:lpstr>
      <vt:lpstr>Net working Capital</vt:lpstr>
      <vt:lpstr>Wacc</vt:lpstr>
      <vt:lpstr>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 SRIKAR</cp:lastModifiedBy>
  <dcterms:created xsi:type="dcterms:W3CDTF">2023-10-24T20:07:08Z</dcterms:created>
  <dcterms:modified xsi:type="dcterms:W3CDTF">2024-05-31T16:31:25Z</dcterms:modified>
</cp:coreProperties>
</file>