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 Srikar\Desktop\models\"/>
    </mc:Choice>
  </mc:AlternateContent>
  <xr:revisionPtr revIDLastSave="0" documentId="13_ncr:1_{4A2DEB32-C97E-4FB4-8502-090FFCB1BDC2}" xr6:coauthVersionLast="47" xr6:coauthVersionMax="47" xr10:uidLastSave="{00000000-0000-0000-0000-000000000000}"/>
  <bookViews>
    <workbookView xWindow="-108" yWindow="-108" windowWidth="23256" windowHeight="12456" xr2:uid="{259F65E6-B362-4F93-BAB9-48280E51F29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N21" i="2"/>
  <c r="O21" i="2" s="1"/>
  <c r="P21" i="2" s="1"/>
  <c r="Q21" i="2" s="1"/>
  <c r="R21" i="2" s="1"/>
  <c r="N22" i="2"/>
  <c r="Q40" i="2"/>
  <c r="M21" i="2"/>
  <c r="M24" i="2"/>
  <c r="R44" i="2"/>
  <c r="Q45" i="2"/>
  <c r="Q39" i="2"/>
  <c r="M28" i="2"/>
  <c r="N28" i="2" s="1"/>
  <c r="O28" i="2" s="1"/>
  <c r="G45" i="2"/>
  <c r="L43" i="2"/>
  <c r="K43" i="2"/>
  <c r="J43" i="2"/>
  <c r="I43" i="2"/>
  <c r="F43" i="2"/>
  <c r="L42" i="2"/>
  <c r="L45" i="2" s="1"/>
  <c r="K42" i="2"/>
  <c r="J42" i="2"/>
  <c r="I42" i="2"/>
  <c r="H42" i="2"/>
  <c r="F42" i="2"/>
  <c r="J41" i="2"/>
  <c r="J45" i="2" s="1"/>
  <c r="I41" i="2"/>
  <c r="H41" i="2"/>
  <c r="F41" i="2"/>
  <c r="K39" i="2"/>
  <c r="H39" i="2"/>
  <c r="L33" i="2"/>
  <c r="K33" i="2"/>
  <c r="J33" i="2"/>
  <c r="I33" i="2"/>
  <c r="H33" i="2"/>
  <c r="G33" i="2"/>
  <c r="F33" i="2"/>
  <c r="L29" i="2"/>
  <c r="L31" i="2" s="1"/>
  <c r="K29" i="2"/>
  <c r="J29" i="2"/>
  <c r="I29" i="2"/>
  <c r="H29" i="2"/>
  <c r="G29" i="2"/>
  <c r="F29" i="2"/>
  <c r="L28" i="2"/>
  <c r="K28" i="2"/>
  <c r="J28" i="2"/>
  <c r="I28" i="2"/>
  <c r="H28" i="2"/>
  <c r="G28" i="2"/>
  <c r="F28" i="2"/>
  <c r="L27" i="2"/>
  <c r="M27" i="2" s="1"/>
  <c r="N27" i="2" s="1"/>
  <c r="O27" i="2" s="1"/>
  <c r="P27" i="2" s="1"/>
  <c r="Q27" i="2" s="1"/>
  <c r="R27" i="2" s="1"/>
  <c r="K27" i="2"/>
  <c r="J27" i="2"/>
  <c r="I27" i="2"/>
  <c r="H27" i="2"/>
  <c r="G27" i="2"/>
  <c r="F27" i="2"/>
  <c r="L26" i="2"/>
  <c r="M26" i="2" s="1"/>
  <c r="N26" i="2" s="1"/>
  <c r="O26" i="2" s="1"/>
  <c r="P26" i="2" s="1"/>
  <c r="Q26" i="2" s="1"/>
  <c r="R26" i="2" s="1"/>
  <c r="K26" i="2"/>
  <c r="J26" i="2"/>
  <c r="I26" i="2"/>
  <c r="H26" i="2"/>
  <c r="G26" i="2"/>
  <c r="F26" i="2"/>
  <c r="K21" i="2"/>
  <c r="J21" i="2"/>
  <c r="I21" i="2"/>
  <c r="H21" i="2"/>
  <c r="G21" i="2"/>
  <c r="G22" i="2" s="1"/>
  <c r="F21" i="2"/>
  <c r="F31" i="2" s="1"/>
  <c r="F18" i="2"/>
  <c r="L17" i="2"/>
  <c r="K17" i="2"/>
  <c r="J17" i="2"/>
  <c r="I17" i="2"/>
  <c r="H17" i="2"/>
  <c r="G17" i="2"/>
  <c r="F17" i="2"/>
  <c r="L15" i="2"/>
  <c r="K15" i="2"/>
  <c r="J15" i="2"/>
  <c r="I15" i="2"/>
  <c r="H15" i="2"/>
  <c r="G15" i="2"/>
  <c r="F15" i="2"/>
  <c r="L14" i="2"/>
  <c r="K14" i="2"/>
  <c r="J14" i="2"/>
  <c r="I14" i="2"/>
  <c r="H14" i="2"/>
  <c r="G14" i="2"/>
  <c r="F14" i="2"/>
  <c r="L13" i="2"/>
  <c r="K13" i="2"/>
  <c r="J13" i="2"/>
  <c r="I13" i="2"/>
  <c r="H13" i="2"/>
  <c r="G13" i="2"/>
  <c r="F13" i="2"/>
  <c r="L12" i="2"/>
  <c r="K12" i="2"/>
  <c r="J12" i="2"/>
  <c r="I12" i="2"/>
  <c r="H12" i="2"/>
  <c r="G12" i="2"/>
  <c r="F12" i="2"/>
  <c r="L10" i="2"/>
  <c r="L46" i="2" s="1"/>
  <c r="K10" i="2"/>
  <c r="K46" i="2" s="1"/>
  <c r="J10" i="2"/>
  <c r="I10" i="2"/>
  <c r="H10" i="2"/>
  <c r="G10" i="2"/>
  <c r="G46" i="2" s="1"/>
  <c r="F10" i="2"/>
  <c r="L9" i="2"/>
  <c r="K9" i="2"/>
  <c r="J9" i="2"/>
  <c r="I9" i="2"/>
  <c r="H9" i="2"/>
  <c r="G9" i="2"/>
  <c r="F9" i="2"/>
  <c r="L8" i="2"/>
  <c r="K8" i="2"/>
  <c r="J8" i="2"/>
  <c r="I8" i="2"/>
  <c r="H8" i="2"/>
  <c r="G8" i="2"/>
  <c r="F8" i="2"/>
  <c r="L7" i="2"/>
  <c r="K7" i="2"/>
  <c r="J7" i="2"/>
  <c r="G7" i="2"/>
  <c r="F7" i="2"/>
  <c r="L6" i="2"/>
  <c r="K6" i="2"/>
  <c r="J6" i="2"/>
  <c r="H6" i="2"/>
  <c r="G6" i="2"/>
  <c r="F6" i="2"/>
  <c r="L5" i="2"/>
  <c r="K5" i="2"/>
  <c r="J5" i="2"/>
  <c r="I5" i="2"/>
  <c r="I11" i="2" s="1"/>
  <c r="H5" i="2"/>
  <c r="F5" i="2"/>
  <c r="V78" i="2"/>
  <c r="V77" i="2"/>
  <c r="V80" i="2" s="1"/>
  <c r="U74" i="2"/>
  <c r="P78" i="2"/>
  <c r="P77" i="2"/>
  <c r="P76" i="2"/>
  <c r="R77" i="2"/>
  <c r="R76" i="2"/>
  <c r="R74" i="2"/>
  <c r="S77" i="2"/>
  <c r="S78" i="2"/>
  <c r="S76" i="2"/>
  <c r="T76" i="2"/>
  <c r="T81" i="2" s="1"/>
  <c r="T77" i="2"/>
  <c r="T78" i="2"/>
  <c r="U77" i="2"/>
  <c r="U78" i="2"/>
  <c r="U80" i="2" s="1"/>
  <c r="U81" i="2"/>
  <c r="V81" i="2"/>
  <c r="K7" i="1"/>
  <c r="G7" i="1"/>
  <c r="G6" i="1"/>
  <c r="O22" i="2" l="1"/>
  <c r="P28" i="2"/>
  <c r="G16" i="2"/>
  <c r="I45" i="2"/>
  <c r="H16" i="2"/>
  <c r="U73" i="2"/>
  <c r="G32" i="2"/>
  <c r="H22" i="2"/>
  <c r="I31" i="2"/>
  <c r="F45" i="2"/>
  <c r="F46" i="2"/>
  <c r="Q73" i="2"/>
  <c r="G11" i="2"/>
  <c r="G19" i="2" s="1"/>
  <c r="F16" i="2"/>
  <c r="F11" i="2"/>
  <c r="H11" i="2"/>
  <c r="K11" i="2"/>
  <c r="I16" i="2"/>
  <c r="I19" i="2" s="1"/>
  <c r="J30" i="2"/>
  <c r="J23" i="2" s="1"/>
  <c r="L30" i="2"/>
  <c r="G31" i="2"/>
  <c r="I22" i="2"/>
  <c r="J11" i="2"/>
  <c r="G30" i="2"/>
  <c r="G23" i="2" s="1"/>
  <c r="J16" i="2"/>
  <c r="K30" i="2"/>
  <c r="K23" i="2" s="1"/>
  <c r="J22" i="2"/>
  <c r="F30" i="2"/>
  <c r="F23" i="2" s="1"/>
  <c r="K16" i="2"/>
  <c r="G34" i="2"/>
  <c r="G38" i="2" s="1"/>
  <c r="K45" i="2"/>
  <c r="K22" i="2"/>
  <c r="H32" i="2"/>
  <c r="H34" i="2" s="1"/>
  <c r="H38" i="2" s="1"/>
  <c r="T80" i="2"/>
  <c r="L11" i="2"/>
  <c r="L16" i="2"/>
  <c r="H45" i="2"/>
  <c r="L22" i="2"/>
  <c r="H31" i="2"/>
  <c r="H30" i="2"/>
  <c r="H23" i="2" s="1"/>
  <c r="I30" i="2"/>
  <c r="I23" i="2" s="1"/>
  <c r="J31" i="2"/>
  <c r="K32" i="2"/>
  <c r="K34" i="2" s="1"/>
  <c r="K38" i="2" s="1"/>
  <c r="H46" i="2"/>
  <c r="J32" i="2"/>
  <c r="J34" i="2" s="1"/>
  <c r="J38" i="2" s="1"/>
  <c r="K31" i="2"/>
  <c r="L32" i="2"/>
  <c r="L34" i="2" s="1"/>
  <c r="I46" i="2"/>
  <c r="I32" i="2"/>
  <c r="I34" i="2" s="1"/>
  <c r="I38" i="2" s="1"/>
  <c r="J46" i="2"/>
  <c r="F32" i="2"/>
  <c r="F34" i="2" s="1"/>
  <c r="F38" i="2" s="1"/>
  <c r="P73" i="2"/>
  <c r="P81" i="2"/>
  <c r="Q81" i="2"/>
  <c r="P80" i="2"/>
  <c r="Q80" i="2"/>
  <c r="R73" i="2"/>
  <c r="R80" i="2"/>
  <c r="S80" i="2"/>
  <c r="S73" i="2"/>
  <c r="T73" i="2"/>
  <c r="G9" i="1"/>
  <c r="P22" i="2" l="1"/>
  <c r="L23" i="2"/>
  <c r="M25" i="2"/>
  <c r="M23" i="2" s="1"/>
  <c r="N23" i="2" s="1"/>
  <c r="O23" i="2" s="1"/>
  <c r="P23" i="2" s="1"/>
  <c r="Q23" i="2" s="1"/>
  <c r="R23" i="2" s="1"/>
  <c r="M22" i="2"/>
  <c r="Q28" i="2"/>
  <c r="R28" i="2" s="1"/>
  <c r="K19" i="2"/>
  <c r="H19" i="2"/>
  <c r="F19" i="2"/>
  <c r="L19" i="2"/>
  <c r="J19" i="2"/>
  <c r="Q22" i="2" l="1"/>
  <c r="R22" i="2"/>
  <c r="M30" i="2"/>
  <c r="N30" i="2" l="1"/>
  <c r="M29" i="2"/>
  <c r="M31" i="2" l="1"/>
  <c r="M32" i="2"/>
  <c r="N29" i="2"/>
  <c r="O30" i="2"/>
  <c r="O29" i="2" l="1"/>
  <c r="P30" i="2"/>
  <c r="N31" i="2"/>
  <c r="N32" i="2"/>
  <c r="P29" i="2" l="1"/>
  <c r="Q30" i="2"/>
  <c r="O31" i="2"/>
  <c r="O32" i="2"/>
  <c r="R30" i="2" l="1"/>
  <c r="R29" i="2" s="1"/>
  <c r="Q29" i="2"/>
  <c r="P31" i="2"/>
  <c r="P32" i="2"/>
  <c r="Q32" i="2" l="1"/>
  <c r="Q31" i="2"/>
  <c r="R32" i="2"/>
  <c r="R31" i="2"/>
  <c r="S32" i="2" l="1"/>
  <c r="T32" i="2" l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Q41" i="2" s="1"/>
  <c r="Q43" i="2" s="1"/>
  <c r="R43" i="2" l="1"/>
  <c r="S45" i="2" s="1"/>
  <c r="S81" i="2" s="1"/>
  <c r="R45" i="2"/>
  <c r="R81" i="2" s="1"/>
  <c r="S38" i="2"/>
  <c r="S39" i="2" s="1"/>
</calcChain>
</file>

<file path=xl/sharedStrings.xml><?xml version="1.0" encoding="utf-8"?>
<sst xmlns="http://schemas.openxmlformats.org/spreadsheetml/2006/main" count="63" uniqueCount="62">
  <si>
    <t>Elcid investmensts</t>
  </si>
  <si>
    <t>shares</t>
  </si>
  <si>
    <t>cash</t>
  </si>
  <si>
    <t>debt</t>
  </si>
  <si>
    <t>market cap</t>
  </si>
  <si>
    <t>(inr )</t>
  </si>
  <si>
    <t>EV</t>
  </si>
  <si>
    <t>lakhs</t>
  </si>
  <si>
    <t>Main</t>
  </si>
  <si>
    <t>other cash</t>
  </si>
  <si>
    <t>(in lakhs inr)</t>
  </si>
  <si>
    <t>loans</t>
  </si>
  <si>
    <t>investments</t>
  </si>
  <si>
    <t>properties</t>
  </si>
  <si>
    <t>PP&amp;E</t>
  </si>
  <si>
    <t>cash &amp; cash equivalents</t>
  </si>
  <si>
    <t>Account payables</t>
  </si>
  <si>
    <t>financial payables</t>
  </si>
  <si>
    <t>current Tax</t>
  </si>
  <si>
    <t>Deffered Tax</t>
  </si>
  <si>
    <t>Equity</t>
  </si>
  <si>
    <t>ASSETS</t>
  </si>
  <si>
    <t>Liabilities</t>
  </si>
  <si>
    <t>Balance</t>
  </si>
  <si>
    <t>Revenue</t>
  </si>
  <si>
    <t>employee benefits</t>
  </si>
  <si>
    <t>D&amp;A</t>
  </si>
  <si>
    <t>others expenses</t>
  </si>
  <si>
    <t>Taxes</t>
  </si>
  <si>
    <t>Eps(basic)</t>
  </si>
  <si>
    <t>Eps(Diluted)</t>
  </si>
  <si>
    <t>EBIT</t>
  </si>
  <si>
    <t>EBITDA</t>
  </si>
  <si>
    <t>PROFit/Loss</t>
  </si>
  <si>
    <t>model NI</t>
  </si>
  <si>
    <t>Reported NI</t>
  </si>
  <si>
    <t>Investmenst Income</t>
  </si>
  <si>
    <t>Total income</t>
  </si>
  <si>
    <t>CFFO</t>
  </si>
  <si>
    <t>CFFI</t>
  </si>
  <si>
    <t>CFFF</t>
  </si>
  <si>
    <t>increase / decrease of cash (EOY)</t>
  </si>
  <si>
    <t>FCF</t>
  </si>
  <si>
    <t>Revenue Y/Y</t>
  </si>
  <si>
    <t>2019E</t>
  </si>
  <si>
    <t>2020E</t>
  </si>
  <si>
    <t>2021E</t>
  </si>
  <si>
    <t>2022E</t>
  </si>
  <si>
    <t>2023E</t>
  </si>
  <si>
    <t>2024E</t>
  </si>
  <si>
    <t>2025A</t>
  </si>
  <si>
    <t>2026A</t>
  </si>
  <si>
    <t>2027A</t>
  </si>
  <si>
    <t>2028A</t>
  </si>
  <si>
    <t>2029A</t>
  </si>
  <si>
    <t>2030A</t>
  </si>
  <si>
    <t>NET CASH</t>
  </si>
  <si>
    <t>Maturity</t>
  </si>
  <si>
    <t>ROIC</t>
  </si>
  <si>
    <t>Discount rate</t>
  </si>
  <si>
    <t>NET Present Value</t>
  </si>
  <si>
    <t>Price of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</si>
</sst>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14" fontId="2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  <xf numFmtId="8" fontId="2" fillId="0" borderId="0" xfId="0" applyNumberFormat="1" applyFont="1"/>
    <xf numFmtId="2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738433</xdr:colOff>
      <xdr:row>2</xdr:row>
      <xdr:rowOff>102124</xdr:rowOff>
    </xdr:from>
    <xdr:to>
      <xdr:col>12</xdr:col>
      <xdr:colOff>23567</xdr:colOff>
      <xdr:row>47</xdr:row>
      <xdr:rowOff>141402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3453A6-B7DF-8A80-85B2-FED83E5CE46C}"/>
            </a:ext>
          </a:extLst>
        </xdr:cNvPr>
        <xdr:cNvCxnSpPr/>
      </xdr:nvCxnSpPr>
      <xdr:spPr>
        <a:xfrm>
          <a:off x="8531258" y="463485"/>
          <a:ext cx="31422" cy="78242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2B327-C605-4B47-B27F-5C695766B312}">
  <dimension ref="F2:M9"/>
  <sheetViews>
    <sheetView tabSelected="1" workbookViewId="0">
      <selection activeCell="G5" sqref="G5"/>
    </sheetView>
  </sheetViews>
  <sheetFormatPr defaultRowHeight="14.4" x14ac:dyDescent="0.3"/>
  <cols>
    <col min="6" max="6" width="10.109375" bestFit="1" customWidth="1"/>
    <col min="11" max="11" width="12" bestFit="1" customWidth="1"/>
    <col min="13" max="13" width="10.109375" bestFit="1" customWidth="1"/>
    <col min="18" max="18" width="12" bestFit="1" customWidth="1"/>
  </cols>
  <sheetData>
    <row r="2" spans="6:13" ht="15.6" x14ac:dyDescent="0.3">
      <c r="F2" s="1" t="s">
        <v>0</v>
      </c>
      <c r="M2" s="1"/>
    </row>
    <row r="3" spans="6:13" x14ac:dyDescent="0.3">
      <c r="G3" t="s">
        <v>5</v>
      </c>
      <c r="H3" t="s">
        <v>7</v>
      </c>
    </row>
    <row r="4" spans="6:13" x14ac:dyDescent="0.3">
      <c r="G4">
        <f>200000</f>
        <v>200000</v>
      </c>
    </row>
    <row r="5" spans="6:13" x14ac:dyDescent="0.3">
      <c r="F5" t="s">
        <v>1</v>
      </c>
      <c r="G5">
        <v>200000</v>
      </c>
    </row>
    <row r="6" spans="6:13" x14ac:dyDescent="0.3">
      <c r="F6" t="s">
        <v>2</v>
      </c>
      <c r="G6">
        <f>121.29+2.15</f>
        <v>123.44000000000001</v>
      </c>
    </row>
    <row r="7" spans="6:13" x14ac:dyDescent="0.3">
      <c r="F7" t="s">
        <v>3</v>
      </c>
      <c r="G7">
        <f>23.52</f>
        <v>23.52</v>
      </c>
      <c r="K7">
        <f>4725*10000000</f>
        <v>47250000000</v>
      </c>
    </row>
    <row r="8" spans="6:13" x14ac:dyDescent="0.3">
      <c r="F8" t="s">
        <v>4</v>
      </c>
      <c r="G8">
        <v>472500</v>
      </c>
    </row>
    <row r="9" spans="6:13" x14ac:dyDescent="0.3">
      <c r="F9" t="s">
        <v>6</v>
      </c>
      <c r="G9">
        <f>G8+G7-G6</f>
        <v>472400.08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8391-52EA-4BD5-A7A8-8F7A31FF3CC5}">
  <dimension ref="A1:DH81"/>
  <sheetViews>
    <sheetView zoomScale="130" zoomScaleNormal="130" workbookViewId="0">
      <pane xSplit="3" ySplit="3" topLeftCell="H29" activePane="bottomRight" state="frozen"/>
      <selection pane="topRight" activeCell="D1" sqref="D1"/>
      <selection pane="bottomLeft" activeCell="A4" sqref="A4"/>
      <selection pane="bottomRight" activeCell="A30" sqref="A30"/>
    </sheetView>
  </sheetViews>
  <sheetFormatPr defaultRowHeight="15.6" x14ac:dyDescent="0.3"/>
  <cols>
    <col min="1" max="2" width="8.88671875" style="2"/>
    <col min="3" max="3" width="12.5546875" style="2" customWidth="1"/>
    <col min="4" max="5" width="8.88671875" style="2"/>
    <col min="6" max="12" width="11.21875" style="2" bestFit="1" customWidth="1"/>
    <col min="13" max="15" width="9" style="2" bestFit="1" customWidth="1"/>
    <col min="16" max="16" width="16.109375" style="2" bestFit="1" customWidth="1"/>
    <col min="17" max="17" width="20.33203125" style="2" bestFit="1" customWidth="1"/>
    <col min="18" max="18" width="13.5546875" style="2" bestFit="1" customWidth="1"/>
    <col min="19" max="19" width="11.109375" style="2" bestFit="1" customWidth="1"/>
    <col min="20" max="112" width="9" style="2" bestFit="1" customWidth="1"/>
    <col min="113" max="16384" width="8.88671875" style="2"/>
  </cols>
  <sheetData>
    <row r="1" spans="1:28" x14ac:dyDescent="0.3">
      <c r="A1" s="3" t="s">
        <v>8</v>
      </c>
    </row>
    <row r="2" spans="1:28" x14ac:dyDescent="0.3">
      <c r="A2" s="2" t="s">
        <v>10</v>
      </c>
      <c r="F2" s="4">
        <v>43190</v>
      </c>
      <c r="G2" s="4">
        <v>43555</v>
      </c>
      <c r="H2" s="4">
        <v>43921</v>
      </c>
      <c r="I2" s="4">
        <v>44286</v>
      </c>
      <c r="J2" s="4">
        <v>44651</v>
      </c>
      <c r="K2" s="4">
        <v>45016</v>
      </c>
      <c r="L2" s="4">
        <v>45382</v>
      </c>
    </row>
    <row r="3" spans="1:28" x14ac:dyDescent="0.3">
      <c r="F3" s="2">
        <v>2018</v>
      </c>
      <c r="G3" s="2" t="s">
        <v>44</v>
      </c>
      <c r="H3" s="2" t="s">
        <v>45</v>
      </c>
      <c r="I3" s="2" t="s">
        <v>46</v>
      </c>
      <c r="J3" s="2" t="s">
        <v>47</v>
      </c>
      <c r="K3" s="2" t="s">
        <v>48</v>
      </c>
      <c r="L3" s="2" t="s">
        <v>49</v>
      </c>
      <c r="M3" s="2" t="s">
        <v>50</v>
      </c>
      <c r="N3" s="2" t="s">
        <v>51</v>
      </c>
      <c r="O3" s="2" t="s">
        <v>52</v>
      </c>
      <c r="P3" s="2" t="s">
        <v>53</v>
      </c>
      <c r="Q3" s="2" t="s">
        <v>54</v>
      </c>
      <c r="R3" s="2" t="s">
        <v>55</v>
      </c>
    </row>
    <row r="5" spans="1:28" x14ac:dyDescent="0.3">
      <c r="B5" s="2" t="s">
        <v>15</v>
      </c>
      <c r="F5" s="2">
        <f>264.52</f>
        <v>264.52</v>
      </c>
      <c r="G5" s="2">
        <v>58.47</v>
      </c>
      <c r="H5" s="2">
        <f>666.45+3.54</f>
        <v>669.99</v>
      </c>
      <c r="I5" s="2">
        <f>881.6+3.75</f>
        <v>885.35</v>
      </c>
      <c r="J5" s="2">
        <f>133.2+2.85</f>
        <v>136.04999999999998</v>
      </c>
      <c r="K5" s="2">
        <f>1110.21+2.02</f>
        <v>1112.23</v>
      </c>
      <c r="L5" s="2">
        <f>121.29+2.15</f>
        <v>123.44000000000001</v>
      </c>
    </row>
    <row r="6" spans="1:28" x14ac:dyDescent="0.3">
      <c r="B6" s="2" t="s">
        <v>9</v>
      </c>
      <c r="F6" s="2">
        <f>17.86</f>
        <v>17.86</v>
      </c>
      <c r="G6" s="2">
        <f>25.24</f>
        <v>25.24</v>
      </c>
      <c r="H6" s="2">
        <f>5.04</f>
        <v>5.04</v>
      </c>
      <c r="I6" s="2">
        <v>7.94</v>
      </c>
      <c r="J6" s="2">
        <f>8.46</f>
        <v>8.4600000000000009</v>
      </c>
      <c r="K6" s="2">
        <f>10.64</f>
        <v>10.64</v>
      </c>
      <c r="L6" s="2">
        <f>33.38</f>
        <v>33.380000000000003</v>
      </c>
    </row>
    <row r="7" spans="1:28" x14ac:dyDescent="0.3">
      <c r="B7" s="2" t="s">
        <v>11</v>
      </c>
      <c r="F7" s="2">
        <f>10.93</f>
        <v>10.93</v>
      </c>
      <c r="G7" s="2">
        <f>10.94</f>
        <v>10.94</v>
      </c>
      <c r="H7" s="2">
        <v>0</v>
      </c>
      <c r="I7" s="2">
        <v>0</v>
      </c>
      <c r="J7" s="2">
        <f>0</f>
        <v>0</v>
      </c>
      <c r="K7" s="2">
        <f>0</f>
        <v>0</v>
      </c>
      <c r="L7" s="2">
        <f>0</f>
        <v>0</v>
      </c>
    </row>
    <row r="8" spans="1:28" x14ac:dyDescent="0.3">
      <c r="B8" s="2" t="s">
        <v>12</v>
      </c>
      <c r="F8" s="2">
        <f>25367.89</f>
        <v>25367.89</v>
      </c>
      <c r="G8" s="2">
        <f>29464.93</f>
        <v>29464.93</v>
      </c>
      <c r="H8" s="2">
        <f>721083.47</f>
        <v>721083.47</v>
      </c>
      <c r="I8" s="2">
        <f>1083053.12</f>
        <v>1083053.1200000001</v>
      </c>
      <c r="J8" s="2">
        <f>1315926.15</f>
        <v>1315926.1499999999</v>
      </c>
      <c r="K8" s="2">
        <f>1191643.48</f>
        <v>1191643.48</v>
      </c>
      <c r="L8" s="2">
        <f>1245179.35</f>
        <v>1245179.3500000001</v>
      </c>
    </row>
    <row r="9" spans="1:28" x14ac:dyDescent="0.3">
      <c r="B9" s="2" t="s">
        <v>13</v>
      </c>
      <c r="F9" s="2">
        <f>107.03</f>
        <v>107.03</v>
      </c>
      <c r="G9" s="2">
        <f>88.75</f>
        <v>88.75</v>
      </c>
      <c r="H9" s="2">
        <f>163.67</f>
        <v>163.66999999999999</v>
      </c>
      <c r="I9" s="2">
        <f>163.27</f>
        <v>163.27000000000001</v>
      </c>
      <c r="J9" s="2">
        <f>162.88</f>
        <v>162.88</v>
      </c>
      <c r="K9" s="2">
        <f>162.49</f>
        <v>162.49</v>
      </c>
      <c r="L9" s="2">
        <f>165.2</f>
        <v>165.2</v>
      </c>
    </row>
    <row r="10" spans="1:28" x14ac:dyDescent="0.3">
      <c r="B10" s="2" t="s">
        <v>14</v>
      </c>
      <c r="F10" s="2">
        <f>1.25+97.13</f>
        <v>98.38</v>
      </c>
      <c r="G10" s="2">
        <f>0</f>
        <v>0</v>
      </c>
      <c r="H10" s="2">
        <f>70.75</f>
        <v>70.75</v>
      </c>
      <c r="I10" s="2">
        <f>1587.85</f>
        <v>1587.85</v>
      </c>
      <c r="J10" s="2">
        <f>1688.53</f>
        <v>1688.53</v>
      </c>
      <c r="K10" s="2">
        <f>1616.91+95</f>
        <v>1711.91</v>
      </c>
      <c r="L10" s="2">
        <f>2647.63+85</f>
        <v>2732.63</v>
      </c>
    </row>
    <row r="11" spans="1:28" x14ac:dyDescent="0.3">
      <c r="A11" s="1" t="s">
        <v>21</v>
      </c>
      <c r="B11" s="1"/>
      <c r="C11" s="1"/>
      <c r="D11" s="1"/>
      <c r="E11" s="1"/>
      <c r="F11" s="1">
        <f t="shared" ref="F11" si="0">SUM(F5:F10)</f>
        <v>25866.61</v>
      </c>
      <c r="G11" s="1">
        <f t="shared" ref="G11" si="1">SUM(G5:G10)</f>
        <v>29648.33</v>
      </c>
      <c r="H11" s="1">
        <f t="shared" ref="H11" si="2">SUM(H5:H10)</f>
        <v>721992.92</v>
      </c>
      <c r="I11" s="1">
        <f t="shared" ref="I11" si="3">SUM(I5:I10)</f>
        <v>1085697.5300000003</v>
      </c>
      <c r="J11" s="1">
        <f t="shared" ref="J11" si="4">SUM(J5:J10)</f>
        <v>1317922.0699999998</v>
      </c>
      <c r="K11" s="1">
        <f t="shared" ref="K11" si="5">SUM(K5:K10)</f>
        <v>1194640.75</v>
      </c>
      <c r="L11" s="1">
        <f t="shared" ref="L11" si="6">SUM(L5:L10)</f>
        <v>1248234</v>
      </c>
      <c r="M11" s="1"/>
      <c r="R11" s="1"/>
      <c r="S11" s="1"/>
      <c r="T11" s="1"/>
      <c r="AB11" s="1"/>
    </row>
    <row r="12" spans="1:28" x14ac:dyDescent="0.3">
      <c r="B12" s="2" t="s">
        <v>16</v>
      </c>
      <c r="F12" s="2">
        <f>10.68</f>
        <v>10.68</v>
      </c>
      <c r="G12" s="2">
        <f>6.03+2.67</f>
        <v>8.6999999999999993</v>
      </c>
      <c r="H12" s="2">
        <f>6.78</f>
        <v>6.78</v>
      </c>
      <c r="I12" s="2">
        <f>9.47</f>
        <v>9.4700000000000006</v>
      </c>
      <c r="J12" s="2">
        <f>8.38</f>
        <v>8.3800000000000008</v>
      </c>
      <c r="K12" s="2">
        <f>25.05</f>
        <v>25.05</v>
      </c>
      <c r="L12" s="2">
        <f>21.47</f>
        <v>21.47</v>
      </c>
    </row>
    <row r="13" spans="1:28" x14ac:dyDescent="0.3">
      <c r="B13" s="2" t="s">
        <v>17</v>
      </c>
      <c r="F13" s="2">
        <f>2.95+50.2</f>
        <v>53.150000000000006</v>
      </c>
      <c r="G13" s="2">
        <f>2.35</f>
        <v>2.35</v>
      </c>
      <c r="H13" s="2">
        <f>2.35</f>
        <v>2.35</v>
      </c>
      <c r="I13" s="2">
        <f>2.61</f>
        <v>2.61</v>
      </c>
      <c r="J13" s="2">
        <f>2.28</f>
        <v>2.2799999999999998</v>
      </c>
      <c r="K13" s="2">
        <f>1.71</f>
        <v>1.71</v>
      </c>
      <c r="L13" s="2">
        <f>2.05-0.45</f>
        <v>1.5999999999999999</v>
      </c>
    </row>
    <row r="14" spans="1:28" x14ac:dyDescent="0.3">
      <c r="B14" s="2" t="s">
        <v>18</v>
      </c>
      <c r="F14" s="2">
        <f>0</f>
        <v>0</v>
      </c>
      <c r="G14" s="2">
        <f>0</f>
        <v>0</v>
      </c>
      <c r="H14" s="2">
        <f>4.66</f>
        <v>4.66</v>
      </c>
      <c r="I14" s="2">
        <f>400.84</f>
        <v>400.84</v>
      </c>
      <c r="J14" s="2">
        <f>1481.2</f>
        <v>1481.2</v>
      </c>
      <c r="K14" s="2">
        <f>955.78</f>
        <v>955.78</v>
      </c>
      <c r="L14" s="2">
        <f>1148.78</f>
        <v>1148.78</v>
      </c>
    </row>
    <row r="15" spans="1:28" x14ac:dyDescent="0.3">
      <c r="B15" s="2" t="s">
        <v>19</v>
      </c>
      <c r="F15" s="2">
        <f>0</f>
        <v>0</v>
      </c>
      <c r="G15" s="2">
        <f>0</f>
        <v>0</v>
      </c>
      <c r="H15" s="2">
        <f>26782.88</f>
        <v>26782.880000000001</v>
      </c>
      <c r="I15" s="2">
        <f>68752.56</f>
        <v>68752.56</v>
      </c>
      <c r="J15" s="2">
        <f>83549.59+0.93</f>
        <v>83550.51999999999</v>
      </c>
      <c r="K15" s="2">
        <f>74444.93</f>
        <v>74444.929999999993</v>
      </c>
      <c r="L15" s="2">
        <f>78612.66</f>
        <v>78612.66</v>
      </c>
    </row>
    <row r="16" spans="1:28" x14ac:dyDescent="0.3">
      <c r="A16" s="1" t="s">
        <v>22</v>
      </c>
      <c r="F16" s="1">
        <f t="shared" ref="F16" si="7">SUM(F12:F15)</f>
        <v>63.830000000000005</v>
      </c>
      <c r="G16" s="1">
        <f t="shared" ref="G16" si="8">SUM(G12:G15)</f>
        <v>11.049999999999999</v>
      </c>
      <c r="H16" s="1">
        <f t="shared" ref="H16" si="9">SUM(H12:H15)</f>
        <v>26796.670000000002</v>
      </c>
      <c r="I16" s="1">
        <f t="shared" ref="I16" si="10">SUM(I12:I15)</f>
        <v>69165.48</v>
      </c>
      <c r="J16" s="1">
        <f t="shared" ref="J16" si="11">SUM(J12:J15)</f>
        <v>85042.37999999999</v>
      </c>
      <c r="K16" s="1">
        <f t="shared" ref="K16" si="12">SUM(K12:K15)</f>
        <v>75427.469999999987</v>
      </c>
      <c r="L16" s="1">
        <f t="shared" ref="L16" si="13">SUM(L12:L15)</f>
        <v>79784.510000000009</v>
      </c>
      <c r="M16" s="1"/>
      <c r="T16" s="1"/>
      <c r="AB16" s="1"/>
    </row>
    <row r="17" spans="2:112" x14ac:dyDescent="0.3">
      <c r="B17" s="1" t="s">
        <v>20</v>
      </c>
      <c r="F17" s="1">
        <f>20+25782.78</f>
        <v>25802.78</v>
      </c>
      <c r="G17" s="1">
        <f>29618.99+20</f>
        <v>29638.99</v>
      </c>
      <c r="H17" s="1">
        <f>695196.08</f>
        <v>695196.08</v>
      </c>
      <c r="I17" s="1">
        <f>1016522.04</f>
        <v>1016522.04</v>
      </c>
      <c r="J17" s="1">
        <f>1232880.64</f>
        <v>1232880.6399999999</v>
      </c>
      <c r="K17" s="1">
        <f>1119217.39</f>
        <v>1119217.3899999999</v>
      </c>
      <c r="L17" s="1">
        <f>1168450.39</f>
        <v>1168450.3899999999</v>
      </c>
      <c r="M17" s="1"/>
      <c r="T17" s="1"/>
      <c r="AB17" s="1"/>
    </row>
    <row r="18" spans="2:112" x14ac:dyDescent="0.3">
      <c r="F18" s="2">
        <f>33+0</f>
        <v>33</v>
      </c>
    </row>
    <row r="19" spans="2:112" x14ac:dyDescent="0.3">
      <c r="B19" s="1" t="s">
        <v>23</v>
      </c>
      <c r="C19" s="1"/>
      <c r="D19" s="1"/>
      <c r="E19" s="1"/>
      <c r="F19" s="1">
        <f t="shared" ref="F19:L19" si="14">F11-F16-F17</f>
        <v>0</v>
      </c>
      <c r="G19" s="1">
        <f t="shared" si="14"/>
        <v>-1.7099999999991269</v>
      </c>
      <c r="H19" s="1">
        <f t="shared" si="14"/>
        <v>0.17000000004190952</v>
      </c>
      <c r="I19" s="1">
        <f t="shared" si="14"/>
        <v>10.010000000242144</v>
      </c>
      <c r="J19" s="1">
        <f t="shared" si="14"/>
        <v>-0.94999999995343387</v>
      </c>
      <c r="K19" s="1">
        <f t="shared" si="14"/>
        <v>-4.1099999998696148</v>
      </c>
      <c r="L19" s="1">
        <f t="shared" si="14"/>
        <v>-0.89999999990686774</v>
      </c>
      <c r="R19" s="1"/>
      <c r="S19" s="1"/>
      <c r="T19" s="1"/>
    </row>
    <row r="21" spans="2:112" x14ac:dyDescent="0.3">
      <c r="B21" s="1" t="s">
        <v>24</v>
      </c>
      <c r="C21" s="1"/>
      <c r="D21" s="1"/>
      <c r="E21" s="1"/>
      <c r="F21" s="1">
        <f>4760.64</f>
        <v>4760.6400000000003</v>
      </c>
      <c r="G21" s="1">
        <f>4032.38</f>
        <v>4032.38</v>
      </c>
      <c r="H21" s="1">
        <f>7752.13</f>
        <v>7752.13</v>
      </c>
      <c r="I21" s="1">
        <f>10773.75</f>
        <v>10773.75</v>
      </c>
      <c r="J21" s="1">
        <f>7613.97+12.72+5851.09</f>
        <v>13477.78</v>
      </c>
      <c r="K21" s="1">
        <f>8340.97+149.01+2397.21</f>
        <v>10887.189999999999</v>
      </c>
      <c r="L21" s="1">
        <v>23577.35</v>
      </c>
      <c r="M21" s="1">
        <f>L21+L21*M25</f>
        <v>30184.21599556657</v>
      </c>
      <c r="N21" s="1">
        <f>M21+M21*M24</f>
        <v>45497.425787221749</v>
      </c>
      <c r="O21" s="1">
        <f>N21+N21*M24</f>
        <v>68579.410959946501</v>
      </c>
      <c r="P21" s="1">
        <f>O21+M24*O21</f>
        <v>103371.46610466337</v>
      </c>
      <c r="Q21" s="1">
        <f>P21+P21*M24</f>
        <v>155814.40340554222</v>
      </c>
      <c r="R21" s="1">
        <f>Q21+M24*Q21</f>
        <v>234862.95806275494</v>
      </c>
      <c r="S21" s="1"/>
      <c r="T21" s="1"/>
    </row>
    <row r="22" spans="2:112" x14ac:dyDescent="0.3">
      <c r="B22" s="1" t="s">
        <v>43</v>
      </c>
      <c r="G22" s="5">
        <f>$G21/$F21-1</f>
        <v>-0.15297523022114679</v>
      </c>
      <c r="H22" s="5">
        <f t="shared" ref="H22:M22" si="15">H21/G21-1</f>
        <v>0.92247010450403977</v>
      </c>
      <c r="I22" s="5">
        <f t="shared" si="15"/>
        <v>0.38977932516611569</v>
      </c>
      <c r="J22" s="5">
        <f t="shared" si="15"/>
        <v>0.25098317670263381</v>
      </c>
      <c r="K22" s="5">
        <f t="shared" si="15"/>
        <v>-0.19221192214148042</v>
      </c>
      <c r="L22" s="5">
        <f t="shared" si="15"/>
        <v>1.1656047152662903</v>
      </c>
      <c r="M22" s="5">
        <f t="shared" si="15"/>
        <v>0.28022088977627146</v>
      </c>
      <c r="N22" s="5">
        <f t="shared" ref="N22" si="16">N21/M21-1</f>
        <v>0.50732507989951992</v>
      </c>
      <c r="O22" s="5">
        <f t="shared" ref="O22" si="17">O21/N21-1</f>
        <v>0.50732507989951992</v>
      </c>
      <c r="P22" s="5">
        <f t="shared" ref="P22" si="18">P21/O21-1</f>
        <v>0.50732507989951992</v>
      </c>
      <c r="Q22" s="5">
        <f t="shared" ref="Q22" si="19">Q21/P21-1</f>
        <v>0.50732507989951992</v>
      </c>
      <c r="R22" s="5">
        <f t="shared" ref="R22" si="20">R21/Q21-1</f>
        <v>0.50732507989951992</v>
      </c>
    </row>
    <row r="23" spans="2:112" x14ac:dyDescent="0.3">
      <c r="B23" s="1" t="s">
        <v>28</v>
      </c>
      <c r="F23" s="5">
        <f t="shared" ref="F23:L23" si="21">F29/F30</f>
        <v>7.3385705261640611E-3</v>
      </c>
      <c r="G23" s="5">
        <f t="shared" si="21"/>
        <v>3.411010471125458E-3</v>
      </c>
      <c r="H23" s="5">
        <f t="shared" si="21"/>
        <v>-2.3069489516763211E-2</v>
      </c>
      <c r="I23" s="5">
        <f t="shared" si="21"/>
        <v>0.23772589082588841</v>
      </c>
      <c r="J23" s="5">
        <f t="shared" si="21"/>
        <v>0.23173405382955339</v>
      </c>
      <c r="K23" s="5">
        <f t="shared" si="21"/>
        <v>0.41325415729878157</v>
      </c>
      <c r="L23" s="5">
        <f t="shared" si="21"/>
        <v>0.23816945715086185</v>
      </c>
      <c r="M23" s="5">
        <f>M25</f>
        <v>0.2802208897762713</v>
      </c>
      <c r="N23" s="5">
        <f>M23</f>
        <v>0.2802208897762713</v>
      </c>
      <c r="O23" s="5">
        <f>N23</f>
        <v>0.2802208897762713</v>
      </c>
      <c r="P23" s="5">
        <f>O23</f>
        <v>0.2802208897762713</v>
      </c>
      <c r="Q23" s="5">
        <f>P23</f>
        <v>0.2802208897762713</v>
      </c>
      <c r="R23" s="5">
        <f>Q23</f>
        <v>0.2802208897762713</v>
      </c>
    </row>
    <row r="24" spans="2:112" x14ac:dyDescent="0.3">
      <c r="B24" s="1" t="s">
        <v>56</v>
      </c>
      <c r="F24" s="5"/>
      <c r="G24" s="5"/>
      <c r="H24" s="5"/>
      <c r="I24" s="5"/>
      <c r="J24" s="5"/>
      <c r="K24" s="5"/>
      <c r="L24" s="5"/>
      <c r="M24" s="6">
        <f>AVERAGE(H22:L22)</f>
        <v>0.50732507989951992</v>
      </c>
      <c r="N24" s="5">
        <v>0.3</v>
      </c>
    </row>
    <row r="25" spans="2:112" x14ac:dyDescent="0.3">
      <c r="G25" s="6"/>
      <c r="M25" s="6">
        <f>AVERAGE(I23:L23)</f>
        <v>0.2802208897762713</v>
      </c>
    </row>
    <row r="26" spans="2:112" x14ac:dyDescent="0.3">
      <c r="B26" s="2" t="s">
        <v>25</v>
      </c>
      <c r="F26" s="2">
        <f>24.44</f>
        <v>24.44</v>
      </c>
      <c r="G26" s="2">
        <f>24.09</f>
        <v>24.09</v>
      </c>
      <c r="H26" s="2">
        <f>29.89+480.89</f>
        <v>510.78</v>
      </c>
      <c r="I26" s="2">
        <f>29.81</f>
        <v>29.81</v>
      </c>
      <c r="J26" s="2">
        <f>30.51</f>
        <v>30.51</v>
      </c>
      <c r="K26" s="2">
        <f>37.56</f>
        <v>37.56</v>
      </c>
      <c r="L26" s="2">
        <f>38.72</f>
        <v>38.72</v>
      </c>
      <c r="M26" s="2">
        <f t="shared" ref="M26:R27" si="22">L26*1.1</f>
        <v>42.591999999999999</v>
      </c>
      <c r="N26" s="2">
        <f t="shared" si="22"/>
        <v>46.851200000000006</v>
      </c>
      <c r="O26" s="2">
        <f t="shared" si="22"/>
        <v>51.536320000000011</v>
      </c>
      <c r="P26" s="2">
        <f t="shared" si="22"/>
        <v>56.689952000000019</v>
      </c>
      <c r="Q26" s="2">
        <f t="shared" si="22"/>
        <v>62.358947200000024</v>
      </c>
      <c r="R26" s="2">
        <f t="shared" si="22"/>
        <v>68.594841920000036</v>
      </c>
    </row>
    <row r="27" spans="2:112" x14ac:dyDescent="0.3">
      <c r="B27" s="2" t="s">
        <v>26</v>
      </c>
      <c r="F27" s="2">
        <f>18.66</f>
        <v>18.66</v>
      </c>
      <c r="G27" s="2">
        <f>18.27</f>
        <v>18.27</v>
      </c>
      <c r="H27" s="2">
        <f>18.39</f>
        <v>18.39</v>
      </c>
      <c r="I27" s="2">
        <f>27.48</f>
        <v>27.48</v>
      </c>
      <c r="J27" s="2">
        <f>60.2</f>
        <v>60.2</v>
      </c>
      <c r="K27" s="2">
        <f>77.01</f>
        <v>77.010000000000005</v>
      </c>
      <c r="L27" s="2">
        <f>88.1</f>
        <v>88.1</v>
      </c>
      <c r="M27" s="2">
        <f t="shared" si="22"/>
        <v>96.91</v>
      </c>
      <c r="N27" s="2">
        <f t="shared" si="22"/>
        <v>106.601</v>
      </c>
      <c r="O27" s="2">
        <f t="shared" si="22"/>
        <v>117.26110000000001</v>
      </c>
      <c r="P27" s="2">
        <f t="shared" si="22"/>
        <v>128.98721000000003</v>
      </c>
      <c r="Q27" s="2">
        <f t="shared" si="22"/>
        <v>141.88593100000006</v>
      </c>
      <c r="R27" s="2">
        <f t="shared" si="22"/>
        <v>156.07452410000008</v>
      </c>
    </row>
    <row r="28" spans="2:112" x14ac:dyDescent="0.3">
      <c r="B28" s="2" t="s">
        <v>27</v>
      </c>
      <c r="F28" s="2">
        <f>53.22</f>
        <v>53.22</v>
      </c>
      <c r="G28" s="2">
        <f>140.2</f>
        <v>140.19999999999999</v>
      </c>
      <c r="H28" s="2">
        <f>71.57</f>
        <v>71.569999999999993</v>
      </c>
      <c r="I28" s="2">
        <f>63.95</f>
        <v>63.95</v>
      </c>
      <c r="J28" s="2">
        <f>280.45</f>
        <v>280.45</v>
      </c>
      <c r="K28" s="2">
        <f>573.17</f>
        <v>573.16999999999996</v>
      </c>
      <c r="L28" s="2">
        <f>291.8</f>
        <v>291.8</v>
      </c>
      <c r="M28" s="2">
        <f t="shared" ref="M28:R28" si="23">L28*1.5</f>
        <v>437.70000000000005</v>
      </c>
      <c r="N28" s="2">
        <f t="shared" si="23"/>
        <v>656.55000000000007</v>
      </c>
      <c r="O28" s="2">
        <f t="shared" si="23"/>
        <v>984.82500000000005</v>
      </c>
      <c r="P28" s="2">
        <f t="shared" si="23"/>
        <v>1477.2375000000002</v>
      </c>
      <c r="Q28" s="2">
        <f t="shared" si="23"/>
        <v>2215.8562500000003</v>
      </c>
      <c r="R28" s="2">
        <f t="shared" si="23"/>
        <v>3323.7843750000002</v>
      </c>
    </row>
    <row r="29" spans="2:112" x14ac:dyDescent="0.3">
      <c r="B29" s="2" t="s">
        <v>28</v>
      </c>
      <c r="F29" s="2">
        <f>33+0.53+1.09</f>
        <v>34.620000000000005</v>
      </c>
      <c r="G29" s="2">
        <f>14.45-0.1-0.74</f>
        <v>13.61</v>
      </c>
      <c r="H29" s="2">
        <f>41.5+1.99-210.12</f>
        <v>-166.63</v>
      </c>
      <c r="I29" s="2">
        <f>1100+1447.58</f>
        <v>2547.58</v>
      </c>
      <c r="J29" s="2">
        <f>2275+827.24</f>
        <v>3102.24</v>
      </c>
      <c r="K29" s="2">
        <f>3580+75+796.83</f>
        <v>4451.83</v>
      </c>
      <c r="L29" s="2">
        <f>3415+2170.2</f>
        <v>5585.2</v>
      </c>
      <c r="M29" s="2">
        <f>M30*M25</f>
        <v>8412.7518686323601</v>
      </c>
      <c r="N29" s="2">
        <f>N30*N23</f>
        <v>10770.180682727509</v>
      </c>
      <c r="O29" s="2">
        <f>O30*O23</f>
        <v>13788.21029669262</v>
      </c>
      <c r="P29" s="2">
        <f>P30*P23</f>
        <v>17651.954854454172</v>
      </c>
      <c r="Q29" s="2">
        <f>Q30*Q23</f>
        <v>22598.401350059889</v>
      </c>
      <c r="R29" s="2">
        <f>R30*R23</f>
        <v>28930.945483894964</v>
      </c>
    </row>
    <row r="30" spans="2:112" x14ac:dyDescent="0.3">
      <c r="B30" s="2" t="s">
        <v>31</v>
      </c>
      <c r="F30" s="2">
        <f t="shared" ref="F30:L30" si="24">F21-SUM(F26:F27)</f>
        <v>4717.54</v>
      </c>
      <c r="G30" s="2">
        <f t="shared" si="24"/>
        <v>3990.02</v>
      </c>
      <c r="H30" s="2">
        <f t="shared" si="24"/>
        <v>7222.96</v>
      </c>
      <c r="I30" s="2">
        <f t="shared" si="24"/>
        <v>10716.46</v>
      </c>
      <c r="J30" s="2">
        <f t="shared" si="24"/>
        <v>13387.070000000002</v>
      </c>
      <c r="K30" s="2">
        <f t="shared" si="24"/>
        <v>10772.619999999999</v>
      </c>
      <c r="L30" s="2">
        <f t="shared" si="24"/>
        <v>23450.53</v>
      </c>
      <c r="M30" s="2">
        <f>L30+L30*M25</f>
        <v>30021.858382325143</v>
      </c>
      <c r="N30" s="2">
        <f>M30+M30*M25</f>
        <v>38434.610250957499</v>
      </c>
      <c r="O30" s="2">
        <f>N30+N30*O23</f>
        <v>49204.790933685006</v>
      </c>
      <c r="P30" s="2">
        <f>O30+O30*P23</f>
        <v>62993.001230377624</v>
      </c>
      <c r="Q30" s="2">
        <f>P30+P30*Q23</f>
        <v>80644.956084831792</v>
      </c>
      <c r="R30" s="2">
        <f>Q30+Q30*R23</f>
        <v>103243.35743489169</v>
      </c>
    </row>
    <row r="31" spans="2:112" x14ac:dyDescent="0.3">
      <c r="B31" s="2" t="s">
        <v>32</v>
      </c>
      <c r="F31" s="2">
        <f t="shared" ref="F31:R31" si="25">F21-F29</f>
        <v>4726.0200000000004</v>
      </c>
      <c r="G31" s="2">
        <f t="shared" si="25"/>
        <v>4018.77</v>
      </c>
      <c r="H31" s="2">
        <f t="shared" si="25"/>
        <v>7918.76</v>
      </c>
      <c r="I31" s="2">
        <f t="shared" si="25"/>
        <v>8226.17</v>
      </c>
      <c r="J31" s="2">
        <f t="shared" si="25"/>
        <v>10375.540000000001</v>
      </c>
      <c r="K31" s="2">
        <f t="shared" si="25"/>
        <v>6435.3599999999988</v>
      </c>
      <c r="L31" s="2">
        <f t="shared" si="25"/>
        <v>17992.149999999998</v>
      </c>
      <c r="M31" s="2">
        <f t="shared" si="25"/>
        <v>21771.46412693421</v>
      </c>
      <c r="N31" s="2">
        <f t="shared" si="25"/>
        <v>34727.245104494243</v>
      </c>
      <c r="O31" s="2">
        <f t="shared" si="25"/>
        <v>54791.200663253883</v>
      </c>
      <c r="P31" s="2">
        <f t="shared" si="25"/>
        <v>85719.511250209194</v>
      </c>
      <c r="Q31" s="2">
        <f t="shared" si="25"/>
        <v>133216.00205548233</v>
      </c>
      <c r="R31" s="2">
        <f t="shared" si="25"/>
        <v>205932.01257885998</v>
      </c>
    </row>
    <row r="32" spans="2:112" x14ac:dyDescent="0.3">
      <c r="B32" s="1" t="s">
        <v>33</v>
      </c>
      <c r="C32" s="1"/>
      <c r="D32" s="1"/>
      <c r="E32" s="1"/>
      <c r="F32" s="1">
        <f t="shared" ref="F32:R32" si="26">F21-SUM(F26:F29)</f>
        <v>4629.7000000000007</v>
      </c>
      <c r="G32" s="1">
        <f t="shared" si="26"/>
        <v>3836.21</v>
      </c>
      <c r="H32" s="1">
        <f t="shared" si="26"/>
        <v>7318.02</v>
      </c>
      <c r="I32" s="1">
        <f t="shared" si="26"/>
        <v>8104.93</v>
      </c>
      <c r="J32" s="1">
        <f t="shared" si="26"/>
        <v>10004.380000000001</v>
      </c>
      <c r="K32" s="1">
        <f t="shared" si="26"/>
        <v>5747.619999999999</v>
      </c>
      <c r="L32" s="1">
        <f t="shared" si="26"/>
        <v>17573.53</v>
      </c>
      <c r="M32" s="1">
        <f t="shared" si="26"/>
        <v>21194.262126934213</v>
      </c>
      <c r="N32" s="1">
        <f t="shared" si="26"/>
        <v>33917.24290449424</v>
      </c>
      <c r="O32" s="1">
        <f t="shared" si="26"/>
        <v>53637.578243253884</v>
      </c>
      <c r="P32" s="1">
        <f t="shared" si="26"/>
        <v>84056.596588209199</v>
      </c>
      <c r="Q32" s="1">
        <f t="shared" si="26"/>
        <v>130795.90092728233</v>
      </c>
      <c r="R32" s="1">
        <f t="shared" si="26"/>
        <v>202383.55883783998</v>
      </c>
      <c r="S32" s="1">
        <f>+R32*(1+$Q$38)</f>
        <v>198335.88766108319</v>
      </c>
      <c r="T32" s="1">
        <f>+S32*(1+$Q$38)</f>
        <v>194369.16990786153</v>
      </c>
      <c r="U32" s="1">
        <f>+T32*(1+$Q$38)</f>
        <v>190481.78650970431</v>
      </c>
      <c r="V32" s="1">
        <f t="shared" ref="V32:CG32" si="27">+U32*(1+$Q$38)</f>
        <v>186672.15077951021</v>
      </c>
      <c r="W32" s="1">
        <f t="shared" si="27"/>
        <v>182938.70776392001</v>
      </c>
      <c r="X32" s="1">
        <f t="shared" si="27"/>
        <v>179279.93360864162</v>
      </c>
      <c r="Y32" s="1">
        <f t="shared" si="27"/>
        <v>175694.33493646877</v>
      </c>
      <c r="Z32" s="1">
        <f t="shared" si="27"/>
        <v>172180.44823773939</v>
      </c>
      <c r="AA32" s="1">
        <f t="shared" si="27"/>
        <v>168736.83927298459</v>
      </c>
      <c r="AB32" s="1">
        <f t="shared" si="27"/>
        <v>165362.10248752491</v>
      </c>
      <c r="AC32" s="1">
        <f t="shared" si="27"/>
        <v>162054.86043777442</v>
      </c>
      <c r="AD32" s="1">
        <f t="shared" si="27"/>
        <v>158813.76322901892</v>
      </c>
      <c r="AE32" s="1">
        <f t="shared" si="27"/>
        <v>155637.48796443854</v>
      </c>
      <c r="AF32" s="1">
        <f t="shared" si="27"/>
        <v>152524.73820514977</v>
      </c>
      <c r="AG32" s="1">
        <f t="shared" si="27"/>
        <v>149474.24344104677</v>
      </c>
      <c r="AH32" s="1">
        <f t="shared" si="27"/>
        <v>146484.75857222584</v>
      </c>
      <c r="AI32" s="1">
        <f t="shared" si="27"/>
        <v>143555.06340078131</v>
      </c>
      <c r="AJ32" s="1">
        <f t="shared" si="27"/>
        <v>140683.96213276568</v>
      </c>
      <c r="AK32" s="1">
        <f t="shared" si="27"/>
        <v>137870.28289011036</v>
      </c>
      <c r="AL32" s="1">
        <f t="shared" si="27"/>
        <v>135112.87723230815</v>
      </c>
      <c r="AM32" s="1">
        <f t="shared" si="27"/>
        <v>132410.61968766199</v>
      </c>
      <c r="AN32" s="1">
        <f t="shared" si="27"/>
        <v>129762.40729390875</v>
      </c>
      <c r="AO32" s="1">
        <f t="shared" si="27"/>
        <v>127167.15914803057</v>
      </c>
      <c r="AP32" s="1">
        <f t="shared" si="27"/>
        <v>124623.81596506995</v>
      </c>
      <c r="AQ32" s="1">
        <f t="shared" si="27"/>
        <v>122131.33964576854</v>
      </c>
      <c r="AR32" s="1">
        <f t="shared" si="27"/>
        <v>119688.71285285318</v>
      </c>
      <c r="AS32" s="1">
        <f t="shared" si="27"/>
        <v>117294.93859579611</v>
      </c>
      <c r="AT32" s="1">
        <f t="shared" si="27"/>
        <v>114949.03982388019</v>
      </c>
      <c r="AU32" s="1">
        <f t="shared" si="27"/>
        <v>112650.05902740257</v>
      </c>
      <c r="AV32" s="1">
        <f t="shared" si="27"/>
        <v>110397.05784685453</v>
      </c>
      <c r="AW32" s="1">
        <f t="shared" si="27"/>
        <v>108189.11668991744</v>
      </c>
      <c r="AX32" s="1">
        <f t="shared" si="27"/>
        <v>106025.33435611908</v>
      </c>
      <c r="AY32" s="1">
        <f t="shared" si="27"/>
        <v>103904.8276689967</v>
      </c>
      <c r="AZ32" s="1">
        <f t="shared" si="27"/>
        <v>101826.73111561677</v>
      </c>
      <c r="BA32" s="1">
        <f t="shared" si="27"/>
        <v>99790.196493304436</v>
      </c>
      <c r="BB32" s="1">
        <f t="shared" si="27"/>
        <v>97794.392563438349</v>
      </c>
      <c r="BC32" s="1">
        <f t="shared" si="27"/>
        <v>95838.504712169582</v>
      </c>
      <c r="BD32" s="1">
        <f t="shared" si="27"/>
        <v>93921.734617926195</v>
      </c>
      <c r="BE32" s="1">
        <f t="shared" si="27"/>
        <v>92043.29992556767</v>
      </c>
      <c r="BF32" s="1">
        <f t="shared" si="27"/>
        <v>90202.433927056321</v>
      </c>
      <c r="BG32" s="1">
        <f t="shared" si="27"/>
        <v>88398.385248515187</v>
      </c>
      <c r="BH32" s="1">
        <f t="shared" si="27"/>
        <v>86630.417543544885</v>
      </c>
      <c r="BI32" s="1">
        <f t="shared" si="27"/>
        <v>84897.809192673987</v>
      </c>
      <c r="BJ32" s="1">
        <f t="shared" si="27"/>
        <v>83199.853008820501</v>
      </c>
      <c r="BK32" s="1">
        <f t="shared" si="27"/>
        <v>81535.855948644094</v>
      </c>
      <c r="BL32" s="1">
        <f t="shared" si="27"/>
        <v>79905.13882967121</v>
      </c>
      <c r="BM32" s="1">
        <f t="shared" si="27"/>
        <v>78307.036053077783</v>
      </c>
      <c r="BN32" s="1">
        <f t="shared" si="27"/>
        <v>76740.895332016225</v>
      </c>
      <c r="BO32" s="1">
        <f t="shared" si="27"/>
        <v>75206.077425375901</v>
      </c>
      <c r="BP32" s="1">
        <f t="shared" si="27"/>
        <v>73701.955876868378</v>
      </c>
      <c r="BQ32" s="1">
        <f t="shared" si="27"/>
        <v>72227.916759331012</v>
      </c>
      <c r="BR32" s="1">
        <f t="shared" si="27"/>
        <v>70783.35842414439</v>
      </c>
      <c r="BS32" s="1">
        <f t="shared" si="27"/>
        <v>69367.691255661499</v>
      </c>
      <c r="BT32" s="1">
        <f t="shared" si="27"/>
        <v>67980.337430548272</v>
      </c>
      <c r="BU32" s="1">
        <f t="shared" si="27"/>
        <v>66620.730681937304</v>
      </c>
      <c r="BV32" s="1">
        <f t="shared" si="27"/>
        <v>65288.316068298554</v>
      </c>
      <c r="BW32" s="1">
        <f t="shared" si="27"/>
        <v>63982.549746932586</v>
      </c>
      <c r="BX32" s="1">
        <f t="shared" si="27"/>
        <v>62702.898751993933</v>
      </c>
      <c r="BY32" s="1">
        <f t="shared" si="27"/>
        <v>61448.84077695405</v>
      </c>
      <c r="BZ32" s="1">
        <f t="shared" si="27"/>
        <v>60219.863961414965</v>
      </c>
      <c r="CA32" s="1">
        <f t="shared" si="27"/>
        <v>59015.466682186663</v>
      </c>
      <c r="CB32" s="1">
        <f t="shared" si="27"/>
        <v>57835.157348542925</v>
      </c>
      <c r="CC32" s="1">
        <f t="shared" si="27"/>
        <v>56678.454201572065</v>
      </c>
      <c r="CD32" s="1">
        <f t="shared" si="27"/>
        <v>55544.885117540623</v>
      </c>
      <c r="CE32" s="1">
        <f t="shared" si="27"/>
        <v>54433.987415189811</v>
      </c>
      <c r="CF32" s="1">
        <f t="shared" si="27"/>
        <v>53345.307666886016</v>
      </c>
      <c r="CG32" s="1">
        <f t="shared" si="27"/>
        <v>52278.401513548291</v>
      </c>
      <c r="CH32" s="1">
        <f t="shared" ref="CH32:DH32" si="28">+CG32*(1+$Q$38)</f>
        <v>51232.833483277325</v>
      </c>
      <c r="CI32" s="1">
        <f t="shared" si="28"/>
        <v>50208.176813611775</v>
      </c>
      <c r="CJ32" s="1">
        <f t="shared" si="28"/>
        <v>49204.013277339538</v>
      </c>
      <c r="CK32" s="1">
        <f t="shared" si="28"/>
        <v>48219.933011792746</v>
      </c>
      <c r="CL32" s="1">
        <f t="shared" si="28"/>
        <v>47255.534351556889</v>
      </c>
      <c r="CM32" s="1">
        <f t="shared" si="28"/>
        <v>46310.423664525748</v>
      </c>
      <c r="CN32" s="1">
        <f t="shared" si="28"/>
        <v>45384.215191235235</v>
      </c>
      <c r="CO32" s="1">
        <f t="shared" si="28"/>
        <v>44476.530887410532</v>
      </c>
      <c r="CP32" s="1">
        <f t="shared" si="28"/>
        <v>43587.00026966232</v>
      </c>
      <c r="CQ32" s="1">
        <f t="shared" si="28"/>
        <v>42715.260264269069</v>
      </c>
      <c r="CR32" s="1">
        <f t="shared" si="28"/>
        <v>41860.955058983687</v>
      </c>
      <c r="CS32" s="1">
        <f t="shared" si="28"/>
        <v>41023.735957804012</v>
      </c>
      <c r="CT32" s="1">
        <f t="shared" si="28"/>
        <v>40203.26123864793</v>
      </c>
      <c r="CU32" s="1">
        <f t="shared" si="28"/>
        <v>39399.196013874971</v>
      </c>
      <c r="CV32" s="1">
        <f t="shared" si="28"/>
        <v>38611.212093597474</v>
      </c>
      <c r="CW32" s="1">
        <f t="shared" si="28"/>
        <v>37838.987851725527</v>
      </c>
      <c r="CX32" s="1">
        <f t="shared" si="28"/>
        <v>37082.208094691014</v>
      </c>
      <c r="CY32" s="1">
        <f t="shared" si="28"/>
        <v>36340.563932797195</v>
      </c>
      <c r="CZ32" s="1">
        <f t="shared" si="28"/>
        <v>35613.752654141252</v>
      </c>
      <c r="DA32" s="1">
        <f t="shared" si="28"/>
        <v>34901.477601058425</v>
      </c>
      <c r="DB32" s="1">
        <f t="shared" si="28"/>
        <v>34203.448049037259</v>
      </c>
      <c r="DC32" s="1">
        <f t="shared" si="28"/>
        <v>33519.379088056514</v>
      </c>
      <c r="DD32" s="1">
        <f t="shared" si="28"/>
        <v>32848.991506295381</v>
      </c>
      <c r="DE32" s="1">
        <f t="shared" si="28"/>
        <v>32192.011676169474</v>
      </c>
      <c r="DF32" s="1">
        <f t="shared" si="28"/>
        <v>31548.171442646082</v>
      </c>
      <c r="DG32" s="1">
        <f t="shared" si="28"/>
        <v>30917.208013793159</v>
      </c>
      <c r="DH32" s="1">
        <f t="shared" si="28"/>
        <v>30298.863853517294</v>
      </c>
    </row>
    <row r="33" spans="1:22" x14ac:dyDescent="0.3">
      <c r="B33" s="2" t="s">
        <v>36</v>
      </c>
      <c r="F33" s="2">
        <f>0</f>
        <v>0</v>
      </c>
      <c r="G33" s="2">
        <f>0</f>
        <v>0</v>
      </c>
      <c r="H33" s="2">
        <f>174567.48</f>
        <v>174567.48</v>
      </c>
      <c r="I33" s="2">
        <f>313213.54</f>
        <v>313213.53999999998</v>
      </c>
      <c r="J33" s="2">
        <f>120974.52</f>
        <v>120974.52</v>
      </c>
      <c r="K33" s="2">
        <f>-120974.52</f>
        <v>-120974.52</v>
      </c>
      <c r="L33" s="2">
        <f>31709.43</f>
        <v>31709.43</v>
      </c>
    </row>
    <row r="34" spans="1:22" x14ac:dyDescent="0.3">
      <c r="B34" s="2" t="s">
        <v>37</v>
      </c>
      <c r="F34" s="2">
        <f>F33+F32</f>
        <v>4629.7000000000007</v>
      </c>
      <c r="G34" s="2">
        <f>G33+G32</f>
        <v>3836.21</v>
      </c>
      <c r="H34" s="2">
        <f>H33+H32</f>
        <v>181885.5</v>
      </c>
      <c r="I34" s="2">
        <f>I33+I32</f>
        <v>321318.46999999997</v>
      </c>
      <c r="J34" s="2">
        <f t="shared" ref="J34:L34" si="29">J33+J32</f>
        <v>130978.90000000001</v>
      </c>
      <c r="K34" s="2">
        <f t="shared" si="29"/>
        <v>-115226.90000000001</v>
      </c>
      <c r="L34" s="2">
        <f t="shared" si="29"/>
        <v>49282.96</v>
      </c>
    </row>
    <row r="35" spans="1:22" x14ac:dyDescent="0.3">
      <c r="B35" s="2" t="s">
        <v>29</v>
      </c>
      <c r="P35" s="6"/>
    </row>
    <row r="36" spans="1:22" x14ac:dyDescent="0.3">
      <c r="B36" s="2" t="s">
        <v>30</v>
      </c>
    </row>
    <row r="38" spans="1:22" x14ac:dyDescent="0.3">
      <c r="B38" s="2" t="s">
        <v>34</v>
      </c>
      <c r="F38" s="2">
        <f t="shared" ref="F38:K38" si="30">F34</f>
        <v>4629.7000000000007</v>
      </c>
      <c r="G38" s="2">
        <f t="shared" si="30"/>
        <v>3836.21</v>
      </c>
      <c r="H38" s="2">
        <f t="shared" si="30"/>
        <v>181885.5</v>
      </c>
      <c r="I38" s="2">
        <f t="shared" si="30"/>
        <v>321318.46999999997</v>
      </c>
      <c r="J38" s="2">
        <f t="shared" si="30"/>
        <v>130978.90000000001</v>
      </c>
      <c r="K38" s="2">
        <f t="shared" si="30"/>
        <v>-115226.90000000001</v>
      </c>
      <c r="L38" s="2">
        <v>49283</v>
      </c>
      <c r="P38" s="2" t="s">
        <v>57</v>
      </c>
      <c r="Q38" s="7">
        <v>-0.02</v>
      </c>
      <c r="S38" s="2">
        <f>SUM(S32:DH32)</f>
        <v>8432150.0542318039</v>
      </c>
    </row>
    <row r="39" spans="1:22" x14ac:dyDescent="0.3">
      <c r="B39" s="2" t="s">
        <v>35</v>
      </c>
      <c r="F39" s="2">
        <v>4631.3500000000004</v>
      </c>
      <c r="G39" s="2">
        <v>3836.21</v>
      </c>
      <c r="H39" s="2">
        <f>181885.5</f>
        <v>181885.5</v>
      </c>
      <c r="I39" s="2">
        <v>3215355.95</v>
      </c>
      <c r="K39" s="2">
        <f>113633.25</f>
        <v>113633.25</v>
      </c>
      <c r="L39" s="2">
        <v>49282.27</v>
      </c>
      <c r="P39" s="2" t="s">
        <v>58</v>
      </c>
      <c r="Q39" s="7">
        <f>0.03</f>
        <v>0.03</v>
      </c>
      <c r="S39" s="8">
        <f>S38/Q41</f>
        <v>10.75095286635066</v>
      </c>
    </row>
    <row r="40" spans="1:22" x14ac:dyDescent="0.3">
      <c r="P40" s="2" t="s">
        <v>59</v>
      </c>
      <c r="Q40" s="7">
        <f>0.15</f>
        <v>0.15</v>
      </c>
    </row>
    <row r="41" spans="1:22" x14ac:dyDescent="0.3">
      <c r="B41" s="2" t="s">
        <v>38</v>
      </c>
      <c r="F41" s="2">
        <f>-85.98</f>
        <v>-85.98</v>
      </c>
      <c r="G41" s="2">
        <v>-99.18</v>
      </c>
      <c r="H41" s="2">
        <f>-115.85</f>
        <v>-115.85</v>
      </c>
      <c r="I41" s="2">
        <f>-784.22</f>
        <v>-784.22</v>
      </c>
      <c r="J41" s="2">
        <f>6110.43</f>
        <v>6110.43</v>
      </c>
      <c r="K41" s="2">
        <v>3708.64</v>
      </c>
      <c r="L41" s="2">
        <v>7770</v>
      </c>
      <c r="P41" s="2" t="s">
        <v>60</v>
      </c>
      <c r="Q41" s="8">
        <f>NPV(Q40,M32:DH32)</f>
        <v>784316.53073501389</v>
      </c>
    </row>
    <row r="42" spans="1:22" x14ac:dyDescent="0.3">
      <c r="B42" s="2" t="s">
        <v>39</v>
      </c>
      <c r="F42" s="9">
        <f>15.66</f>
        <v>15.66</v>
      </c>
      <c r="G42" s="9">
        <v>-72.760000000000005</v>
      </c>
      <c r="H42" s="9">
        <f>765.59</f>
        <v>765.59</v>
      </c>
      <c r="I42" s="9">
        <f>1029.26</f>
        <v>1029.26</v>
      </c>
      <c r="J42" s="9">
        <f>-6828.83</f>
        <v>-6828.83</v>
      </c>
      <c r="K42" s="9">
        <f>-2701.63</f>
        <v>-2701.63</v>
      </c>
      <c r="L42" s="2">
        <f>-8708.92</f>
        <v>-8708.92</v>
      </c>
    </row>
    <row r="43" spans="1:22" x14ac:dyDescent="0.3">
      <c r="B43" s="2" t="s">
        <v>40</v>
      </c>
      <c r="F43" s="2">
        <f>-34.11</f>
        <v>-34.11</v>
      </c>
      <c r="G43" s="2">
        <v>-36.11</v>
      </c>
      <c r="H43" s="2">
        <v>-36.17</v>
      </c>
      <c r="I43" s="2">
        <f>-29.89</f>
        <v>-29.89</v>
      </c>
      <c r="J43" s="2">
        <f>-30</f>
        <v>-30</v>
      </c>
      <c r="K43" s="2">
        <f>-30</f>
        <v>-30</v>
      </c>
      <c r="L43" s="2">
        <f>-50</f>
        <v>-50</v>
      </c>
      <c r="P43" s="2" t="s">
        <v>61</v>
      </c>
      <c r="Q43" s="8">
        <f>Q41*100000</f>
        <v>78431653073.501389</v>
      </c>
      <c r="R43" s="8">
        <f>Q43/200000</f>
        <v>392158.26536750695</v>
      </c>
    </row>
    <row r="44" spans="1:22" x14ac:dyDescent="0.3">
      <c r="R44" s="2">
        <f>240862</f>
        <v>240862</v>
      </c>
    </row>
    <row r="45" spans="1:22" x14ac:dyDescent="0.3">
      <c r="A45" s="2" t="s">
        <v>41</v>
      </c>
      <c r="F45" s="9">
        <f t="shared" ref="F45:L45" si="31">F41+F42+F43</f>
        <v>-104.43</v>
      </c>
      <c r="G45" s="9">
        <f t="shared" si="31"/>
        <v>-208.05</v>
      </c>
      <c r="H45" s="9">
        <f t="shared" si="31"/>
        <v>613.57000000000005</v>
      </c>
      <c r="I45" s="9">
        <f t="shared" si="31"/>
        <v>215.14999999999998</v>
      </c>
      <c r="J45" s="9">
        <f t="shared" si="31"/>
        <v>-748.39999999999964</v>
      </c>
      <c r="K45" s="9">
        <f t="shared" si="31"/>
        <v>977.00999999999976</v>
      </c>
      <c r="L45" s="9">
        <f t="shared" si="31"/>
        <v>-988.92000000000007</v>
      </c>
      <c r="Q45" s="2">
        <f>4725*10000000</f>
        <v>47250000000</v>
      </c>
      <c r="R45" s="8">
        <f>Q43/Q45</f>
        <v>1.659929165576749</v>
      </c>
      <c r="S45" s="8">
        <f>R43/R44</f>
        <v>1.6281450181743362</v>
      </c>
    </row>
    <row r="46" spans="1:22" x14ac:dyDescent="0.3">
      <c r="B46" s="2" t="s">
        <v>42</v>
      </c>
      <c r="F46" s="2">
        <f>F41-F10</f>
        <v>-184.36</v>
      </c>
      <c r="G46" s="2">
        <f>G41-G10</f>
        <v>-99.18</v>
      </c>
      <c r="H46" s="2">
        <f>H41-H10</f>
        <v>-186.6</v>
      </c>
      <c r="I46" s="2">
        <f>I41-I10</f>
        <v>-2372.0699999999997</v>
      </c>
      <c r="J46" s="2">
        <f>J41-J10</f>
        <v>4421.9000000000005</v>
      </c>
      <c r="K46" s="2">
        <f t="shared" ref="K46:L46" si="32">K41-K10</f>
        <v>1996.7299999999998</v>
      </c>
      <c r="L46" s="2">
        <f t="shared" si="32"/>
        <v>5037.37</v>
      </c>
      <c r="P46" s="1"/>
      <c r="Q46" s="1"/>
      <c r="R46" s="1"/>
      <c r="S46" s="1"/>
      <c r="T46" s="1"/>
      <c r="U46" s="1"/>
      <c r="V46" s="1"/>
    </row>
    <row r="51" spans="16:22" x14ac:dyDescent="0.3">
      <c r="P51" s="1"/>
      <c r="Q51" s="1"/>
      <c r="R51" s="1"/>
      <c r="S51" s="1"/>
      <c r="T51" s="1"/>
      <c r="U51" s="1"/>
      <c r="V51" s="1"/>
    </row>
    <row r="52" spans="16:22" x14ac:dyDescent="0.3">
      <c r="P52" s="1"/>
      <c r="Q52" s="1"/>
      <c r="R52" s="1"/>
      <c r="S52" s="1"/>
      <c r="T52" s="1"/>
      <c r="U52" s="1"/>
      <c r="V52" s="1"/>
    </row>
    <row r="54" spans="16:22" x14ac:dyDescent="0.3">
      <c r="P54" s="1"/>
      <c r="Q54" s="1"/>
      <c r="R54" s="1"/>
      <c r="S54" s="1"/>
      <c r="T54" s="1"/>
      <c r="U54" s="1"/>
      <c r="V54" s="1"/>
    </row>
    <row r="55" spans="16:22" x14ac:dyDescent="0.3">
      <c r="Q55" s="1"/>
    </row>
    <row r="56" spans="16:22" x14ac:dyDescent="0.3">
      <c r="P56" s="1"/>
      <c r="Q56" s="1"/>
      <c r="R56" s="1"/>
      <c r="S56" s="1"/>
      <c r="T56" s="1"/>
      <c r="U56" s="1"/>
      <c r="V56" s="1"/>
    </row>
    <row r="73" spans="16:22" x14ac:dyDescent="0.3">
      <c r="P73" s="2">
        <f t="shared" ref="P73:U73" si="33">P69</f>
        <v>0</v>
      </c>
      <c r="Q73" s="2">
        <f t="shared" si="33"/>
        <v>0</v>
      </c>
      <c r="R73" s="2">
        <f t="shared" si="33"/>
        <v>0</v>
      </c>
      <c r="S73" s="2">
        <f t="shared" si="33"/>
        <v>0</v>
      </c>
      <c r="T73" s="2">
        <f t="shared" si="33"/>
        <v>0</v>
      </c>
      <c r="U73" s="2">
        <f t="shared" si="33"/>
        <v>0</v>
      </c>
      <c r="V73" s="2">
        <v>49283</v>
      </c>
    </row>
    <row r="74" spans="16:22" x14ac:dyDescent="0.3">
      <c r="P74" s="2">
        <v>4631.3500000000004</v>
      </c>
      <c r="Q74" s="2">
        <v>3836.21</v>
      </c>
      <c r="R74" s="2">
        <f>181885.5</f>
        <v>181885.5</v>
      </c>
      <c r="S74" s="2">
        <v>3215355.95</v>
      </c>
      <c r="U74" s="2">
        <f>113633.25</f>
        <v>113633.25</v>
      </c>
      <c r="V74" s="2">
        <v>49282.27</v>
      </c>
    </row>
    <row r="76" spans="16:22" x14ac:dyDescent="0.3">
      <c r="P76" s="2">
        <f>-85.98</f>
        <v>-85.98</v>
      </c>
      <c r="Q76" s="2">
        <v>-99.18</v>
      </c>
      <c r="R76" s="2">
        <f>-115.85</f>
        <v>-115.85</v>
      </c>
      <c r="S76" s="2">
        <f>-784.22</f>
        <v>-784.22</v>
      </c>
      <c r="T76" s="2">
        <f>6110.43</f>
        <v>6110.43</v>
      </c>
      <c r="U76" s="2">
        <v>3708.64</v>
      </c>
      <c r="V76" s="2">
        <v>7770</v>
      </c>
    </row>
    <row r="77" spans="16:22" x14ac:dyDescent="0.3">
      <c r="P77" s="9">
        <f>15.66</f>
        <v>15.66</v>
      </c>
      <c r="Q77" s="9">
        <v>-72.760000000000005</v>
      </c>
      <c r="R77" s="9">
        <f>765.59</f>
        <v>765.59</v>
      </c>
      <c r="S77" s="9">
        <f>1029.26</f>
        <v>1029.26</v>
      </c>
      <c r="T77" s="9">
        <f>-6828.83</f>
        <v>-6828.83</v>
      </c>
      <c r="U77" s="9">
        <f>-2701.63</f>
        <v>-2701.63</v>
      </c>
      <c r="V77" s="2">
        <f>-8708.92</f>
        <v>-8708.92</v>
      </c>
    </row>
    <row r="78" spans="16:22" x14ac:dyDescent="0.3">
      <c r="P78" s="2">
        <f>-34.11</f>
        <v>-34.11</v>
      </c>
      <c r="Q78" s="2">
        <v>-36.11</v>
      </c>
      <c r="R78" s="2">
        <v>-36.17</v>
      </c>
      <c r="S78" s="2">
        <f>-29.89</f>
        <v>-29.89</v>
      </c>
      <c r="T78" s="2">
        <f>-30</f>
        <v>-30</v>
      </c>
      <c r="U78" s="2">
        <f>-30</f>
        <v>-30</v>
      </c>
      <c r="V78" s="2">
        <f>-50</f>
        <v>-50</v>
      </c>
    </row>
    <row r="80" spans="16:22" x14ac:dyDescent="0.3">
      <c r="P80" s="9">
        <f t="shared" ref="P80:V80" si="34">P76+P77+P78</f>
        <v>-104.43</v>
      </c>
      <c r="Q80" s="9">
        <f t="shared" si="34"/>
        <v>-208.05</v>
      </c>
      <c r="R80" s="9">
        <f t="shared" si="34"/>
        <v>613.57000000000005</v>
      </c>
      <c r="S80" s="9">
        <f t="shared" si="34"/>
        <v>215.14999999999998</v>
      </c>
      <c r="T80" s="9">
        <f t="shared" si="34"/>
        <v>-748.39999999999964</v>
      </c>
      <c r="U80" s="9">
        <f t="shared" si="34"/>
        <v>977.00999999999976</v>
      </c>
      <c r="V80" s="9">
        <f t="shared" si="34"/>
        <v>-988.92000000000007</v>
      </c>
    </row>
    <row r="81" spans="16:22" x14ac:dyDescent="0.3">
      <c r="P81" s="2">
        <f>P76-P45</f>
        <v>-85.98</v>
      </c>
      <c r="Q81" s="2">
        <f>Q76-Q45</f>
        <v>-47250000099.18</v>
      </c>
      <c r="R81" s="2">
        <f>R76-R45</f>
        <v>-117.50992916557675</v>
      </c>
      <c r="S81" s="2">
        <f>S76-S45</f>
        <v>-785.84814501817436</v>
      </c>
      <c r="T81" s="2">
        <f>T76-T45</f>
        <v>6110.43</v>
      </c>
      <c r="U81" s="2">
        <f t="shared" ref="U81:V81" si="35">U76-U45</f>
        <v>3708.64</v>
      </c>
      <c r="V81" s="2">
        <f t="shared" si="35"/>
        <v>7770</v>
      </c>
    </row>
  </sheetData>
  <hyperlinks>
    <hyperlink ref="A1" location="Main!A1" display="Main" xr:uid="{21E434B1-A4A3-40EE-B663-976C925A8A8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SRIKAR</dc:creator>
  <cp:lastModifiedBy>MANI SRIKAR</cp:lastModifiedBy>
  <dcterms:created xsi:type="dcterms:W3CDTF">2024-10-30T06:01:19Z</dcterms:created>
  <dcterms:modified xsi:type="dcterms:W3CDTF">2025-01-03T11:50:22Z</dcterms:modified>
</cp:coreProperties>
</file>