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3B1D7756-81B3-4A94-A581-2A9FDFF55C14}" xr6:coauthVersionLast="47" xr6:coauthVersionMax="47" xr10:uidLastSave="{00000000-0000-0000-0000-000000000000}"/>
  <bookViews>
    <workbookView xWindow="-108" yWindow="-108" windowWidth="23256" windowHeight="12456" activeTab="1" xr2:uid="{48BCD8A3-A670-4691-903A-E60D99D579E6}"/>
  </bookViews>
  <sheets>
    <sheet name="Main" sheetId="1" r:id="rId1"/>
    <sheet name="consolidated" sheetId="2" r:id="rId2"/>
    <sheet name="Holding com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E3" i="2" s="1"/>
  <c r="D3" i="2" s="1"/>
  <c r="G3" i="2"/>
  <c r="M24" i="2"/>
  <c r="J20" i="2"/>
  <c r="J18" i="2"/>
  <c r="J28" i="2" s="1"/>
  <c r="J11" i="2"/>
  <c r="K20" i="2"/>
  <c r="K18" i="2"/>
  <c r="K11" i="2"/>
  <c r="I26" i="3"/>
  <c r="H26" i="3"/>
  <c r="E26" i="3"/>
  <c r="R2" i="3"/>
  <c r="S2" i="3" s="1"/>
  <c r="T2" i="3" s="1"/>
  <c r="U2" i="3" s="1"/>
  <c r="V2" i="3" s="1"/>
  <c r="W2" i="3" s="1"/>
  <c r="X2" i="3" s="1"/>
  <c r="Y2" i="3" s="1"/>
  <c r="Z2" i="3" s="1"/>
  <c r="Q2" i="3"/>
  <c r="M21" i="2"/>
  <c r="L21" i="2"/>
  <c r="I21" i="2"/>
  <c r="K28" i="2" l="1"/>
  <c r="J19" i="2"/>
  <c r="J22" i="2" s="1"/>
  <c r="K19" i="2"/>
  <c r="K22" i="2" s="1"/>
  <c r="T3" i="2"/>
  <c r="U3" i="2" s="1"/>
  <c r="V3" i="2" s="1"/>
  <c r="W3" i="2" s="1"/>
  <c r="X3" i="2" s="1"/>
  <c r="Y3" i="2" s="1"/>
  <c r="Z3" i="2" s="1"/>
  <c r="AA3" i="2" s="1"/>
  <c r="AB3" i="2" s="1"/>
  <c r="I20" i="2"/>
  <c r="I18" i="2"/>
  <c r="I11" i="2"/>
  <c r="L20" i="2"/>
  <c r="L18" i="2"/>
  <c r="L11" i="2"/>
  <c r="M20" i="2"/>
  <c r="M18" i="2"/>
  <c r="M11" i="2"/>
  <c r="H2" i="3"/>
  <c r="G2" i="3" s="1"/>
  <c r="F2" i="3" s="1"/>
  <c r="E2" i="3" s="1"/>
  <c r="D2" i="3" s="1"/>
  <c r="C2" i="3" s="1"/>
  <c r="I16" i="3"/>
  <c r="H16" i="3"/>
  <c r="E16" i="3"/>
  <c r="I14" i="3"/>
  <c r="H14" i="3"/>
  <c r="E14" i="3"/>
  <c r="I7" i="3"/>
  <c r="I25" i="3" s="1"/>
  <c r="H7" i="3"/>
  <c r="H23" i="3" s="1"/>
  <c r="E7" i="3"/>
  <c r="J3" i="2"/>
  <c r="I3" i="2" s="1"/>
  <c r="H3" i="2" s="1"/>
  <c r="K8" i="1"/>
  <c r="K7" i="1"/>
  <c r="K6" i="1"/>
  <c r="K9" i="1" s="1"/>
  <c r="K29" i="2" l="1"/>
  <c r="K31" i="2"/>
  <c r="J29" i="2"/>
  <c r="J31" i="2"/>
  <c r="K32" i="2"/>
  <c r="J32" i="2"/>
  <c r="H15" i="3"/>
  <c r="H18" i="3" s="1"/>
  <c r="H24" i="3" s="1"/>
  <c r="I15" i="3"/>
  <c r="I18" i="3" s="1"/>
  <c r="I24" i="3" s="1"/>
  <c r="E15" i="3"/>
  <c r="E18" i="3" s="1"/>
  <c r="E24" i="3" s="1"/>
  <c r="M30" i="2"/>
  <c r="I19" i="2"/>
  <c r="I22" i="2" s="1"/>
  <c r="I32" i="2" s="1"/>
  <c r="I28" i="2"/>
  <c r="L19" i="2"/>
  <c r="L22" i="2" s="1"/>
  <c r="L32" i="2" s="1"/>
  <c r="L28" i="2"/>
  <c r="M19" i="2"/>
  <c r="M22" i="2" s="1"/>
  <c r="M31" i="2" s="1"/>
  <c r="M28" i="2"/>
  <c r="I20" i="3"/>
  <c r="E23" i="3"/>
  <c r="I23" i="3"/>
  <c r="M32" i="2" l="1"/>
  <c r="L29" i="2"/>
  <c r="L31" i="2"/>
  <c r="I29" i="2"/>
  <c r="I31" i="2"/>
  <c r="M29" i="2"/>
  <c r="M25" i="2"/>
</calcChain>
</file>

<file path=xl/sharedStrings.xml><?xml version="1.0" encoding="utf-8"?>
<sst xmlns="http://schemas.openxmlformats.org/spreadsheetml/2006/main" count="63" uniqueCount="43">
  <si>
    <t>Godrej properties</t>
  </si>
  <si>
    <t>price</t>
  </si>
  <si>
    <t>shares</t>
  </si>
  <si>
    <t>MC</t>
  </si>
  <si>
    <t xml:space="preserve">cash </t>
  </si>
  <si>
    <t>debt</t>
  </si>
  <si>
    <t>EV</t>
  </si>
  <si>
    <t>23-20-2025</t>
  </si>
  <si>
    <t>Business Model</t>
  </si>
  <si>
    <t>Hospitality and Hotels</t>
  </si>
  <si>
    <t>Joint ventures (other ventures)</t>
  </si>
  <si>
    <t xml:space="preserve">Real Estates ,  Apartments </t>
  </si>
  <si>
    <t>10000 cr after sales profit expected in Q3 25 P&amp;L</t>
  </si>
  <si>
    <t>(cr)</t>
  </si>
  <si>
    <t xml:space="preserve">Resedential </t>
  </si>
  <si>
    <t>Commercial</t>
  </si>
  <si>
    <t>operations</t>
  </si>
  <si>
    <t>others</t>
  </si>
  <si>
    <t>Cogs</t>
  </si>
  <si>
    <t>change in inventory</t>
  </si>
  <si>
    <t>Employee benfits</t>
  </si>
  <si>
    <t>Finance costs</t>
  </si>
  <si>
    <t>D&amp;A</t>
  </si>
  <si>
    <t>other expenses</t>
  </si>
  <si>
    <t>Revenue</t>
  </si>
  <si>
    <t xml:space="preserve">Total expenses </t>
  </si>
  <si>
    <t>Operating Income</t>
  </si>
  <si>
    <t>Taxes</t>
  </si>
  <si>
    <t>Net profit</t>
  </si>
  <si>
    <t>Eps model</t>
  </si>
  <si>
    <t xml:space="preserve">Eps </t>
  </si>
  <si>
    <t>operating Margin(%)</t>
  </si>
  <si>
    <t>Net profit (%)</t>
  </si>
  <si>
    <t>Revenue(y/y)</t>
  </si>
  <si>
    <t>Real Estate</t>
  </si>
  <si>
    <t>Hospitality</t>
  </si>
  <si>
    <t>Parent company</t>
  </si>
  <si>
    <t>Current taxes</t>
  </si>
  <si>
    <t>Tax(%)</t>
  </si>
  <si>
    <t>https://www.godrejproperties.com/investors/financials</t>
  </si>
  <si>
    <t>Added 2 new projects with an estimated saleable area of 3.1 million sq. ft. and expected booking value of INR 3,000 crore in Q1FY25</t>
  </si>
  <si>
    <t>Reported Ni</t>
  </si>
  <si>
    <t>Current Tax(%)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</si>
</sst>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17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E506-5384-421B-BB02-1BEAF99A65F4}">
  <dimension ref="B2:L20"/>
  <sheetViews>
    <sheetView topLeftCell="G1" workbookViewId="0">
      <selection activeCell="S19" sqref="S19"/>
    </sheetView>
  </sheetViews>
  <sheetFormatPr defaultRowHeight="17.399999999999999" x14ac:dyDescent="0.3"/>
  <cols>
    <col min="1" max="9" width="8.88671875" style="1"/>
    <col min="10" max="10" width="19.88671875" style="1" customWidth="1"/>
    <col min="11" max="11" width="18.109375" style="1" customWidth="1"/>
    <col min="12" max="16384" width="8.88671875" style="1"/>
  </cols>
  <sheetData>
    <row r="2" spans="2:12" x14ac:dyDescent="0.3">
      <c r="J2" s="1" t="s">
        <v>0</v>
      </c>
      <c r="K2" s="5" t="s">
        <v>13</v>
      </c>
    </row>
    <row r="3" spans="2:12" x14ac:dyDescent="0.3">
      <c r="B3" s="1" t="s">
        <v>39</v>
      </c>
    </row>
    <row r="4" spans="2:12" x14ac:dyDescent="0.3">
      <c r="J4" s="1" t="s">
        <v>1</v>
      </c>
      <c r="K4" s="2">
        <v>1990</v>
      </c>
      <c r="L4" s="1" t="s">
        <v>7</v>
      </c>
    </row>
    <row r="5" spans="2:12" x14ac:dyDescent="0.3">
      <c r="J5" s="1" t="s">
        <v>2</v>
      </c>
      <c r="K5" s="1">
        <v>301168569</v>
      </c>
    </row>
    <row r="6" spans="2:12" x14ac:dyDescent="0.3">
      <c r="J6" s="1" t="s">
        <v>3</v>
      </c>
      <c r="K6" s="6">
        <f>K4*K5/10000000</f>
        <v>59932.545230999996</v>
      </c>
    </row>
    <row r="7" spans="2:12" x14ac:dyDescent="0.3">
      <c r="J7" s="1" t="s">
        <v>4</v>
      </c>
      <c r="K7" s="1">
        <f>828+2569+290</f>
        <v>3687</v>
      </c>
    </row>
    <row r="8" spans="2:12" x14ac:dyDescent="0.3">
      <c r="J8" s="1" t="s">
        <v>5</v>
      </c>
      <c r="K8" s="1">
        <f>10870+11.39</f>
        <v>10881.39</v>
      </c>
    </row>
    <row r="9" spans="2:12" x14ac:dyDescent="0.3">
      <c r="J9" s="1" t="s">
        <v>6</v>
      </c>
      <c r="K9" s="6">
        <f>K6+K8-K7</f>
        <v>67126.935230999996</v>
      </c>
    </row>
    <row r="12" spans="2:12" x14ac:dyDescent="0.3">
      <c r="B12" s="3" t="s">
        <v>8</v>
      </c>
    </row>
    <row r="13" spans="2:12" x14ac:dyDescent="0.3">
      <c r="B13" s="4" t="s">
        <v>11</v>
      </c>
      <c r="F13" s="1" t="s">
        <v>14</v>
      </c>
    </row>
    <row r="14" spans="2:12" x14ac:dyDescent="0.3">
      <c r="B14" s="1" t="s">
        <v>9</v>
      </c>
      <c r="F14" s="1" t="s">
        <v>15</v>
      </c>
    </row>
    <row r="15" spans="2:12" x14ac:dyDescent="0.3">
      <c r="B15" s="1" t="s">
        <v>10</v>
      </c>
    </row>
    <row r="19" spans="2:2" x14ac:dyDescent="0.3">
      <c r="B19" s="4" t="s">
        <v>12</v>
      </c>
    </row>
    <row r="20" spans="2:2" x14ac:dyDescent="0.3">
      <c r="B20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1155-F908-4837-80A3-E6180F434241}">
  <dimension ref="A3:AB5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7.399999999999999" x14ac:dyDescent="0.3"/>
  <cols>
    <col min="1" max="1" width="8.88671875" style="1"/>
    <col min="2" max="2" width="17.77734375" style="1" customWidth="1"/>
    <col min="3" max="3" width="10.6640625" style="1" customWidth="1"/>
    <col min="4" max="4" width="10.88671875" style="1" customWidth="1"/>
    <col min="5" max="5" width="13.33203125" style="1" customWidth="1"/>
    <col min="6" max="6" width="13" style="1" customWidth="1"/>
    <col min="7" max="7" width="8.88671875" style="1"/>
    <col min="8" max="8" width="10.5546875" style="1" customWidth="1"/>
    <col min="9" max="9" width="11" style="1" customWidth="1"/>
    <col min="10" max="10" width="10.77734375" style="1" customWidth="1"/>
    <col min="11" max="11" width="10.33203125" style="1" customWidth="1"/>
    <col min="12" max="12" width="11" style="1" customWidth="1"/>
    <col min="13" max="13" width="11.77734375" style="1" customWidth="1"/>
    <col min="14" max="16384" width="8.88671875" style="1"/>
  </cols>
  <sheetData>
    <row r="3" spans="1:28" x14ac:dyDescent="0.3">
      <c r="D3" s="7">
        <f t="shared" ref="D3:F3" si="0">E3-90</f>
        <v>44814</v>
      </c>
      <c r="E3" s="7">
        <f t="shared" si="0"/>
        <v>44904</v>
      </c>
      <c r="F3" s="7">
        <f t="shared" si="0"/>
        <v>44994</v>
      </c>
      <c r="G3" s="7">
        <f>H3-90</f>
        <v>45084</v>
      </c>
      <c r="H3" s="7">
        <f t="shared" ref="H3:I3" si="1">I3-90</f>
        <v>45174</v>
      </c>
      <c r="I3" s="7">
        <f t="shared" si="1"/>
        <v>45264</v>
      </c>
      <c r="J3" s="7">
        <f>K3-90</f>
        <v>45354</v>
      </c>
      <c r="K3" s="7">
        <v>45444</v>
      </c>
      <c r="L3" s="7">
        <v>45536</v>
      </c>
      <c r="M3" s="7">
        <v>45627</v>
      </c>
      <c r="S3" s="1">
        <v>2020</v>
      </c>
      <c r="T3" s="1">
        <f>S3+1</f>
        <v>2021</v>
      </c>
      <c r="U3" s="1">
        <f t="shared" ref="U3:AB3" si="2">T3+1</f>
        <v>2022</v>
      </c>
      <c r="V3" s="1">
        <f t="shared" si="2"/>
        <v>2023</v>
      </c>
      <c r="W3" s="1">
        <f t="shared" si="2"/>
        <v>2024</v>
      </c>
      <c r="X3" s="1">
        <f t="shared" si="2"/>
        <v>2025</v>
      </c>
      <c r="Y3" s="1">
        <f t="shared" si="2"/>
        <v>2026</v>
      </c>
      <c r="Z3" s="1">
        <f t="shared" si="2"/>
        <v>2027</v>
      </c>
      <c r="AA3" s="1">
        <f t="shared" si="2"/>
        <v>2028</v>
      </c>
      <c r="AB3" s="1">
        <f t="shared" si="2"/>
        <v>2029</v>
      </c>
    </row>
    <row r="4" spans="1:28" x14ac:dyDescent="0.3">
      <c r="A4" s="1" t="s">
        <v>34</v>
      </c>
      <c r="H4" s="6"/>
      <c r="I4" s="6">
        <v>313.45999999999998</v>
      </c>
      <c r="J4" s="6">
        <v>1402.42</v>
      </c>
      <c r="K4" s="6">
        <v>715</v>
      </c>
      <c r="L4" s="6">
        <v>1071.24</v>
      </c>
      <c r="M4" s="6">
        <v>938.56</v>
      </c>
    </row>
    <row r="5" spans="1:28" x14ac:dyDescent="0.3">
      <c r="A5" s="1" t="s">
        <v>35</v>
      </c>
      <c r="H5" s="6"/>
      <c r="I5" s="6">
        <v>16.98</v>
      </c>
      <c r="J5" s="6">
        <v>23.67</v>
      </c>
      <c r="K5" s="6">
        <v>23.05</v>
      </c>
      <c r="L5" s="6">
        <v>21.99</v>
      </c>
      <c r="M5" s="6">
        <v>30.82</v>
      </c>
    </row>
    <row r="6" spans="1:28" x14ac:dyDescent="0.3">
      <c r="H6" s="6"/>
      <c r="I6" s="6"/>
      <c r="J6" s="6"/>
      <c r="K6" s="6"/>
      <c r="L6" s="6"/>
      <c r="M6" s="6"/>
    </row>
    <row r="7" spans="1:28" x14ac:dyDescent="0.3">
      <c r="H7" s="6"/>
      <c r="I7" s="6"/>
      <c r="J7" s="6"/>
      <c r="K7" s="6"/>
      <c r="L7" s="6"/>
      <c r="M7" s="6"/>
    </row>
    <row r="8" spans="1:28" x14ac:dyDescent="0.3">
      <c r="H8" s="6"/>
      <c r="I8" s="6"/>
      <c r="J8" s="6"/>
      <c r="K8" s="6"/>
      <c r="L8" s="6"/>
      <c r="M8" s="6"/>
    </row>
    <row r="9" spans="1:28" x14ac:dyDescent="0.3">
      <c r="A9" s="1" t="s">
        <v>16</v>
      </c>
      <c r="H9" s="6"/>
      <c r="I9" s="1">
        <v>330.44</v>
      </c>
      <c r="J9" s="1">
        <v>1426.09</v>
      </c>
      <c r="K9" s="1">
        <v>739</v>
      </c>
      <c r="L9" s="1">
        <v>1093.23</v>
      </c>
      <c r="M9" s="1">
        <v>968.88</v>
      </c>
    </row>
    <row r="10" spans="1:28" x14ac:dyDescent="0.3">
      <c r="A10" s="1" t="s">
        <v>17</v>
      </c>
      <c r="H10" s="6"/>
      <c r="I10" s="1">
        <v>217.87</v>
      </c>
      <c r="J10" s="1">
        <v>488.73</v>
      </c>
      <c r="K10" s="1">
        <v>960.48</v>
      </c>
      <c r="L10" s="1">
        <v>253.31</v>
      </c>
      <c r="M10" s="1">
        <v>271.08999999999997</v>
      </c>
    </row>
    <row r="11" spans="1:28" x14ac:dyDescent="0.3">
      <c r="A11" s="1" t="s">
        <v>24</v>
      </c>
      <c r="H11" s="6"/>
      <c r="I11" s="1">
        <f>I9+I10</f>
        <v>548.30999999999995</v>
      </c>
      <c r="J11" s="1">
        <f>J9+J10</f>
        <v>1914.82</v>
      </c>
      <c r="K11" s="1">
        <f>K9+K10</f>
        <v>1699.48</v>
      </c>
      <c r="L11" s="1">
        <f>L9+L10</f>
        <v>1346.54</v>
      </c>
      <c r="M11" s="1">
        <f>M9+M10</f>
        <v>1239.97</v>
      </c>
    </row>
    <row r="12" spans="1:28" x14ac:dyDescent="0.3">
      <c r="A12" s="1" t="s">
        <v>18</v>
      </c>
      <c r="H12" s="6"/>
      <c r="I12" s="1">
        <v>2303.7199999999998</v>
      </c>
      <c r="J12" s="1">
        <v>2711.63</v>
      </c>
      <c r="K12" s="1">
        <v>2578.46</v>
      </c>
      <c r="L12" s="1">
        <v>1813.27</v>
      </c>
      <c r="M12" s="1">
        <v>3379.05</v>
      </c>
    </row>
    <row r="13" spans="1:28" x14ac:dyDescent="0.3">
      <c r="A13" s="1" t="s">
        <v>19</v>
      </c>
      <c r="H13" s="6"/>
      <c r="I13" s="1">
        <v>-2196.5300000000002</v>
      </c>
      <c r="J13" s="1">
        <v>-1899.84</v>
      </c>
      <c r="K13" s="1">
        <v>-2096.9899999999998</v>
      </c>
      <c r="L13" s="1">
        <v>-1203.4000000000001</v>
      </c>
      <c r="M13" s="1">
        <v>-2907.6</v>
      </c>
    </row>
    <row r="14" spans="1:28" x14ac:dyDescent="0.3">
      <c r="A14" s="1" t="s">
        <v>20</v>
      </c>
      <c r="H14" s="6"/>
      <c r="I14" s="1">
        <v>80.05</v>
      </c>
      <c r="J14" s="1">
        <v>118.85</v>
      </c>
      <c r="K14" s="1">
        <v>98.73</v>
      </c>
      <c r="L14" s="1">
        <v>107.85</v>
      </c>
      <c r="M14" s="1">
        <v>113.95</v>
      </c>
    </row>
    <row r="15" spans="1:28" x14ac:dyDescent="0.3">
      <c r="A15" s="1" t="s">
        <v>21</v>
      </c>
      <c r="H15" s="6"/>
      <c r="I15" s="1">
        <v>42.97</v>
      </c>
      <c r="J15" s="1">
        <v>31.46</v>
      </c>
      <c r="K15" s="1">
        <v>40.75</v>
      </c>
      <c r="L15" s="1">
        <v>44.55</v>
      </c>
      <c r="M15" s="1">
        <v>42.41</v>
      </c>
    </row>
    <row r="16" spans="1:28" x14ac:dyDescent="0.3">
      <c r="A16" s="1" t="s">
        <v>22</v>
      </c>
      <c r="H16" s="6"/>
      <c r="I16" s="1">
        <v>14.16</v>
      </c>
      <c r="J16" s="1">
        <v>16.079999999999998</v>
      </c>
      <c r="K16" s="1">
        <v>16.64</v>
      </c>
      <c r="L16" s="1">
        <v>18.260000000000002</v>
      </c>
      <c r="M16" s="1">
        <v>17.690000000000001</v>
      </c>
    </row>
    <row r="17" spans="1:13" x14ac:dyDescent="0.3">
      <c r="A17" s="1" t="s">
        <v>23</v>
      </c>
      <c r="H17" s="6"/>
      <c r="I17" s="1">
        <v>186.91</v>
      </c>
      <c r="J17" s="1">
        <v>324.24</v>
      </c>
      <c r="K17" s="1">
        <v>270.64999999999998</v>
      </c>
      <c r="L17" s="1">
        <v>341.25</v>
      </c>
      <c r="M17" s="1">
        <v>354.28</v>
      </c>
    </row>
    <row r="18" spans="1:13" x14ac:dyDescent="0.3">
      <c r="A18" s="1" t="s">
        <v>25</v>
      </c>
      <c r="H18" s="6"/>
      <c r="I18" s="1">
        <f>I12+I13+I14+I15+I16+I17</f>
        <v>431.27999999999963</v>
      </c>
      <c r="J18" s="1">
        <f>J12+J13+J14+J15+J16+J17</f>
        <v>1302.4200000000003</v>
      </c>
      <c r="K18" s="1">
        <f>K12+K13+K14+K15+K16+K17</f>
        <v>908.24000000000024</v>
      </c>
      <c r="L18" s="1">
        <f>L12+L13+L14+L15+L16+L17</f>
        <v>1121.7799999999997</v>
      </c>
      <c r="M18" s="1">
        <f>M12+M13+M14+M15+M16+M17</f>
        <v>999.78000000000031</v>
      </c>
    </row>
    <row r="19" spans="1:13" x14ac:dyDescent="0.3">
      <c r="A19" s="1" t="s">
        <v>26</v>
      </c>
      <c r="H19" s="6"/>
      <c r="I19" s="1">
        <f>I11-I18</f>
        <v>117.03000000000031</v>
      </c>
      <c r="J19" s="1">
        <f>J11-J18</f>
        <v>612.39999999999964</v>
      </c>
      <c r="K19" s="1">
        <f>K11-K18</f>
        <v>791.23999999999978</v>
      </c>
      <c r="L19" s="1">
        <f>L11-L18</f>
        <v>224.76000000000022</v>
      </c>
      <c r="M19" s="1">
        <f>M11-M18</f>
        <v>240.18999999999971</v>
      </c>
    </row>
    <row r="20" spans="1:13" x14ac:dyDescent="0.3">
      <c r="A20" s="1" t="s">
        <v>27</v>
      </c>
      <c r="H20" s="6"/>
      <c r="I20" s="1">
        <f>15.01+16.93</f>
        <v>31.939999999999998</v>
      </c>
      <c r="J20" s="1">
        <f>68.88+54.1</f>
        <v>122.97999999999999</v>
      </c>
      <c r="K20" s="1">
        <f>30.32+167.11</f>
        <v>197.43</v>
      </c>
      <c r="L20" s="1">
        <f>54.13-168.67</f>
        <v>-114.53999999999999</v>
      </c>
      <c r="M20" s="1">
        <f>31.6+30.46</f>
        <v>62.06</v>
      </c>
    </row>
    <row r="21" spans="1:13" x14ac:dyDescent="0.3">
      <c r="A21" s="1" t="s">
        <v>37</v>
      </c>
      <c r="H21" s="6"/>
      <c r="I21" s="1">
        <f>15.09</f>
        <v>15.09</v>
      </c>
      <c r="J21" s="1">
        <v>68.88</v>
      </c>
      <c r="K21" s="1">
        <v>30.32</v>
      </c>
      <c r="L21" s="1">
        <f>54.13</f>
        <v>54.13</v>
      </c>
      <c r="M21" s="1">
        <f>31.6</f>
        <v>31.6</v>
      </c>
    </row>
    <row r="22" spans="1:13" x14ac:dyDescent="0.3">
      <c r="A22" s="1" t="s">
        <v>28</v>
      </c>
      <c r="H22" s="6"/>
      <c r="I22" s="1">
        <f>I19-I20</f>
        <v>85.090000000000316</v>
      </c>
      <c r="J22" s="1">
        <f>J19-J20</f>
        <v>489.41999999999962</v>
      </c>
      <c r="K22" s="1">
        <f>K19-K20</f>
        <v>593.80999999999972</v>
      </c>
      <c r="L22" s="1">
        <f>L19-L20</f>
        <v>339.30000000000018</v>
      </c>
      <c r="M22" s="1">
        <f>M19-M20</f>
        <v>178.12999999999971</v>
      </c>
    </row>
    <row r="23" spans="1:13" x14ac:dyDescent="0.3">
      <c r="H23" s="6"/>
      <c r="J23" s="6"/>
    </row>
    <row r="24" spans="1:13" x14ac:dyDescent="0.3">
      <c r="A24" s="1" t="s">
        <v>41</v>
      </c>
      <c r="H24" s="6"/>
      <c r="J24" s="6">
        <v>475.86</v>
      </c>
      <c r="K24" s="6">
        <v>518.53</v>
      </c>
      <c r="M24" s="6">
        <f>M26*Main!K5/ 10000000</f>
        <v>171.66608432999999</v>
      </c>
    </row>
    <row r="25" spans="1:13" x14ac:dyDescent="0.3">
      <c r="A25" s="1" t="s">
        <v>29</v>
      </c>
      <c r="H25" s="6"/>
      <c r="J25" s="6"/>
      <c r="K25" s="6"/>
      <c r="M25" s="1">
        <f>M22*10000000/Main!$K$5</f>
        <v>5.9146278309008968</v>
      </c>
    </row>
    <row r="26" spans="1:13" x14ac:dyDescent="0.3">
      <c r="A26" s="4" t="s">
        <v>30</v>
      </c>
      <c r="H26" s="6"/>
      <c r="J26" s="6"/>
      <c r="K26" s="6"/>
      <c r="M26" s="1">
        <v>5.7</v>
      </c>
    </row>
    <row r="27" spans="1:13" x14ac:dyDescent="0.3">
      <c r="H27" s="6"/>
      <c r="J27" s="6"/>
      <c r="K27" s="6"/>
    </row>
    <row r="28" spans="1:13" x14ac:dyDescent="0.3">
      <c r="A28" s="1" t="s">
        <v>31</v>
      </c>
      <c r="H28" s="6"/>
      <c r="I28" s="8">
        <f>I18/I11</f>
        <v>0.7865623461180713</v>
      </c>
      <c r="J28" s="8">
        <f t="shared" ref="J28:K28" si="3">J18/J11</f>
        <v>0.6801788157633617</v>
      </c>
      <c r="K28" s="8">
        <f t="shared" si="3"/>
        <v>0.53442229387812756</v>
      </c>
      <c r="L28" s="8">
        <f>L18/L11</f>
        <v>0.83308330981626966</v>
      </c>
      <c r="M28" s="8">
        <f>M18/M11</f>
        <v>0.80629370065404826</v>
      </c>
    </row>
    <row r="29" spans="1:13" x14ac:dyDescent="0.3">
      <c r="A29" s="1" t="s">
        <v>32</v>
      </c>
      <c r="H29" s="6"/>
      <c r="I29" s="8">
        <f>I22/I11</f>
        <v>0.15518593496379846</v>
      </c>
      <c r="J29" s="8">
        <f t="shared" ref="J29:K29" si="4">J22/J11</f>
        <v>0.25559582623954191</v>
      </c>
      <c r="K29" s="8">
        <f t="shared" si="4"/>
        <v>0.34940687739779208</v>
      </c>
      <c r="L29" s="8">
        <f>L22/L11</f>
        <v>0.25197914655338882</v>
      </c>
      <c r="M29" s="8">
        <f>M22/M11</f>
        <v>0.14365670137180714</v>
      </c>
    </row>
    <row r="30" spans="1:13" x14ac:dyDescent="0.3">
      <c r="A30" s="1" t="s">
        <v>33</v>
      </c>
      <c r="H30" s="6"/>
      <c r="I30" s="6"/>
      <c r="J30" s="6"/>
      <c r="K30" s="6"/>
      <c r="L30" s="6"/>
      <c r="M30" s="9">
        <f>M11/I11-1</f>
        <v>1.2614396965220407</v>
      </c>
    </row>
    <row r="31" spans="1:13" x14ac:dyDescent="0.3">
      <c r="A31" s="1" t="s">
        <v>42</v>
      </c>
      <c r="H31" s="6"/>
      <c r="I31" s="9">
        <f t="shared" ref="I31:L31" si="5">I21/I22</f>
        <v>0.17734163826536542</v>
      </c>
      <c r="J31" s="9">
        <f t="shared" si="5"/>
        <v>0.1407380164276083</v>
      </c>
      <c r="K31" s="9">
        <f>K21/K22</f>
        <v>5.1060103400077488E-2</v>
      </c>
      <c r="L31" s="9">
        <f t="shared" si="5"/>
        <v>0.1595343353964043</v>
      </c>
      <c r="M31" s="9">
        <f>M21/M22</f>
        <v>0.17739852916409393</v>
      </c>
    </row>
    <row r="32" spans="1:13" x14ac:dyDescent="0.3">
      <c r="A32" s="1" t="s">
        <v>38</v>
      </c>
      <c r="H32" s="6"/>
      <c r="I32" s="9">
        <f>I20/I22</f>
        <v>0.37536725819720151</v>
      </c>
      <c r="J32" s="9">
        <f t="shared" ref="J32:M32" si="6">J20/J22</f>
        <v>0.25127702178088368</v>
      </c>
      <c r="K32" s="9">
        <f t="shared" si="6"/>
        <v>0.33248008622286607</v>
      </c>
      <c r="L32" s="9">
        <f t="shared" si="6"/>
        <v>-0.33757736516357184</v>
      </c>
      <c r="M32" s="9">
        <f t="shared" si="6"/>
        <v>0.34839723797226801</v>
      </c>
    </row>
    <row r="33" spans="1:13" x14ac:dyDescent="0.3">
      <c r="H33" s="6"/>
      <c r="I33" s="6"/>
      <c r="J33" s="6"/>
      <c r="K33" s="6"/>
      <c r="L33" s="6"/>
      <c r="M33" s="6"/>
    </row>
    <row r="34" spans="1:13" x14ac:dyDescent="0.3">
      <c r="H34" s="6"/>
      <c r="I34" s="6"/>
      <c r="J34" s="6"/>
      <c r="K34" s="6"/>
      <c r="L34" s="6"/>
      <c r="M34" s="6"/>
    </row>
    <row r="35" spans="1:13" x14ac:dyDescent="0.3">
      <c r="H35" s="6"/>
      <c r="I35" s="6"/>
      <c r="J35" s="6"/>
      <c r="K35" s="6"/>
      <c r="L35" s="6"/>
      <c r="M35" s="6"/>
    </row>
    <row r="36" spans="1:13" x14ac:dyDescent="0.3">
      <c r="H36" s="6"/>
      <c r="I36" s="6"/>
      <c r="J36" s="6"/>
      <c r="K36" s="6"/>
      <c r="L36" s="6"/>
      <c r="M36" s="6"/>
    </row>
    <row r="37" spans="1:13" ht="21" x14ac:dyDescent="0.4">
      <c r="A37" s="10"/>
      <c r="H37" s="7"/>
      <c r="I37" s="7"/>
      <c r="J37" s="7"/>
      <c r="K37" s="7"/>
      <c r="L37" s="7"/>
      <c r="M37" s="7"/>
    </row>
    <row r="53" spans="1:13" x14ac:dyDescent="0.3">
      <c r="A53" s="4"/>
    </row>
    <row r="55" spans="1:13" x14ac:dyDescent="0.3">
      <c r="I55" s="8"/>
      <c r="L55" s="8"/>
      <c r="M55" s="8"/>
    </row>
    <row r="56" spans="1:13" x14ac:dyDescent="0.3">
      <c r="I56" s="8"/>
      <c r="L56" s="8"/>
      <c r="M56" s="8"/>
    </row>
    <row r="57" spans="1:13" x14ac:dyDescent="0.3">
      <c r="M5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15EB-B8F6-4E32-BBB8-7A89374CD4B3}">
  <dimension ref="A2:Z26"/>
  <sheetViews>
    <sheetView zoomScale="85" zoomScaleNormal="8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defaultRowHeight="17.399999999999999" x14ac:dyDescent="0.3"/>
  <cols>
    <col min="1" max="1" width="8.88671875" style="1"/>
    <col min="2" max="2" width="22.21875" style="1" customWidth="1"/>
    <col min="3" max="3" width="8.88671875" style="1"/>
    <col min="4" max="4" width="10.5546875" style="1" customWidth="1"/>
    <col min="5" max="5" width="13.21875" style="1" customWidth="1"/>
    <col min="6" max="6" width="13.109375" style="1" customWidth="1"/>
    <col min="7" max="7" width="8.88671875" style="1"/>
    <col min="8" max="8" width="11.21875" style="1" customWidth="1"/>
    <col min="9" max="9" width="12.77734375" style="1" customWidth="1"/>
    <col min="10" max="16384" width="8.88671875" style="1"/>
  </cols>
  <sheetData>
    <row r="2" spans="1:26" x14ac:dyDescent="0.3">
      <c r="C2" s="7">
        <f t="shared" ref="C2:G2" si="0">D2-90</f>
        <v>45087</v>
      </c>
      <c r="D2" s="7">
        <f t="shared" si="0"/>
        <v>45177</v>
      </c>
      <c r="E2" s="7">
        <f t="shared" si="0"/>
        <v>45267</v>
      </c>
      <c r="F2" s="7">
        <f t="shared" si="0"/>
        <v>45357</v>
      </c>
      <c r="G2" s="7">
        <f t="shared" si="0"/>
        <v>45447</v>
      </c>
      <c r="H2" s="7">
        <f>I2-90</f>
        <v>45537</v>
      </c>
      <c r="I2" s="7">
        <v>45627</v>
      </c>
      <c r="P2" s="1">
        <v>2020</v>
      </c>
      <c r="Q2" s="1">
        <f>P2+1</f>
        <v>2021</v>
      </c>
      <c r="R2" s="1">
        <f t="shared" ref="R2:Z2" si="1">Q2+1</f>
        <v>2022</v>
      </c>
      <c r="S2" s="1">
        <f t="shared" si="1"/>
        <v>2023</v>
      </c>
      <c r="T2" s="1">
        <f t="shared" si="1"/>
        <v>2024</v>
      </c>
      <c r="U2" s="1">
        <f t="shared" si="1"/>
        <v>2025</v>
      </c>
      <c r="V2" s="1">
        <f t="shared" si="1"/>
        <v>2026</v>
      </c>
      <c r="W2" s="1">
        <f t="shared" si="1"/>
        <v>2027</v>
      </c>
      <c r="X2" s="1">
        <f t="shared" si="1"/>
        <v>2028</v>
      </c>
      <c r="Y2" s="1">
        <f t="shared" si="1"/>
        <v>2029</v>
      </c>
      <c r="Z2" s="1">
        <f t="shared" si="1"/>
        <v>2030</v>
      </c>
    </row>
    <row r="4" spans="1:26" ht="21" x14ac:dyDescent="0.4">
      <c r="A4" s="10" t="s">
        <v>36</v>
      </c>
      <c r="D4" s="7"/>
      <c r="E4" s="7"/>
      <c r="F4" s="7"/>
      <c r="G4" s="7"/>
      <c r="H4" s="7"/>
      <c r="I4" s="7"/>
    </row>
    <row r="5" spans="1:26" x14ac:dyDescent="0.3">
      <c r="A5" s="1" t="s">
        <v>16</v>
      </c>
      <c r="E5" s="1">
        <v>136.15</v>
      </c>
      <c r="H5" s="1">
        <v>663.47</v>
      </c>
      <c r="I5" s="1">
        <v>184.99</v>
      </c>
    </row>
    <row r="6" spans="1:26" x14ac:dyDescent="0.3">
      <c r="A6" s="1" t="s">
        <v>17</v>
      </c>
      <c r="E6" s="1">
        <v>316.41000000000003</v>
      </c>
      <c r="H6" s="1">
        <v>375.16</v>
      </c>
      <c r="I6" s="1">
        <v>400.42</v>
      </c>
    </row>
    <row r="7" spans="1:26" s="3" customFormat="1" x14ac:dyDescent="0.3">
      <c r="A7" s="3" t="s">
        <v>24</v>
      </c>
      <c r="E7" s="3">
        <f>E5+E6</f>
        <v>452.56000000000006</v>
      </c>
      <c r="H7" s="3">
        <f>H5+H6</f>
        <v>1038.6300000000001</v>
      </c>
      <c r="I7" s="3">
        <f>I5+I6</f>
        <v>585.41000000000008</v>
      </c>
    </row>
    <row r="8" spans="1:26" x14ac:dyDescent="0.3">
      <c r="A8" s="1" t="s">
        <v>18</v>
      </c>
      <c r="E8" s="1">
        <v>882.7</v>
      </c>
      <c r="H8" s="1">
        <v>694.29</v>
      </c>
      <c r="I8" s="1">
        <v>2396.0100000000002</v>
      </c>
    </row>
    <row r="9" spans="1:26" x14ac:dyDescent="0.3">
      <c r="A9" s="1" t="s">
        <v>19</v>
      </c>
      <c r="E9" s="1">
        <v>-852.74</v>
      </c>
      <c r="H9" s="1">
        <v>-269.38</v>
      </c>
      <c r="I9" s="1">
        <v>-2297</v>
      </c>
    </row>
    <row r="10" spans="1:26" x14ac:dyDescent="0.3">
      <c r="A10" s="1" t="s">
        <v>20</v>
      </c>
      <c r="E10" s="1">
        <v>49.07</v>
      </c>
      <c r="H10" s="1">
        <v>74.11</v>
      </c>
      <c r="I10" s="1">
        <v>69.47</v>
      </c>
    </row>
    <row r="11" spans="1:26" x14ac:dyDescent="0.3">
      <c r="A11" s="1" t="s">
        <v>21</v>
      </c>
      <c r="E11" s="1">
        <v>118.25</v>
      </c>
      <c r="H11" s="1">
        <v>147.85</v>
      </c>
      <c r="I11" s="1">
        <v>155.4</v>
      </c>
    </row>
    <row r="12" spans="1:26" x14ac:dyDescent="0.3">
      <c r="A12" s="1" t="s">
        <v>22</v>
      </c>
      <c r="E12" s="1">
        <v>6.39</v>
      </c>
      <c r="H12" s="1">
        <v>9.34</v>
      </c>
      <c r="I12" s="1">
        <v>8.36</v>
      </c>
    </row>
    <row r="13" spans="1:26" x14ac:dyDescent="0.3">
      <c r="A13" s="1" t="s">
        <v>23</v>
      </c>
      <c r="E13" s="1">
        <v>110.83</v>
      </c>
      <c r="H13" s="1">
        <v>204.34</v>
      </c>
      <c r="I13" s="1">
        <v>197.51</v>
      </c>
    </row>
    <row r="14" spans="1:26" x14ac:dyDescent="0.3">
      <c r="A14" s="1" t="s">
        <v>25</v>
      </c>
      <c r="E14" s="1">
        <f>E8+E9+E10+E11+E12+E13</f>
        <v>314.5</v>
      </c>
      <c r="H14" s="1">
        <f>H8+H9+H10+H11+H12+H13</f>
        <v>860.55000000000007</v>
      </c>
      <c r="I14" s="1">
        <f>I8+I9+I10+I11+I12+I13</f>
        <v>529.75000000000023</v>
      </c>
    </row>
    <row r="15" spans="1:26" x14ac:dyDescent="0.3">
      <c r="A15" s="1" t="s">
        <v>26</v>
      </c>
      <c r="E15" s="1">
        <f>E7-E14</f>
        <v>138.06000000000006</v>
      </c>
      <c r="H15" s="1">
        <f>H7-H14</f>
        <v>178.08000000000004</v>
      </c>
      <c r="I15" s="1">
        <f>I7-I14</f>
        <v>55.659999999999854</v>
      </c>
    </row>
    <row r="16" spans="1:26" x14ac:dyDescent="0.3">
      <c r="A16" s="1" t="s">
        <v>27</v>
      </c>
      <c r="E16" s="1">
        <f>10.02+24.23</f>
        <v>34.25</v>
      </c>
      <c r="H16" s="1">
        <f>43.24-71.43</f>
        <v>-28.190000000000005</v>
      </c>
      <c r="I16" s="1">
        <f>22.09-1.03</f>
        <v>21.06</v>
      </c>
    </row>
    <row r="17" spans="1:9" x14ac:dyDescent="0.3">
      <c r="A17" s="1" t="s">
        <v>37</v>
      </c>
      <c r="E17" s="1">
        <v>10.02</v>
      </c>
      <c r="H17" s="1">
        <v>43.24</v>
      </c>
      <c r="I17" s="1">
        <v>22.09</v>
      </c>
    </row>
    <row r="18" spans="1:9" x14ac:dyDescent="0.3">
      <c r="A18" s="1" t="s">
        <v>28</v>
      </c>
      <c r="E18" s="1">
        <f>E15-E16</f>
        <v>103.81000000000006</v>
      </c>
      <c r="H18" s="1">
        <f>H15-H16</f>
        <v>206.27000000000004</v>
      </c>
      <c r="I18" s="1">
        <f>I15-I16</f>
        <v>34.599999999999852</v>
      </c>
    </row>
    <row r="20" spans="1:9" x14ac:dyDescent="0.3">
      <c r="A20" s="1" t="s">
        <v>29</v>
      </c>
      <c r="I20" s="1">
        <f>I18*10000000/Main!$K$5</f>
        <v>1.1488582661492757</v>
      </c>
    </row>
    <row r="21" spans="1:9" x14ac:dyDescent="0.3">
      <c r="A21" s="4" t="s">
        <v>30</v>
      </c>
      <c r="I21" s="1">
        <v>1.22</v>
      </c>
    </row>
    <row r="23" spans="1:9" x14ac:dyDescent="0.3">
      <c r="A23" s="1" t="s">
        <v>31</v>
      </c>
      <c r="E23" s="8">
        <f>E14/E7</f>
        <v>0.69493547816864054</v>
      </c>
      <c r="H23" s="8">
        <f>H14/H7</f>
        <v>0.82854336963114872</v>
      </c>
      <c r="I23" s="8">
        <f>I14/I7</f>
        <v>0.90492133718248779</v>
      </c>
    </row>
    <row r="24" spans="1:9" x14ac:dyDescent="0.3">
      <c r="A24" s="1" t="s">
        <v>32</v>
      </c>
      <c r="E24" s="8">
        <f>E18/E7</f>
        <v>0.22938394908962356</v>
      </c>
      <c r="H24" s="8">
        <f>H18/H7</f>
        <v>0.19859815333660688</v>
      </c>
      <c r="I24" s="8">
        <f>I18/I7</f>
        <v>5.9103875916024402E-2</v>
      </c>
    </row>
    <row r="25" spans="1:9" x14ac:dyDescent="0.3">
      <c r="A25" s="1" t="s">
        <v>33</v>
      </c>
      <c r="I25" s="8">
        <f>I7/E7-1</f>
        <v>0.29355223616757997</v>
      </c>
    </row>
    <row r="26" spans="1:9" x14ac:dyDescent="0.3">
      <c r="A26" s="1" t="s">
        <v>38</v>
      </c>
      <c r="D26" s="6"/>
      <c r="E26" s="9">
        <f t="shared" ref="E26:H26" si="2">E17/E18</f>
        <v>9.6522493016087021E-2</v>
      </c>
      <c r="F26" s="9"/>
      <c r="G26" s="9"/>
      <c r="H26" s="9">
        <f t="shared" si="2"/>
        <v>0.20962815726959808</v>
      </c>
      <c r="I26" s="9">
        <f>I17/I18</f>
        <v>0.6384393063583842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consolidated</vt:lpstr>
      <vt:lpstr>Holding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2025-02-23T10:02:02Z</dcterms:created>
  <dcterms:modified xsi:type="dcterms:W3CDTF">2025-03-05T12:54:36Z</dcterms:modified>
</cp:coreProperties>
</file>