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ni Srikar\Desktop\models\"/>
    </mc:Choice>
  </mc:AlternateContent>
  <xr:revisionPtr revIDLastSave="0" documentId="13_ncr:1_{89E3C20B-D51F-45E1-B4F2-ABE0BA927F4F}" xr6:coauthVersionLast="47" xr6:coauthVersionMax="47" xr10:uidLastSave="{00000000-0000-0000-0000-000000000000}"/>
  <bookViews>
    <workbookView xWindow="-108" yWindow="-108" windowWidth="23256" windowHeight="12456" tabRatio="239" firstSheet="1" activeTab="1" xr2:uid="{FDF8A10D-AF79-4892-91B8-9A7857AE282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58" i="2" l="1"/>
  <c r="AK58" i="2"/>
  <c r="AM56" i="2"/>
  <c r="AF54" i="2"/>
  <c r="AG54" i="2"/>
  <c r="AH54" i="2"/>
  <c r="AI54" i="2"/>
  <c r="AJ54" i="2"/>
  <c r="AK54" i="2"/>
  <c r="AL54" i="2"/>
  <c r="AM54" i="2"/>
  <c r="AE54" i="2"/>
  <c r="AF53" i="2"/>
  <c r="AG53" i="2"/>
  <c r="AH53" i="2"/>
  <c r="AI53" i="2"/>
  <c r="AJ53" i="2"/>
  <c r="AK53" i="2"/>
  <c r="AL53" i="2"/>
  <c r="AM53" i="2"/>
  <c r="AE53" i="2"/>
  <c r="AK50" i="2"/>
  <c r="AJ50" i="2"/>
  <c r="AJ49" i="2"/>
  <c r="AB6" i="2"/>
  <c r="AC6" i="2"/>
  <c r="AB7" i="2"/>
  <c r="AC7" i="2"/>
  <c r="AB8" i="2"/>
  <c r="AC8" i="2"/>
  <c r="AB9" i="2"/>
  <c r="AC9" i="2"/>
  <c r="AB10" i="2"/>
  <c r="AC10" i="2"/>
  <c r="AA10" i="2"/>
  <c r="AA9" i="2"/>
  <c r="AA8" i="2"/>
  <c r="AA7" i="2"/>
  <c r="AA6" i="2"/>
  <c r="E11" i="2"/>
  <c r="F11" i="2"/>
  <c r="G11" i="2"/>
  <c r="H11" i="2"/>
  <c r="J11" i="2"/>
  <c r="K11" i="2"/>
  <c r="L11" i="2"/>
  <c r="M11" i="2"/>
  <c r="N11" i="2"/>
  <c r="O11" i="2"/>
  <c r="P11" i="2"/>
  <c r="Q11" i="2"/>
  <c r="R11" i="2"/>
  <c r="I11" i="2"/>
  <c r="M18" i="1"/>
  <c r="AC34" i="2"/>
  <c r="AB34" i="2"/>
  <c r="AC25" i="2"/>
  <c r="AD25" i="2" s="1"/>
  <c r="AE25" i="2" s="1"/>
  <c r="AF25" i="2" s="1"/>
  <c r="AG25" i="2" s="1"/>
  <c r="AH25" i="2" s="1"/>
  <c r="AI25" i="2" s="1"/>
  <c r="AJ25" i="2" s="1"/>
  <c r="AK25" i="2" s="1"/>
  <c r="AL25" i="2" s="1"/>
  <c r="AM25" i="2" s="1"/>
  <c r="AC24" i="2"/>
  <c r="AC23" i="2"/>
  <c r="AD23" i="2" s="1"/>
  <c r="AE23" i="2" s="1"/>
  <c r="AF23" i="2" s="1"/>
  <c r="AG23" i="2" s="1"/>
  <c r="AH23" i="2" s="1"/>
  <c r="AI23" i="2" s="1"/>
  <c r="AJ23" i="2" s="1"/>
  <c r="AK23" i="2" s="1"/>
  <c r="AL23" i="2" s="1"/>
  <c r="AM23" i="2" s="1"/>
  <c r="AC22" i="2"/>
  <c r="AD22" i="2" s="1"/>
  <c r="AE22" i="2" s="1"/>
  <c r="AF22" i="2" s="1"/>
  <c r="AG22" i="2" s="1"/>
  <c r="AH22" i="2" s="1"/>
  <c r="AI22" i="2" s="1"/>
  <c r="AJ22" i="2" s="1"/>
  <c r="AK22" i="2" s="1"/>
  <c r="AL22" i="2" s="1"/>
  <c r="AM22" i="2" s="1"/>
  <c r="AC20" i="2"/>
  <c r="AD20" i="2" s="1"/>
  <c r="AE20" i="2" s="1"/>
  <c r="AC19" i="2"/>
  <c r="AD19" i="2" s="1"/>
  <c r="AE19" i="2" s="1"/>
  <c r="AC18" i="2"/>
  <c r="AB25" i="2"/>
  <c r="AB24" i="2"/>
  <c r="AB23" i="2"/>
  <c r="AB22" i="2"/>
  <c r="AB20" i="2"/>
  <c r="AB19" i="2"/>
  <c r="AB18" i="2"/>
  <c r="AA19" i="2"/>
  <c r="AA20" i="2"/>
  <c r="AA22" i="2"/>
  <c r="AA23" i="2"/>
  <c r="AA24" i="2"/>
  <c r="AA25" i="2"/>
  <c r="AA18" i="2"/>
  <c r="AB15" i="2"/>
  <c r="AA15" i="2"/>
  <c r="D28" i="2"/>
  <c r="D26" i="2"/>
  <c r="D16" i="2"/>
  <c r="D17" i="2" s="1"/>
  <c r="D36" i="2" s="1"/>
  <c r="E28" i="2"/>
  <c r="E26" i="2"/>
  <c r="E16" i="2"/>
  <c r="E17" i="2" s="1"/>
  <c r="E21" i="2" s="1"/>
  <c r="F26" i="2"/>
  <c r="F16" i="2"/>
  <c r="F17" i="2" s="1"/>
  <c r="F21" i="2" s="1"/>
  <c r="G28" i="2"/>
  <c r="G26" i="2"/>
  <c r="G16" i="2"/>
  <c r="G17" i="2" s="1"/>
  <c r="G37" i="2" s="1"/>
  <c r="I26" i="2"/>
  <c r="J26" i="2"/>
  <c r="K26" i="2"/>
  <c r="L26" i="2"/>
  <c r="M26" i="2"/>
  <c r="N26" i="2"/>
  <c r="O26" i="2"/>
  <c r="P26" i="2"/>
  <c r="Q26" i="2"/>
  <c r="H26" i="2"/>
  <c r="AE34" i="2"/>
  <c r="AF34" i="2" s="1"/>
  <c r="AG34" i="2" s="1"/>
  <c r="AH34" i="2" s="1"/>
  <c r="AI34" i="2" s="1"/>
  <c r="AJ34" i="2" s="1"/>
  <c r="AK34" i="2" s="1"/>
  <c r="AL34" i="2" s="1"/>
  <c r="AM34" i="2" s="1"/>
  <c r="I34" i="2"/>
  <c r="AA34" i="2" s="1"/>
  <c r="AC4" i="2"/>
  <c r="F12" i="2" l="1"/>
  <c r="AA11" i="2"/>
  <c r="AB11" i="2"/>
  <c r="G12" i="2"/>
  <c r="AC11" i="2"/>
  <c r="E12" i="2"/>
  <c r="AF19" i="2"/>
  <c r="AG19" i="2" s="1"/>
  <c r="AH19" i="2" s="1"/>
  <c r="AI19" i="2" s="1"/>
  <c r="AJ19" i="2" s="1"/>
  <c r="AK19" i="2" s="1"/>
  <c r="AL19" i="2" s="1"/>
  <c r="AM19" i="2" s="1"/>
  <c r="E37" i="2"/>
  <c r="F37" i="2"/>
  <c r="D21" i="2"/>
  <c r="D37" i="2"/>
  <c r="G27" i="2"/>
  <c r="G40" i="2" s="1"/>
  <c r="G21" i="2"/>
  <c r="F27" i="2"/>
  <c r="F29" i="2" s="1"/>
  <c r="E27" i="2"/>
  <c r="E29" i="2" s="1"/>
  <c r="G36" i="2"/>
  <c r="F36" i="2"/>
  <c r="E36" i="2"/>
  <c r="D27" i="2"/>
  <c r="D29" i="2" s="1"/>
  <c r="AA26" i="2"/>
  <c r="AB26" i="2"/>
  <c r="AC26" i="2"/>
  <c r="AD4" i="2"/>
  <c r="AE4" i="2" s="1"/>
  <c r="AF4" i="2" s="1"/>
  <c r="AG4" i="2" s="1"/>
  <c r="AH4" i="2" s="1"/>
  <c r="AI4" i="2" s="1"/>
  <c r="AJ4" i="2" s="1"/>
  <c r="AK4" i="2" s="1"/>
  <c r="AL4" i="2" s="1"/>
  <c r="AM4" i="2" s="1"/>
  <c r="AF20" i="2"/>
  <c r="AG20" i="2" s="1"/>
  <c r="AH20" i="2" s="1"/>
  <c r="AI20" i="2" s="1"/>
  <c r="AJ20" i="2" s="1"/>
  <c r="AK20" i="2" s="1"/>
  <c r="AL20" i="2" s="1"/>
  <c r="AM20" i="2" s="1"/>
  <c r="F39" i="2" l="1"/>
  <c r="G29" i="2"/>
  <c r="F40" i="2"/>
  <c r="G39" i="2"/>
  <c r="I28" i="2"/>
  <c r="I16" i="2"/>
  <c r="I17" i="2" s="1"/>
  <c r="I12" i="2" s="1"/>
  <c r="J16" i="2"/>
  <c r="J28" i="2"/>
  <c r="H28" i="2"/>
  <c r="H16" i="2"/>
  <c r="K28" i="2"/>
  <c r="K16" i="2"/>
  <c r="K17" i="2" s="1"/>
  <c r="K12" i="2" s="1"/>
  <c r="L28" i="2"/>
  <c r="L16" i="2"/>
  <c r="L17" i="2" s="1"/>
  <c r="M28" i="2"/>
  <c r="M16" i="2"/>
  <c r="M17" i="2" s="1"/>
  <c r="M12" i="2" s="1"/>
  <c r="N28" i="2"/>
  <c r="O16" i="2"/>
  <c r="N16" i="2"/>
  <c r="O28" i="2"/>
  <c r="O15" i="2"/>
  <c r="P28" i="2"/>
  <c r="P40" i="2" s="1"/>
  <c r="P16" i="2"/>
  <c r="P17" i="2" s="1"/>
  <c r="Q28" i="2"/>
  <c r="Q16" i="2"/>
  <c r="Q15" i="2"/>
  <c r="R28" i="2"/>
  <c r="R18" i="2"/>
  <c r="R16" i="2"/>
  <c r="R17" i="2" s="1"/>
  <c r="R12" i="2" s="1"/>
  <c r="Q4" i="2"/>
  <c r="P4" i="2" s="1"/>
  <c r="O4" i="2" s="1"/>
  <c r="N4" i="2" s="1"/>
  <c r="M4" i="2" s="1"/>
  <c r="L4" i="2" s="1"/>
  <c r="K4" i="2" s="1"/>
  <c r="J4" i="2" s="1"/>
  <c r="I4" i="2" s="1"/>
  <c r="H4" i="2" s="1"/>
  <c r="G4" i="2" s="1"/>
  <c r="F4" i="2" s="1"/>
  <c r="E4" i="2" s="1"/>
  <c r="D4" i="2" s="1"/>
  <c r="M8" i="1"/>
  <c r="L37" i="2" l="1"/>
  <c r="L12" i="2"/>
  <c r="P37" i="2"/>
  <c r="P12" i="2"/>
  <c r="Q17" i="2"/>
  <c r="AA28" i="2"/>
  <c r="I21" i="2"/>
  <c r="I37" i="2"/>
  <c r="M21" i="2"/>
  <c r="M37" i="2"/>
  <c r="R26" i="2"/>
  <c r="R27" i="2" s="1"/>
  <c r="R37" i="2"/>
  <c r="K21" i="2"/>
  <c r="K37" i="2"/>
  <c r="Q36" i="2"/>
  <c r="Q21" i="2"/>
  <c r="P36" i="2"/>
  <c r="P21" i="2"/>
  <c r="R36" i="2"/>
  <c r="R21" i="2"/>
  <c r="L36" i="2"/>
  <c r="L21" i="2"/>
  <c r="I38" i="2"/>
  <c r="I36" i="2"/>
  <c r="K38" i="2"/>
  <c r="K36" i="2"/>
  <c r="M38" i="2"/>
  <c r="M36" i="2"/>
  <c r="N40" i="2"/>
  <c r="AC28" i="2"/>
  <c r="H17" i="2"/>
  <c r="AA16" i="2"/>
  <c r="AA17" i="2" s="1"/>
  <c r="AB16" i="2"/>
  <c r="AB17" i="2" s="1"/>
  <c r="AC15" i="2"/>
  <c r="AB28" i="2"/>
  <c r="AC16" i="2"/>
  <c r="AD16" i="2" s="1"/>
  <c r="AE16" i="2" s="1"/>
  <c r="AF16" i="2" s="1"/>
  <c r="AG16" i="2" s="1"/>
  <c r="AH16" i="2" s="1"/>
  <c r="AI16" i="2" s="1"/>
  <c r="AJ16" i="2" s="1"/>
  <c r="AK16" i="2" s="1"/>
  <c r="AL16" i="2" s="1"/>
  <c r="AM16" i="2" s="1"/>
  <c r="Q38" i="2"/>
  <c r="J17" i="2"/>
  <c r="P27" i="2"/>
  <c r="P29" i="2" s="1"/>
  <c r="P38" i="2"/>
  <c r="N17" i="2"/>
  <c r="K27" i="2"/>
  <c r="I27" i="2"/>
  <c r="I29" i="2" s="1"/>
  <c r="L27" i="2"/>
  <c r="L29" i="2" s="1"/>
  <c r="M27" i="2"/>
  <c r="M29" i="2" s="1"/>
  <c r="O17" i="2"/>
  <c r="O12" i="2" s="1"/>
  <c r="Q27" i="2"/>
  <c r="AA37" i="2" l="1"/>
  <c r="AA12" i="2"/>
  <c r="H37" i="2"/>
  <c r="H12" i="2"/>
  <c r="Q37" i="2"/>
  <c r="Q12" i="2"/>
  <c r="N37" i="2"/>
  <c r="N12" i="2"/>
  <c r="AB37" i="2"/>
  <c r="AB12" i="2"/>
  <c r="J37" i="2"/>
  <c r="J12" i="2"/>
  <c r="L38" i="2"/>
  <c r="O21" i="2"/>
  <c r="O37" i="2"/>
  <c r="N36" i="2"/>
  <c r="N21" i="2"/>
  <c r="AB36" i="2"/>
  <c r="AB21" i="2"/>
  <c r="J36" i="2"/>
  <c r="J21" i="2"/>
  <c r="AA36" i="2"/>
  <c r="AA21" i="2"/>
  <c r="H36" i="2"/>
  <c r="H21" i="2"/>
  <c r="O38" i="2"/>
  <c r="O36" i="2"/>
  <c r="AD15" i="2"/>
  <c r="AD17" i="2" s="1"/>
  <c r="AD18" i="2" s="1"/>
  <c r="AD37" i="2" s="1"/>
  <c r="AC17" i="2"/>
  <c r="H27" i="2"/>
  <c r="H39" i="2" s="1"/>
  <c r="H38" i="2"/>
  <c r="AB27" i="2"/>
  <c r="AB38" i="2"/>
  <c r="AA38" i="2"/>
  <c r="AA27" i="2"/>
  <c r="R38" i="2"/>
  <c r="N38" i="2"/>
  <c r="N27" i="2"/>
  <c r="N29" i="2" s="1"/>
  <c r="H29" i="2"/>
  <c r="J27" i="2"/>
  <c r="J29" i="2" s="1"/>
  <c r="J38" i="2"/>
  <c r="R40" i="2"/>
  <c r="R29" i="2"/>
  <c r="Q40" i="2"/>
  <c r="Q29" i="2"/>
  <c r="K40" i="2"/>
  <c r="K29" i="2"/>
  <c r="O27" i="2"/>
  <c r="O29" i="2" s="1"/>
  <c r="I39" i="2"/>
  <c r="M39" i="2"/>
  <c r="M40" i="2"/>
  <c r="L39" i="2"/>
  <c r="K39" i="2"/>
  <c r="R39" i="2"/>
  <c r="I40" i="2"/>
  <c r="L40" i="2"/>
  <c r="Q39" i="2"/>
  <c r="P39" i="2"/>
  <c r="AC37" i="2" l="1"/>
  <c r="AC12" i="2"/>
  <c r="AD24" i="2"/>
  <c r="AD26" i="2" s="1"/>
  <c r="AD27" i="2" s="1"/>
  <c r="AD39" i="2" s="1"/>
  <c r="AD21" i="2"/>
  <c r="AC36" i="2"/>
  <c r="AC21" i="2"/>
  <c r="AE15" i="2"/>
  <c r="AE17" i="2" s="1"/>
  <c r="AD36" i="2"/>
  <c r="AD38" i="2"/>
  <c r="AB29" i="2"/>
  <c r="AB31" i="2" s="1"/>
  <c r="AB39" i="2"/>
  <c r="AA29" i="2"/>
  <c r="AA39" i="2"/>
  <c r="AA40" i="2"/>
  <c r="AB40" i="2"/>
  <c r="O40" i="2"/>
  <c r="H40" i="2"/>
  <c r="O39" i="2"/>
  <c r="N39" i="2"/>
  <c r="AC27" i="2"/>
  <c r="AC38" i="2"/>
  <c r="J40" i="2"/>
  <c r="J39" i="2"/>
  <c r="AE18" i="2" l="1"/>
  <c r="AE21" i="2" s="1"/>
  <c r="AF15" i="2"/>
  <c r="AG15" i="2" s="1"/>
  <c r="AE24" i="2"/>
  <c r="AC29" i="2"/>
  <c r="AC31" i="2" s="1"/>
  <c r="AC39" i="2"/>
  <c r="AC40" i="2"/>
  <c r="AD28" i="2"/>
  <c r="AF17" i="2" l="1"/>
  <c r="AE36" i="2"/>
  <c r="AE26" i="2"/>
  <c r="AE27" i="2" s="1"/>
  <c r="AF24" i="2"/>
  <c r="AD29" i="2"/>
  <c r="AD31" i="2" s="1"/>
  <c r="AD40" i="2"/>
  <c r="AH15" i="2"/>
  <c r="AG17" i="2"/>
  <c r="AG18" i="2" l="1"/>
  <c r="AG21" i="2" s="1"/>
  <c r="AF18" i="2"/>
  <c r="AF21" i="2" s="1"/>
  <c r="AG24" i="2"/>
  <c r="AF36" i="2"/>
  <c r="AE28" i="2"/>
  <c r="AE39" i="2"/>
  <c r="AI15" i="2"/>
  <c r="AH17" i="2"/>
  <c r="AF26" i="2" l="1"/>
  <c r="AF27" i="2" s="1"/>
  <c r="AH18" i="2"/>
  <c r="AH21" i="2" s="1"/>
  <c r="AH24" i="2"/>
  <c r="AE40" i="2"/>
  <c r="AE29" i="2"/>
  <c r="AE31" i="2" s="1"/>
  <c r="AG36" i="2"/>
  <c r="AG26" i="2"/>
  <c r="AG27" i="2" s="1"/>
  <c r="AF39" i="2"/>
  <c r="AF28" i="2"/>
  <c r="AF40" i="2" s="1"/>
  <c r="AJ15" i="2"/>
  <c r="AI17" i="2"/>
  <c r="AI18" i="2" l="1"/>
  <c r="AI21" i="2" s="1"/>
  <c r="AH36" i="2"/>
  <c r="AH26" i="2"/>
  <c r="AH27" i="2" s="1"/>
  <c r="AI24" i="2"/>
  <c r="AG39" i="2"/>
  <c r="AG28" i="2"/>
  <c r="AG40" i="2" s="1"/>
  <c r="AF29" i="2"/>
  <c r="AF31" i="2" s="1"/>
  <c r="AK15" i="2"/>
  <c r="AJ17" i="2"/>
  <c r="AJ18" i="2" l="1"/>
  <c r="AJ21" i="2" s="1"/>
  <c r="AJ24" i="2"/>
  <c r="AI36" i="2"/>
  <c r="AI26" i="2"/>
  <c r="AI27" i="2" s="1"/>
  <c r="AH28" i="2"/>
  <c r="AH40" i="2" s="1"/>
  <c r="AH39" i="2"/>
  <c r="AH29" i="2"/>
  <c r="AH31" i="2" s="1"/>
  <c r="AG29" i="2"/>
  <c r="AG31" i="2" s="1"/>
  <c r="AL15" i="2"/>
  <c r="AK17" i="2"/>
  <c r="AK18" i="2" l="1"/>
  <c r="AK21" i="2" s="1"/>
  <c r="AK24" i="2"/>
  <c r="AI39" i="2"/>
  <c r="AI28" i="2"/>
  <c r="AI40" i="2" s="1"/>
  <c r="AJ36" i="2"/>
  <c r="AJ26" i="2"/>
  <c r="AJ27" i="2" s="1"/>
  <c r="AM15" i="2"/>
  <c r="AM17" i="2" s="1"/>
  <c r="AL17" i="2"/>
  <c r="AM18" i="2" l="1"/>
  <c r="AM21" i="2" s="1"/>
  <c r="AL18" i="2"/>
  <c r="AL21" i="2" s="1"/>
  <c r="AJ28" i="2"/>
  <c r="AJ39" i="2"/>
  <c r="AL24" i="2"/>
  <c r="AM24" i="2"/>
  <c r="AK36" i="2"/>
  <c r="AK26" i="2"/>
  <c r="AK27" i="2" s="1"/>
  <c r="AI29" i="2"/>
  <c r="AI31" i="2" s="1"/>
  <c r="AL36" i="2" l="1"/>
  <c r="AL26" i="2"/>
  <c r="AL27" i="2" s="1"/>
  <c r="AM36" i="2"/>
  <c r="AM26" i="2"/>
  <c r="AM27" i="2" s="1"/>
  <c r="AK28" i="2"/>
  <c r="AK40" i="2" s="1"/>
  <c r="AK39" i="2"/>
  <c r="AJ40" i="2"/>
  <c r="AJ29" i="2"/>
  <c r="AJ31" i="2" s="1"/>
  <c r="AM39" i="2" l="1"/>
  <c r="AM28" i="2"/>
  <c r="AM40" i="2" s="1"/>
  <c r="AL39" i="2"/>
  <c r="AL28" i="2"/>
  <c r="AL40" i="2" s="1"/>
  <c r="AK29" i="2"/>
  <c r="AK31" i="2" s="1"/>
  <c r="AL29" i="2" l="1"/>
  <c r="AL31" i="2" s="1"/>
  <c r="AM29" i="2"/>
  <c r="AN29" i="2" l="1"/>
  <c r="AO29" i="2" s="1"/>
  <c r="AP29" i="2" s="1"/>
  <c r="AQ29" i="2" s="1"/>
  <c r="AR29" i="2" s="1"/>
  <c r="AS29" i="2" s="1"/>
  <c r="AT29" i="2" s="1"/>
  <c r="AU29" i="2" s="1"/>
  <c r="AV29" i="2" s="1"/>
  <c r="AW29" i="2" s="1"/>
  <c r="AX29" i="2" s="1"/>
  <c r="AY29" i="2" s="1"/>
  <c r="AZ29" i="2" s="1"/>
  <c r="BA29" i="2" s="1"/>
  <c r="BB29" i="2" s="1"/>
  <c r="BC29" i="2" s="1"/>
  <c r="BD29" i="2" s="1"/>
  <c r="BE29" i="2" s="1"/>
  <c r="BF29" i="2" s="1"/>
  <c r="BG29" i="2" s="1"/>
  <c r="BH29" i="2" s="1"/>
  <c r="BI29" i="2" s="1"/>
  <c r="BJ29" i="2" s="1"/>
  <c r="BK29" i="2" s="1"/>
  <c r="BL29" i="2" s="1"/>
  <c r="BM29" i="2" s="1"/>
  <c r="BN29" i="2" s="1"/>
  <c r="BO29" i="2" s="1"/>
  <c r="BP29" i="2" s="1"/>
  <c r="BQ29" i="2" s="1"/>
  <c r="BR29" i="2" s="1"/>
  <c r="BS29" i="2" s="1"/>
  <c r="BT29" i="2" s="1"/>
  <c r="BU29" i="2" s="1"/>
  <c r="BV29" i="2" s="1"/>
  <c r="BW29" i="2" s="1"/>
  <c r="BX29" i="2" s="1"/>
  <c r="BY29" i="2" s="1"/>
  <c r="BZ29" i="2" s="1"/>
  <c r="CA29" i="2" s="1"/>
  <c r="CB29" i="2" s="1"/>
  <c r="CC29" i="2" s="1"/>
  <c r="CD29" i="2" s="1"/>
  <c r="CE29" i="2" s="1"/>
  <c r="CF29" i="2" s="1"/>
  <c r="CG29" i="2" s="1"/>
  <c r="CH29" i="2" s="1"/>
  <c r="CI29" i="2" s="1"/>
  <c r="CJ29" i="2" s="1"/>
  <c r="CK29" i="2" s="1"/>
  <c r="CL29" i="2" s="1"/>
  <c r="CM29" i="2" s="1"/>
  <c r="CN29" i="2" s="1"/>
  <c r="CO29" i="2" s="1"/>
  <c r="CP29" i="2" s="1"/>
  <c r="CQ29" i="2" s="1"/>
  <c r="CR29" i="2" s="1"/>
  <c r="CS29" i="2" s="1"/>
  <c r="CT29" i="2" s="1"/>
  <c r="CU29" i="2" s="1"/>
  <c r="CV29" i="2" s="1"/>
  <c r="CW29" i="2" s="1"/>
  <c r="CX29" i="2" s="1"/>
  <c r="CY29" i="2" s="1"/>
  <c r="CZ29" i="2" s="1"/>
  <c r="DA29" i="2" s="1"/>
  <c r="DB29" i="2" s="1"/>
  <c r="DC29" i="2" s="1"/>
  <c r="DD29" i="2" s="1"/>
  <c r="DE29" i="2" s="1"/>
  <c r="DF29" i="2" s="1"/>
  <c r="DG29" i="2" s="1"/>
  <c r="DH29" i="2" s="1"/>
  <c r="AR44" i="2" s="1"/>
  <c r="AS46" i="2" s="1"/>
  <c r="AS47" i="2" s="1"/>
  <c r="AR49" i="2" s="1"/>
  <c r="AM31" i="2"/>
  <c r="AS44" i="2" l="1"/>
</calcChain>
</file>

<file path=xl/sharedStrings.xml><?xml version="1.0" encoding="utf-8"?>
<sst xmlns="http://schemas.openxmlformats.org/spreadsheetml/2006/main" count="86" uniqueCount="63">
  <si>
    <t>seimens</t>
  </si>
  <si>
    <t>price</t>
  </si>
  <si>
    <t>MC</t>
  </si>
  <si>
    <t>shares</t>
  </si>
  <si>
    <t>cash</t>
  </si>
  <si>
    <t xml:space="preserve"> Debt</t>
  </si>
  <si>
    <t>Ev</t>
  </si>
  <si>
    <t>It is focused on industrial automation, distributed energy resources, rail transport and health technology</t>
  </si>
  <si>
    <r>
      <t>Siemens AG</t>
    </r>
    <r>
      <rPr>
        <sz val="14"/>
        <color rgb="FF202122"/>
        <rFont val="Arial"/>
        <family val="2"/>
      </rPr>
      <t xml:space="preserve"> is a </t>
    </r>
    <r>
      <rPr>
        <sz val="14"/>
        <color rgb="FFFF0000"/>
        <rFont val="Arial"/>
        <family val="2"/>
      </rPr>
      <t>German</t>
    </r>
    <r>
      <rPr>
        <sz val="14"/>
        <color rgb="FF202122"/>
        <rFont val="Arial"/>
        <family val="2"/>
      </rPr>
      <t> </t>
    </r>
    <r>
      <rPr>
        <sz val="14"/>
        <color theme="1"/>
        <rFont val="Arial"/>
        <family val="2"/>
      </rPr>
      <t>multinational</t>
    </r>
    <r>
      <rPr>
        <sz val="14"/>
        <color rgb="FF202122"/>
        <rFont val="Arial"/>
        <family val="2"/>
      </rPr>
      <t> technology </t>
    </r>
    <r>
      <rPr>
        <sz val="14"/>
        <color theme="1"/>
        <rFont val="Arial"/>
        <family val="2"/>
      </rPr>
      <t>conglomerate</t>
    </r>
    <r>
      <rPr>
        <sz val="14"/>
        <color rgb="FF202122"/>
        <rFont val="Arial"/>
        <family val="2"/>
      </rPr>
      <t xml:space="preserve">. </t>
    </r>
  </si>
  <si>
    <t>Billions</t>
  </si>
  <si>
    <t>Trillions</t>
  </si>
  <si>
    <t>Operations</t>
  </si>
  <si>
    <t>others</t>
  </si>
  <si>
    <t>Revenue</t>
  </si>
  <si>
    <t>COGS</t>
  </si>
  <si>
    <t>Employees</t>
  </si>
  <si>
    <t>Financing costs</t>
  </si>
  <si>
    <t>D&amp;A</t>
  </si>
  <si>
    <t>Expenses</t>
  </si>
  <si>
    <t>in millions rupees</t>
  </si>
  <si>
    <t>projects brought</t>
  </si>
  <si>
    <t>operating Income</t>
  </si>
  <si>
    <t>Taxes</t>
  </si>
  <si>
    <t>Net profit</t>
  </si>
  <si>
    <t>change in inventory</t>
  </si>
  <si>
    <t xml:space="preserve"> Stock in trade purchase</t>
  </si>
  <si>
    <t>Revenue Growth (y/y)</t>
  </si>
  <si>
    <t xml:space="preserve">operating profit </t>
  </si>
  <si>
    <t>Tax(%)</t>
  </si>
  <si>
    <t>Matrurity</t>
  </si>
  <si>
    <t>Discount</t>
  </si>
  <si>
    <t>NPV</t>
  </si>
  <si>
    <t>EST</t>
  </si>
  <si>
    <t>D&amp;A % in revenue</t>
  </si>
  <si>
    <t xml:space="preserve">Gross Profit </t>
  </si>
  <si>
    <t>COGS % in revenue</t>
  </si>
  <si>
    <t>EPS</t>
  </si>
  <si>
    <t>Main</t>
  </si>
  <si>
    <t>355M</t>
  </si>
  <si>
    <t>rupees</t>
  </si>
  <si>
    <t>Subsidiary companies</t>
  </si>
  <si>
    <t>Seimens International Holdings</t>
  </si>
  <si>
    <t xml:space="preserve"> seimens Akitengesellchaft</t>
  </si>
  <si>
    <t>Seimens Energy Holdco</t>
  </si>
  <si>
    <t>Seimens Energy Holdings</t>
  </si>
  <si>
    <t>Sseimens metal technologies</t>
  </si>
  <si>
    <t>Key Highlights</t>
  </si>
  <si>
    <t>Company is involved in rail electrification for a 42-kilometer-long stretch on the Udhampur-Srinagar-Baramulla Rail Link</t>
  </si>
  <si>
    <t>Energy</t>
  </si>
  <si>
    <t>Smart infrastructure</t>
  </si>
  <si>
    <t>Mobility -Electronics</t>
  </si>
  <si>
    <t>Digital industries</t>
  </si>
  <si>
    <t>Portfolio companies</t>
  </si>
  <si>
    <t>1 July 2023, the Company acquired Electric Vehicle division of Mass-Tech Controls Private Limited ("Mass-Tech") for a cash consideration of Rs. 380 million, subject to adjustments mutually agreed between the parties to the transaction</t>
  </si>
  <si>
    <t>The Energy Business has a broad customer base that includes oil and gas, utilities, independent power producers, engineering, procurement and construction companies (EPCs), transmission system operators and industrial companies in sectors such as cement, metals and petrochemicals</t>
  </si>
  <si>
    <t>Portfolio Companies – Low Voltage Motors</t>
  </si>
  <si>
    <t xml:space="preserve">INR </t>
  </si>
  <si>
    <t>Share price</t>
  </si>
  <si>
    <t>WACC Method</t>
  </si>
  <si>
    <t>WACC  =  (mc/Ev* re) +(D/v*rd(1-tax rate)</t>
  </si>
  <si>
    <t>Re=Rf+β(Rm−Rf)</t>
  </si>
  <si>
    <t xml:space="preserve">Re = </t>
  </si>
  <si>
    <t>TV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</si>
</sst>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4009]\ * #,##0_ ;_ [$₹-4009]\ * \-#,##0_ ;_ [$₹-4009]\ * &quot;-&quot;_ ;_ @_ "/>
    <numFmt numFmtId="166" formatCode="#,##0.0"/>
  </numFmts>
  <fonts count="11" x14ac:knownFonts="1">
    <font>
      <sz val="11"/>
      <color theme="1"/>
      <name val="Calibri"/>
      <family val="2"/>
      <scheme val="minor"/>
    </font>
    <font>
      <sz val="14"/>
      <color theme="1"/>
      <name val="Arial"/>
      <family val="2"/>
    </font>
    <font>
      <b/>
      <sz val="14"/>
      <color rgb="FF202122"/>
      <name val="Arial"/>
      <family val="2"/>
    </font>
    <font>
      <sz val="14"/>
      <color rgb="FF202122"/>
      <name val="Arial"/>
      <family val="2"/>
    </font>
    <font>
      <sz val="14"/>
      <color rgb="FFFF0000"/>
      <name val="Arial"/>
      <family val="2"/>
    </font>
    <font>
      <sz val="14"/>
      <color rgb="FF212529"/>
      <name val="Arial"/>
      <family val="2"/>
    </font>
    <font>
      <b/>
      <sz val="14"/>
      <color theme="1"/>
      <name val="Arial"/>
      <family val="2"/>
    </font>
    <font>
      <u/>
      <sz val="11"/>
      <color theme="10"/>
      <name val="Calibri"/>
      <family val="2"/>
      <scheme val="minor"/>
    </font>
    <font>
      <u/>
      <sz val="18"/>
      <color theme="10"/>
      <name val="Calibri"/>
      <family val="2"/>
      <scheme val="minor"/>
    </font>
    <font>
      <sz val="11"/>
      <color theme="1"/>
      <name val="Arial"/>
      <family val="2"/>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1" fillId="0" borderId="0" xfId="0" applyFont="1"/>
    <xf numFmtId="0" fontId="2" fillId="0" borderId="0" xfId="0" quotePrefix="1" applyFont="1" applyAlignment="1">
      <alignment horizontal="left"/>
    </xf>
    <xf numFmtId="3" fontId="5" fillId="0" borderId="0" xfId="0" applyNumberFormat="1" applyFont="1" applyAlignment="1">
      <alignment vertical="top" wrapText="1"/>
    </xf>
    <xf numFmtId="3" fontId="1" fillId="0" borderId="0" xfId="0" applyNumberFormat="1" applyFont="1"/>
    <xf numFmtId="0" fontId="1" fillId="0" borderId="0" xfId="0" quotePrefix="1" applyFont="1" applyAlignment="1">
      <alignment horizontal="left"/>
    </xf>
    <xf numFmtId="0" fontId="1" fillId="0" borderId="0" xfId="0" applyFont="1" applyAlignment="1">
      <alignment horizontal="left"/>
    </xf>
    <xf numFmtId="17" fontId="1" fillId="0" borderId="0" xfId="0" applyNumberFormat="1" applyFont="1"/>
    <xf numFmtId="0" fontId="6" fillId="0" borderId="0" xfId="0" applyFont="1"/>
    <xf numFmtId="3" fontId="6" fillId="0" borderId="0" xfId="0" applyNumberFormat="1" applyFont="1"/>
    <xf numFmtId="14" fontId="1" fillId="0" borderId="0" xfId="0" applyNumberFormat="1" applyFont="1"/>
    <xf numFmtId="10" fontId="1" fillId="0" borderId="0" xfId="0" applyNumberFormat="1" applyFont="1"/>
    <xf numFmtId="9" fontId="1" fillId="0" borderId="0" xfId="0" applyNumberFormat="1" applyFont="1"/>
    <xf numFmtId="1" fontId="1" fillId="0" borderId="0" xfId="0" applyNumberFormat="1" applyFont="1"/>
    <xf numFmtId="164" fontId="6" fillId="0" borderId="0" xfId="0" applyNumberFormat="1" applyFont="1" applyAlignment="1">
      <alignment horizontal="left"/>
    </xf>
    <xf numFmtId="164" fontId="1" fillId="0" borderId="0" xfId="0" applyNumberFormat="1" applyFont="1" applyAlignment="1">
      <alignment horizontal="left"/>
    </xf>
    <xf numFmtId="164" fontId="1" fillId="0" borderId="0" xfId="0" applyNumberFormat="1" applyFont="1"/>
    <xf numFmtId="0" fontId="8" fillId="0" borderId="0" xfId="1" applyFont="1"/>
    <xf numFmtId="9" fontId="6" fillId="0" borderId="0" xfId="0" applyNumberFormat="1" applyFont="1"/>
    <xf numFmtId="0" fontId="1" fillId="0" borderId="0" xfId="0" applyFont="1" applyAlignment="1">
      <alignment horizontal="right"/>
    </xf>
    <xf numFmtId="165" fontId="5" fillId="0" borderId="0" xfId="0" applyNumberFormat="1" applyFont="1" applyAlignment="1">
      <alignment horizontal="right" vertical="top" wrapText="1"/>
    </xf>
    <xf numFmtId="0" fontId="6" fillId="2" borderId="0" xfId="0" applyFont="1" applyFill="1"/>
    <xf numFmtId="0" fontId="1" fillId="2" borderId="0" xfId="0" applyFont="1" applyFill="1"/>
    <xf numFmtId="16" fontId="1" fillId="0" borderId="0" xfId="0" applyNumberFormat="1" applyFont="1"/>
    <xf numFmtId="0" fontId="9" fillId="0" borderId="0" xfId="0" applyFont="1"/>
    <xf numFmtId="0" fontId="10" fillId="0" borderId="0" xfId="0" applyFont="1"/>
    <xf numFmtId="2" fontId="1" fillId="0" borderId="0" xfId="0" applyNumberFormat="1" applyFont="1"/>
    <xf numFmtId="166" fontId="6" fillId="0" borderId="0" xfId="0" applyNumberFormat="1" applyFont="1"/>
    <xf numFmtId="166" fontId="6" fillId="0" borderId="0" xfId="0" applyNumberFormat="1" applyFont="1" applyAlignment="1">
      <alignment horizontal="left"/>
    </xf>
    <xf numFmtId="166" fontId="1"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30</xdr:col>
      <xdr:colOff>0</xdr:colOff>
      <xdr:row>2</xdr:row>
      <xdr:rowOff>154112</xdr:rowOff>
    </xdr:from>
    <xdr:to>
      <xdr:col>30</xdr:col>
      <xdr:colOff>17124</xdr:colOff>
      <xdr:row>43</xdr:row>
      <xdr:rowOff>77056</xdr:rowOff>
    </xdr:to>
    <xdr:cxnSp macro="">
      <xdr:nvCxnSpPr>
        <xdr:cNvPr id="3" name="Straight Connector 2">
          <a:extLst>
            <a:ext uri="{FF2B5EF4-FFF2-40B4-BE49-F238E27FC236}">
              <a16:creationId xmlns:a16="http://schemas.microsoft.com/office/drawing/2014/main" id="{28815D77-E996-874C-5C3C-6EB70FF5D959}"/>
            </a:ext>
          </a:extLst>
        </xdr:cNvPr>
        <xdr:cNvCxnSpPr/>
      </xdr:nvCxnSpPr>
      <xdr:spPr>
        <a:xfrm flipH="1">
          <a:off x="22406225" y="376719"/>
          <a:ext cx="17124" cy="57107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BD1-1721-4BA8-952A-BCBD702E3FDF}">
  <dimension ref="B1:Q20"/>
  <sheetViews>
    <sheetView topLeftCell="B1" workbookViewId="0">
      <selection activeCell="B4" sqref="B4"/>
    </sheetView>
  </sheetViews>
  <sheetFormatPr defaultRowHeight="17.399999999999999" x14ac:dyDescent="0.3"/>
  <cols>
    <col min="1" max="8" width="8.88671875" style="1"/>
    <col min="9" max="9" width="38" style="1" customWidth="1"/>
    <col min="10" max="10" width="12" style="1" customWidth="1"/>
    <col min="11" max="11" width="12.88671875" style="1" customWidth="1"/>
    <col min="12" max="12" width="12" style="1" customWidth="1"/>
    <col min="13" max="13" width="20.21875" style="1" customWidth="1"/>
    <col min="14" max="14" width="19.21875" style="1" customWidth="1"/>
    <col min="15" max="16384" width="8.88671875" style="1"/>
  </cols>
  <sheetData>
    <row r="1" spans="2:15" x14ac:dyDescent="0.3">
      <c r="M1" s="19" t="s">
        <v>39</v>
      </c>
    </row>
    <row r="2" spans="2:15" x14ac:dyDescent="0.3">
      <c r="L2" s="1" t="s">
        <v>0</v>
      </c>
    </row>
    <row r="3" spans="2:15" x14ac:dyDescent="0.3">
      <c r="L3" s="1" t="s">
        <v>1</v>
      </c>
      <c r="M3" s="4">
        <v>5900</v>
      </c>
      <c r="N3" s="10">
        <v>45681</v>
      </c>
    </row>
    <row r="4" spans="2:15" x14ac:dyDescent="0.3">
      <c r="B4" s="2" t="s">
        <v>8</v>
      </c>
      <c r="C4"/>
      <c r="L4" s="1" t="s">
        <v>3</v>
      </c>
      <c r="M4" s="3">
        <v>356120505</v>
      </c>
    </row>
    <row r="5" spans="2:15" x14ac:dyDescent="0.3">
      <c r="B5" s="1" t="s">
        <v>7</v>
      </c>
      <c r="L5" s="1" t="s">
        <v>2</v>
      </c>
      <c r="M5" s="4">
        <v>2</v>
      </c>
      <c r="N5" s="5" t="s">
        <v>10</v>
      </c>
      <c r="O5" s="7">
        <v>45444</v>
      </c>
    </row>
    <row r="6" spans="2:15" x14ac:dyDescent="0.3">
      <c r="E6"/>
      <c r="L6" s="1" t="s">
        <v>4</v>
      </c>
      <c r="M6" s="4">
        <v>14</v>
      </c>
      <c r="N6" s="1" t="s">
        <v>9</v>
      </c>
      <c r="O6" s="7">
        <v>45444</v>
      </c>
    </row>
    <row r="7" spans="2:15" x14ac:dyDescent="0.3">
      <c r="L7" s="6" t="s">
        <v>5</v>
      </c>
      <c r="M7" s="4">
        <v>0</v>
      </c>
    </row>
    <row r="8" spans="2:15" x14ac:dyDescent="0.3">
      <c r="C8" s="21" t="s">
        <v>40</v>
      </c>
      <c r="D8" s="21"/>
      <c r="E8" s="21"/>
      <c r="F8" s="22"/>
      <c r="L8" s="1" t="s">
        <v>6</v>
      </c>
      <c r="M8" s="4">
        <f>M5*1000-M6</f>
        <v>1986</v>
      </c>
      <c r="N8" s="5" t="s">
        <v>9</v>
      </c>
      <c r="O8" s="7">
        <v>45444</v>
      </c>
    </row>
    <row r="9" spans="2:15" x14ac:dyDescent="0.3">
      <c r="C9" s="1" t="s">
        <v>41</v>
      </c>
    </row>
    <row r="10" spans="2:15" x14ac:dyDescent="0.3">
      <c r="C10" s="1" t="s">
        <v>42</v>
      </c>
    </row>
    <row r="11" spans="2:15" x14ac:dyDescent="0.3">
      <c r="C11" s="1" t="s">
        <v>43</v>
      </c>
    </row>
    <row r="12" spans="2:15" x14ac:dyDescent="0.3">
      <c r="C12" s="1" t="s">
        <v>44</v>
      </c>
    </row>
    <row r="13" spans="2:15" x14ac:dyDescent="0.3">
      <c r="C13" s="1" t="s">
        <v>45</v>
      </c>
    </row>
    <row r="16" spans="2:15" x14ac:dyDescent="0.3">
      <c r="C16" s="1" t="s">
        <v>46</v>
      </c>
    </row>
    <row r="17" spans="3:17" x14ac:dyDescent="0.3">
      <c r="C17" s="24" t="s">
        <v>47</v>
      </c>
      <c r="M17" s="1">
        <v>5684</v>
      </c>
      <c r="N17" s="23">
        <v>45685</v>
      </c>
    </row>
    <row r="18" spans="3:17" x14ac:dyDescent="0.3">
      <c r="C18" s="24" t="s">
        <v>53</v>
      </c>
      <c r="M18" s="11">
        <f xml:space="preserve"> (M3-M17)/M3</f>
        <v>3.6610169491525422E-2</v>
      </c>
      <c r="N18" s="11"/>
      <c r="Q18"/>
    </row>
    <row r="19" spans="3:17" x14ac:dyDescent="0.3">
      <c r="C19" s="24" t="s">
        <v>54</v>
      </c>
    </row>
    <row r="20" spans="3:17" x14ac:dyDescent="0.3">
      <c r="C20" s="21" t="s">
        <v>55</v>
      </c>
      <c r="D20" s="21"/>
      <c r="E20" s="21"/>
      <c r="F20" s="21"/>
      <c r="G20" s="21"/>
      <c r="H2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DB17-DF6A-480F-A870-762E947A8324}">
  <dimension ref="A1:DW58"/>
  <sheetViews>
    <sheetView tabSelected="1" zoomScale="122" zoomScaleNormal="96" workbookViewId="0">
      <pane xSplit="2" ySplit="4" topLeftCell="AP41" activePane="bottomRight" state="frozen"/>
      <selection pane="topRight" activeCell="C1" sqref="C1"/>
      <selection pane="bottomLeft" activeCell="A4" sqref="A4"/>
      <selection pane="bottomRight" activeCell="AR44" sqref="AR44"/>
    </sheetView>
  </sheetViews>
  <sheetFormatPr defaultRowHeight="17.399999999999999" x14ac:dyDescent="0.3"/>
  <cols>
    <col min="1" max="1" width="8.88671875" style="1"/>
    <col min="2" max="2" width="22.44140625" style="1" customWidth="1"/>
    <col min="3" max="3" width="16.77734375" style="1" customWidth="1"/>
    <col min="4" max="4" width="15.88671875" style="1" customWidth="1"/>
    <col min="5" max="12" width="13.21875" style="1" customWidth="1"/>
    <col min="13" max="13" width="10.21875" style="1" customWidth="1"/>
    <col min="14" max="14" width="12.88671875" style="1" customWidth="1"/>
    <col min="15" max="15" width="11.88671875" style="1" customWidth="1"/>
    <col min="16" max="16" width="10.109375" style="1" customWidth="1"/>
    <col min="17" max="17" width="12.6640625" style="1" customWidth="1"/>
    <col min="18" max="18" width="12.6640625" style="1" bestFit="1" customWidth="1"/>
    <col min="19" max="26" width="8.88671875" style="1"/>
    <col min="27" max="27" width="11.33203125" style="1" bestFit="1" customWidth="1"/>
    <col min="28" max="28" width="16.6640625" style="1" customWidth="1"/>
    <col min="29" max="29" width="14.21875" style="1" customWidth="1"/>
    <col min="30" max="30" width="14.44140625" style="1" customWidth="1"/>
    <col min="31" max="31" width="15" style="1" customWidth="1"/>
    <col min="32" max="35" width="11.77734375" style="1" bestFit="1" customWidth="1"/>
    <col min="36" max="36" width="17.6640625" style="1" bestFit="1" customWidth="1"/>
    <col min="37" max="39" width="11.77734375" style="1" bestFit="1" customWidth="1"/>
    <col min="40" max="42" width="13.5546875" style="1" bestFit="1" customWidth="1"/>
    <col min="43" max="43" width="15.5546875" style="1" customWidth="1"/>
    <col min="44" max="44" width="14.44140625" style="1" bestFit="1" customWidth="1"/>
    <col min="45" max="45" width="17.6640625" style="1" bestFit="1" customWidth="1"/>
    <col min="46" max="46" width="19.21875" style="1" customWidth="1"/>
    <col min="47" max="47" width="12.77734375" style="1" customWidth="1"/>
    <col min="48" max="48" width="14.88671875" style="1" bestFit="1" customWidth="1"/>
    <col min="49" max="49" width="17.6640625" style="1" bestFit="1" customWidth="1"/>
    <col min="50" max="63" width="13.5546875" style="1" bestFit="1" customWidth="1"/>
    <col min="64" max="68" width="12.44140625" style="1" bestFit="1" customWidth="1"/>
    <col min="69" max="112" width="12" style="1" bestFit="1" customWidth="1"/>
    <col min="113" max="16384" width="8.88671875" style="1"/>
  </cols>
  <sheetData>
    <row r="1" spans="1:39" ht="23.4" x14ac:dyDescent="0.45">
      <c r="A1" s="17" t="s">
        <v>37</v>
      </c>
    </row>
    <row r="2" spans="1:39" x14ac:dyDescent="0.3">
      <c r="AE2" s="1">
        <v>1</v>
      </c>
      <c r="AF2" s="1">
        <v>2</v>
      </c>
      <c r="AG2" s="1">
        <v>3</v>
      </c>
      <c r="AH2" s="1">
        <v>4</v>
      </c>
      <c r="AI2" s="1">
        <v>5</v>
      </c>
      <c r="AJ2" s="1">
        <v>6</v>
      </c>
      <c r="AK2" s="1">
        <v>7</v>
      </c>
      <c r="AL2" s="1">
        <v>8</v>
      </c>
      <c r="AM2" s="1">
        <v>9</v>
      </c>
    </row>
    <row r="3" spans="1:39" x14ac:dyDescent="0.3">
      <c r="A3" s="1" t="s">
        <v>19</v>
      </c>
      <c r="AD3" s="19" t="s">
        <v>32</v>
      </c>
      <c r="AE3" s="19" t="s">
        <v>32</v>
      </c>
      <c r="AF3" s="19" t="s">
        <v>32</v>
      </c>
      <c r="AG3" s="19" t="s">
        <v>32</v>
      </c>
      <c r="AH3" s="19" t="s">
        <v>32</v>
      </c>
      <c r="AI3" s="19" t="s">
        <v>32</v>
      </c>
      <c r="AJ3" s="19" t="s">
        <v>32</v>
      </c>
      <c r="AK3" s="19" t="s">
        <v>32</v>
      </c>
      <c r="AL3" s="19" t="s">
        <v>32</v>
      </c>
      <c r="AM3" s="19" t="s">
        <v>32</v>
      </c>
    </row>
    <row r="4" spans="1:39" x14ac:dyDescent="0.3">
      <c r="D4" s="7">
        <f t="shared" ref="D4" si="0">E4-90</f>
        <v>44184</v>
      </c>
      <c r="E4" s="7">
        <f t="shared" ref="E4" si="1">F4-90</f>
        <v>44274</v>
      </c>
      <c r="F4" s="7">
        <f t="shared" ref="F4:I4" si="2">G4-90</f>
        <v>44364</v>
      </c>
      <c r="G4" s="7">
        <f t="shared" si="2"/>
        <v>44454</v>
      </c>
      <c r="H4" s="7">
        <f t="shared" si="2"/>
        <v>44544</v>
      </c>
      <c r="I4" s="7">
        <f t="shared" si="2"/>
        <v>44634</v>
      </c>
      <c r="J4" s="7">
        <f t="shared" ref="J4:M4" si="3">K4-90</f>
        <v>44724</v>
      </c>
      <c r="K4" s="7">
        <f t="shared" si="3"/>
        <v>44814</v>
      </c>
      <c r="L4" s="7">
        <f t="shared" si="3"/>
        <v>44904</v>
      </c>
      <c r="M4" s="7">
        <f t="shared" si="3"/>
        <v>44994</v>
      </c>
      <c r="N4" s="7">
        <f t="shared" ref="N4:P4" si="4">O4-90</f>
        <v>45084</v>
      </c>
      <c r="O4" s="7">
        <f t="shared" si="4"/>
        <v>45174</v>
      </c>
      <c r="P4" s="7">
        <f t="shared" si="4"/>
        <v>45264</v>
      </c>
      <c r="Q4" s="7">
        <f>R4-90</f>
        <v>45354</v>
      </c>
      <c r="R4" s="7">
        <v>45444</v>
      </c>
      <c r="AA4" s="1">
        <v>2021</v>
      </c>
      <c r="AB4" s="1">
        <v>2022</v>
      </c>
      <c r="AC4" s="1">
        <f>AB4+1</f>
        <v>2023</v>
      </c>
      <c r="AD4" s="1">
        <f>AC4+1</f>
        <v>2024</v>
      </c>
      <c r="AE4" s="1">
        <f t="shared" ref="AE4:AM4" si="5">AD4+1</f>
        <v>2025</v>
      </c>
      <c r="AF4" s="1">
        <f t="shared" si="5"/>
        <v>2026</v>
      </c>
      <c r="AG4" s="1">
        <f t="shared" si="5"/>
        <v>2027</v>
      </c>
      <c r="AH4" s="1">
        <f t="shared" si="5"/>
        <v>2028</v>
      </c>
      <c r="AI4" s="1">
        <f t="shared" si="5"/>
        <v>2029</v>
      </c>
      <c r="AJ4" s="1">
        <f t="shared" si="5"/>
        <v>2030</v>
      </c>
      <c r="AK4" s="1">
        <f t="shared" si="5"/>
        <v>2031</v>
      </c>
      <c r="AL4" s="1">
        <f t="shared" si="5"/>
        <v>2032</v>
      </c>
      <c r="AM4" s="1">
        <f t="shared" si="5"/>
        <v>2033</v>
      </c>
    </row>
    <row r="5" spans="1:39" s="4" customFormat="1" x14ac:dyDescent="0.3"/>
    <row r="6" spans="1:39" s="4" customFormat="1" x14ac:dyDescent="0.3">
      <c r="A6" s="4" t="s">
        <v>48</v>
      </c>
      <c r="E6" s="4">
        <v>11913</v>
      </c>
      <c r="F6" s="4">
        <v>9549</v>
      </c>
      <c r="G6" s="4">
        <v>15710</v>
      </c>
      <c r="H6" s="4">
        <v>10892</v>
      </c>
      <c r="I6" s="4">
        <v>11958</v>
      </c>
      <c r="J6" s="4">
        <v>14544</v>
      </c>
      <c r="K6" s="4">
        <v>16316</v>
      </c>
      <c r="L6" s="4">
        <v>11601</v>
      </c>
      <c r="M6" s="4">
        <v>15544</v>
      </c>
      <c r="N6" s="4">
        <v>15181</v>
      </c>
      <c r="O6" s="4">
        <v>11601</v>
      </c>
      <c r="P6" s="4">
        <v>11454</v>
      </c>
      <c r="Q6" s="4">
        <v>16375</v>
      </c>
      <c r="R6" s="4">
        <v>14865</v>
      </c>
      <c r="AA6" s="4">
        <f t="shared" ref="AA6:AA10" si="6">SUM(F6:I6)</f>
        <v>48109</v>
      </c>
      <c r="AB6" s="4">
        <f t="shared" ref="AB6:AB10" si="7">SUM(G6:J6)</f>
        <v>53104</v>
      </c>
      <c r="AC6" s="4">
        <f t="shared" ref="AC6:AC10" si="8">SUM(H6:K6)</f>
        <v>53710</v>
      </c>
    </row>
    <row r="7" spans="1:39" s="4" customFormat="1" x14ac:dyDescent="0.3">
      <c r="A7" s="4" t="s">
        <v>49</v>
      </c>
      <c r="E7" s="4">
        <v>11501</v>
      </c>
      <c r="F7" s="4">
        <v>10717</v>
      </c>
      <c r="G7" s="4">
        <v>15741</v>
      </c>
      <c r="H7" s="4">
        <v>12875</v>
      </c>
      <c r="I7" s="4">
        <v>14985</v>
      </c>
      <c r="J7" s="4">
        <v>11922</v>
      </c>
      <c r="K7" s="4">
        <v>16658</v>
      </c>
      <c r="L7" s="4">
        <v>15197</v>
      </c>
      <c r="M7" s="4">
        <v>17249</v>
      </c>
      <c r="N7" s="4">
        <v>13754</v>
      </c>
      <c r="O7" s="4">
        <v>15197</v>
      </c>
      <c r="P7" s="4">
        <v>18253</v>
      </c>
      <c r="Q7" s="4">
        <v>17669</v>
      </c>
      <c r="R7" s="4">
        <v>15864</v>
      </c>
      <c r="AA7" s="4">
        <f t="shared" si="6"/>
        <v>54318</v>
      </c>
      <c r="AB7" s="4">
        <f t="shared" si="7"/>
        <v>55523</v>
      </c>
      <c r="AC7" s="4">
        <f t="shared" si="8"/>
        <v>56440</v>
      </c>
    </row>
    <row r="8" spans="1:39" s="4" customFormat="1" x14ac:dyDescent="0.3">
      <c r="A8" s="4" t="s">
        <v>50</v>
      </c>
      <c r="E8" s="4">
        <v>2589</v>
      </c>
      <c r="F8" s="4">
        <v>1441</v>
      </c>
      <c r="G8" s="4">
        <v>15769</v>
      </c>
      <c r="H8" s="4">
        <v>3007</v>
      </c>
      <c r="I8" s="4">
        <v>2951</v>
      </c>
      <c r="J8" s="4">
        <v>3614</v>
      </c>
      <c r="K8" s="4">
        <v>4418</v>
      </c>
      <c r="L8" s="4">
        <v>3838</v>
      </c>
      <c r="M8" s="4">
        <v>4684</v>
      </c>
      <c r="N8" s="4">
        <v>5277</v>
      </c>
      <c r="O8" s="4">
        <v>3838</v>
      </c>
      <c r="P8" s="4">
        <v>6597</v>
      </c>
      <c r="Q8" s="4">
        <v>5654</v>
      </c>
      <c r="R8" s="4">
        <v>5654</v>
      </c>
      <c r="AA8" s="4">
        <f t="shared" si="6"/>
        <v>23168</v>
      </c>
      <c r="AB8" s="4">
        <f t="shared" si="7"/>
        <v>25341</v>
      </c>
      <c r="AC8" s="4">
        <f t="shared" si="8"/>
        <v>13990</v>
      </c>
    </row>
    <row r="9" spans="1:39" s="4" customFormat="1" x14ac:dyDescent="0.3">
      <c r="A9" s="4" t="s">
        <v>51</v>
      </c>
      <c r="E9" s="4">
        <v>7917</v>
      </c>
      <c r="F9" s="4">
        <v>6838</v>
      </c>
      <c r="G9" s="4">
        <v>15800</v>
      </c>
      <c r="H9" s="4">
        <v>7910</v>
      </c>
      <c r="I9" s="4">
        <v>8739</v>
      </c>
      <c r="J9" s="4">
        <v>9962</v>
      </c>
      <c r="K9" s="4">
        <v>9444</v>
      </c>
      <c r="L9" s="4">
        <v>10193</v>
      </c>
      <c r="M9" s="4">
        <v>11407</v>
      </c>
      <c r="N9" s="4">
        <v>8953</v>
      </c>
      <c r="O9" s="4">
        <v>7789</v>
      </c>
      <c r="P9" s="4">
        <v>10379</v>
      </c>
      <c r="Q9" s="4">
        <v>9644</v>
      </c>
      <c r="R9" s="4">
        <v>9644</v>
      </c>
      <c r="AA9" s="4">
        <f t="shared" si="6"/>
        <v>39287</v>
      </c>
      <c r="AB9" s="4">
        <f t="shared" si="7"/>
        <v>42411</v>
      </c>
      <c r="AC9" s="4">
        <f t="shared" si="8"/>
        <v>36055</v>
      </c>
    </row>
    <row r="10" spans="1:39" s="4" customFormat="1" x14ac:dyDescent="0.3">
      <c r="A10" s="4" t="s">
        <v>52</v>
      </c>
      <c r="E10" s="4">
        <v>1305</v>
      </c>
      <c r="F10" s="4">
        <v>216</v>
      </c>
      <c r="L10" s="4">
        <v>2404</v>
      </c>
      <c r="N10" s="4">
        <v>2320</v>
      </c>
      <c r="O10" s="4">
        <v>2404</v>
      </c>
      <c r="P10" s="4">
        <v>2219</v>
      </c>
      <c r="Q10" s="4">
        <v>2370</v>
      </c>
      <c r="R10" s="4">
        <v>2370</v>
      </c>
      <c r="AA10" s="4">
        <f t="shared" si="6"/>
        <v>216</v>
      </c>
      <c r="AB10" s="4">
        <f t="shared" si="7"/>
        <v>0</v>
      </c>
      <c r="AC10" s="4">
        <f t="shared" si="8"/>
        <v>0</v>
      </c>
    </row>
    <row r="11" spans="1:39" x14ac:dyDescent="0.3">
      <c r="D11" s="7"/>
      <c r="E11" s="4">
        <f>SUM(E6:E9)</f>
        <v>33920</v>
      </c>
      <c r="F11" s="4">
        <f>SUM(F6:F9)</f>
        <v>28545</v>
      </c>
      <c r="G11" s="4">
        <f>SUM(G6:G9)</f>
        <v>63020</v>
      </c>
      <c r="H11" s="4">
        <f>SUM(H6:H9)</f>
        <v>34684</v>
      </c>
      <c r="I11" s="4">
        <f>SUM(I6:I9)</f>
        <v>38633</v>
      </c>
      <c r="J11" s="4">
        <f>SUM(J6:J9)+184</f>
        <v>40226</v>
      </c>
      <c r="K11" s="4">
        <f t="shared" ref="K11:R11" si="9">SUM(K6:K9)</f>
        <v>46836</v>
      </c>
      <c r="L11" s="4">
        <f t="shared" si="9"/>
        <v>40829</v>
      </c>
      <c r="M11" s="4">
        <f t="shared" si="9"/>
        <v>48884</v>
      </c>
      <c r="N11" s="4">
        <f t="shared" si="9"/>
        <v>43165</v>
      </c>
      <c r="O11" s="4">
        <f t="shared" si="9"/>
        <v>38425</v>
      </c>
      <c r="P11" s="4">
        <f t="shared" si="9"/>
        <v>46683</v>
      </c>
      <c r="Q11" s="4">
        <f t="shared" si="9"/>
        <v>49342</v>
      </c>
      <c r="R11" s="4">
        <f t="shared" si="9"/>
        <v>46027</v>
      </c>
      <c r="S11" s="7"/>
      <c r="AA11" s="4">
        <f>SUM(AA6:AA9)</f>
        <v>164882</v>
      </c>
      <c r="AB11" s="4">
        <f>SUM(AB6:AB9)</f>
        <v>176379</v>
      </c>
      <c r="AC11" s="4">
        <f>SUM(AC6:AC9)</f>
        <v>160195</v>
      </c>
      <c r="AD11" s="4"/>
    </row>
    <row r="12" spans="1:39" x14ac:dyDescent="0.3">
      <c r="D12" s="7"/>
      <c r="E12" s="4">
        <f t="shared" ref="E12:G12" si="10">E11-E17</f>
        <v>-163</v>
      </c>
      <c r="F12" s="4">
        <f t="shared" si="10"/>
        <v>1002</v>
      </c>
      <c r="G12" s="4">
        <f t="shared" si="10"/>
        <v>22407</v>
      </c>
      <c r="H12" s="4">
        <f>H11-H17</f>
        <v>-125</v>
      </c>
      <c r="I12" s="4">
        <f>I11-I17</f>
        <v>-46</v>
      </c>
      <c r="J12" s="4">
        <f>J11-J17</f>
        <v>-3144</v>
      </c>
      <c r="K12" s="4">
        <f t="shared" ref="K12:R12" si="11">K11-K17</f>
        <v>-763</v>
      </c>
      <c r="L12" s="4">
        <f t="shared" si="11"/>
        <v>-339</v>
      </c>
      <c r="M12" s="4">
        <f t="shared" si="11"/>
        <v>2352</v>
      </c>
      <c r="N12" s="4">
        <f t="shared" si="11"/>
        <v>-2831</v>
      </c>
      <c r="O12" s="4">
        <f t="shared" si="11"/>
        <v>-16783</v>
      </c>
      <c r="P12" s="4">
        <f t="shared" si="11"/>
        <v>768</v>
      </c>
      <c r="Q12" s="4">
        <f t="shared" si="11"/>
        <v>-8402</v>
      </c>
      <c r="R12" s="4">
        <f t="shared" si="11"/>
        <v>-3155</v>
      </c>
      <c r="AA12" s="4">
        <f t="shared" ref="AA12" si="12">AA11-AA17</f>
        <v>23238</v>
      </c>
      <c r="AB12" s="4">
        <f t="shared" ref="AB12" si="13">AB11-AB17</f>
        <v>-2290</v>
      </c>
      <c r="AC12" s="4">
        <f t="shared" ref="AC12" si="14">AC11-AC17</f>
        <v>-44668</v>
      </c>
      <c r="AD12" s="4"/>
    </row>
    <row r="13" spans="1:39" x14ac:dyDescent="0.3">
      <c r="D13" s="7"/>
      <c r="E13" s="4"/>
      <c r="F13" s="4"/>
      <c r="G13" s="4"/>
      <c r="H13" s="4"/>
      <c r="I13" s="4"/>
      <c r="J13" s="4"/>
      <c r="K13" s="4"/>
      <c r="L13" s="4"/>
      <c r="M13" s="4"/>
      <c r="N13" s="4"/>
      <c r="O13" s="4"/>
      <c r="P13" s="4"/>
      <c r="Q13" s="4"/>
      <c r="R13" s="4"/>
      <c r="AA13" s="4"/>
      <c r="AB13" s="4"/>
      <c r="AC13" s="4"/>
      <c r="AD13" s="4"/>
    </row>
    <row r="14" spans="1:39" x14ac:dyDescent="0.3">
      <c r="N14" s="7"/>
      <c r="O14" s="7"/>
      <c r="P14" s="7"/>
      <c r="Q14" s="7"/>
      <c r="R14" s="7"/>
    </row>
    <row r="15" spans="1:39" x14ac:dyDescent="0.3">
      <c r="A15" s="1" t="s">
        <v>11</v>
      </c>
      <c r="D15" s="1">
        <v>28582</v>
      </c>
      <c r="E15" s="1">
        <v>32983</v>
      </c>
      <c r="F15" s="4">
        <v>26583</v>
      </c>
      <c r="G15" s="4">
        <v>39411</v>
      </c>
      <c r="H15" s="4">
        <v>33735</v>
      </c>
      <c r="I15" s="4">
        <v>37381</v>
      </c>
      <c r="J15" s="4">
        <v>41980</v>
      </c>
      <c r="K15" s="4">
        <v>45641</v>
      </c>
      <c r="L15" s="4">
        <v>39636</v>
      </c>
      <c r="M15" s="4">
        <v>44005</v>
      </c>
      <c r="N15" s="4">
        <v>44070</v>
      </c>
      <c r="O15" s="4">
        <f>52970</f>
        <v>52970</v>
      </c>
      <c r="P15" s="4">
        <v>43947</v>
      </c>
      <c r="Q15" s="4">
        <f>52478</f>
        <v>52478</v>
      </c>
      <c r="R15" s="4">
        <v>47142</v>
      </c>
      <c r="AA15" s="4">
        <f>SUM(F15:I15)</f>
        <v>137110</v>
      </c>
      <c r="AB15" s="4">
        <f>SUM(J15:M15)</f>
        <v>171262</v>
      </c>
      <c r="AC15" s="4">
        <f>SUM(N15:Q15)</f>
        <v>193465</v>
      </c>
      <c r="AD15" s="4">
        <f>1.15*AC15</f>
        <v>222484.74999999997</v>
      </c>
      <c r="AE15" s="4">
        <f t="shared" ref="AE15:AM15" si="15">AE38*AD15+AD15</f>
        <v>244733.22499999998</v>
      </c>
      <c r="AF15" s="4">
        <f t="shared" si="15"/>
        <v>269206.54749999999</v>
      </c>
      <c r="AG15" s="4">
        <f t="shared" si="15"/>
        <v>296127.20224999997</v>
      </c>
      <c r="AH15" s="4">
        <f t="shared" si="15"/>
        <v>325739.92247499997</v>
      </c>
      <c r="AI15" s="4">
        <f t="shared" si="15"/>
        <v>358313.91472249996</v>
      </c>
      <c r="AJ15" s="4">
        <f t="shared" si="15"/>
        <v>394145.30619474995</v>
      </c>
      <c r="AK15" s="4">
        <f t="shared" si="15"/>
        <v>433559.83681422495</v>
      </c>
      <c r="AL15" s="4">
        <f t="shared" si="15"/>
        <v>476915.82049564744</v>
      </c>
      <c r="AM15" s="4">
        <f t="shared" si="15"/>
        <v>524607.40254521219</v>
      </c>
    </row>
    <row r="16" spans="1:39" x14ac:dyDescent="0.3">
      <c r="A16" s="1" t="s">
        <v>12</v>
      </c>
      <c r="D16" s="1">
        <f>429+570</f>
        <v>999</v>
      </c>
      <c r="E16" s="1">
        <f>560+540</f>
        <v>1100</v>
      </c>
      <c r="F16" s="4">
        <f>497+463</f>
        <v>960</v>
      </c>
      <c r="G16" s="4">
        <f>586+616</f>
        <v>1202</v>
      </c>
      <c r="H16" s="4">
        <f>478+596</f>
        <v>1074</v>
      </c>
      <c r="I16" s="4">
        <f>630+668</f>
        <v>1298</v>
      </c>
      <c r="J16" s="4">
        <f>603+787</f>
        <v>1390</v>
      </c>
      <c r="K16" s="4">
        <f>930+1028</f>
        <v>1958</v>
      </c>
      <c r="L16" s="4">
        <f>515+1017</f>
        <v>1532</v>
      </c>
      <c r="M16" s="4">
        <f>647+1880</f>
        <v>2527</v>
      </c>
      <c r="N16" s="4">
        <f>661+1265</f>
        <v>1926</v>
      </c>
      <c r="O16" s="4">
        <f>845+1393</f>
        <v>2238</v>
      </c>
      <c r="P16" s="4">
        <f>411+1557</f>
        <v>1968</v>
      </c>
      <c r="Q16" s="4">
        <f>660+4606</f>
        <v>5266</v>
      </c>
      <c r="R16" s="4">
        <f>543+1497</f>
        <v>2040</v>
      </c>
      <c r="AA16" s="4">
        <f>SUM(F16:I16)</f>
        <v>4534</v>
      </c>
      <c r="AB16" s="4">
        <f>SUM(J16:M16)</f>
        <v>7407</v>
      </c>
      <c r="AC16" s="4">
        <f>SUM(N16:Q16)</f>
        <v>11398</v>
      </c>
      <c r="AD16" s="4">
        <f>1.15*AC16</f>
        <v>13107.699999999999</v>
      </c>
      <c r="AE16" s="4">
        <f>1.1*AD16</f>
        <v>14418.47</v>
      </c>
      <c r="AF16" s="4">
        <f t="shared" ref="AF16:AM16" si="16">1.1*AE16</f>
        <v>15860.317000000001</v>
      </c>
      <c r="AG16" s="4">
        <f t="shared" si="16"/>
        <v>17446.348700000002</v>
      </c>
      <c r="AH16" s="4">
        <f t="shared" si="16"/>
        <v>19190.983570000004</v>
      </c>
      <c r="AI16" s="4">
        <f t="shared" si="16"/>
        <v>21110.081927000007</v>
      </c>
      <c r="AJ16" s="4">
        <f t="shared" si="16"/>
        <v>23221.090119700009</v>
      </c>
      <c r="AK16" s="4">
        <f t="shared" si="16"/>
        <v>25543.199131670011</v>
      </c>
      <c r="AL16" s="4">
        <f t="shared" si="16"/>
        <v>28097.519044837016</v>
      </c>
      <c r="AM16" s="4">
        <f t="shared" si="16"/>
        <v>30907.270949320719</v>
      </c>
    </row>
    <row r="17" spans="1:127" x14ac:dyDescent="0.3">
      <c r="A17" s="8" t="s">
        <v>13</v>
      </c>
      <c r="B17" s="8"/>
      <c r="C17" s="8"/>
      <c r="D17" s="9">
        <f t="shared" ref="D17:J17" si="17">D15+D16</f>
        <v>29581</v>
      </c>
      <c r="E17" s="9">
        <f t="shared" si="17"/>
        <v>34083</v>
      </c>
      <c r="F17" s="9">
        <f t="shared" si="17"/>
        <v>27543</v>
      </c>
      <c r="G17" s="9">
        <f t="shared" si="17"/>
        <v>40613</v>
      </c>
      <c r="H17" s="9">
        <f t="shared" si="17"/>
        <v>34809</v>
      </c>
      <c r="I17" s="9">
        <f t="shared" si="17"/>
        <v>38679</v>
      </c>
      <c r="J17" s="9">
        <f t="shared" si="17"/>
        <v>43370</v>
      </c>
      <c r="K17" s="9">
        <f t="shared" ref="K17:R17" si="18">K15+K16</f>
        <v>47599</v>
      </c>
      <c r="L17" s="9">
        <f t="shared" si="18"/>
        <v>41168</v>
      </c>
      <c r="M17" s="9">
        <f t="shared" si="18"/>
        <v>46532</v>
      </c>
      <c r="N17" s="9">
        <f t="shared" si="18"/>
        <v>45996</v>
      </c>
      <c r="O17" s="9">
        <f t="shared" si="18"/>
        <v>55208</v>
      </c>
      <c r="P17" s="9">
        <f t="shared" si="18"/>
        <v>45915</v>
      </c>
      <c r="Q17" s="9">
        <f t="shared" si="18"/>
        <v>57744</v>
      </c>
      <c r="R17" s="9">
        <f t="shared" si="18"/>
        <v>49182</v>
      </c>
      <c r="S17" s="8"/>
      <c r="T17" s="8"/>
      <c r="U17" s="8"/>
      <c r="V17" s="8"/>
      <c r="W17" s="8"/>
      <c r="X17" s="8"/>
      <c r="Y17" s="8"/>
      <c r="Z17" s="8"/>
      <c r="AA17" s="9">
        <f t="shared" ref="AA17:AD17" si="19">AA15+AA16</f>
        <v>141644</v>
      </c>
      <c r="AB17" s="9">
        <f t="shared" si="19"/>
        <v>178669</v>
      </c>
      <c r="AC17" s="9">
        <f t="shared" si="19"/>
        <v>204863</v>
      </c>
      <c r="AD17" s="9">
        <f t="shared" si="19"/>
        <v>235592.44999999998</v>
      </c>
      <c r="AE17" s="9">
        <f t="shared" ref="AE17:AM17" si="20">AE15+AE16</f>
        <v>259151.69499999998</v>
      </c>
      <c r="AF17" s="9">
        <f t="shared" si="20"/>
        <v>285066.86449999997</v>
      </c>
      <c r="AG17" s="9">
        <f t="shared" si="20"/>
        <v>313573.55094999995</v>
      </c>
      <c r="AH17" s="9">
        <f t="shared" si="20"/>
        <v>344930.90604499995</v>
      </c>
      <c r="AI17" s="9">
        <f t="shared" si="20"/>
        <v>379423.99664949998</v>
      </c>
      <c r="AJ17" s="9">
        <f t="shared" si="20"/>
        <v>417366.39631444996</v>
      </c>
      <c r="AK17" s="9">
        <f t="shared" si="20"/>
        <v>459103.03594589495</v>
      </c>
      <c r="AL17" s="9">
        <f t="shared" si="20"/>
        <v>505013.33954048448</v>
      </c>
      <c r="AM17" s="9">
        <f t="shared" si="20"/>
        <v>555514.67349453294</v>
      </c>
      <c r="AO17" s="8"/>
      <c r="AP17" s="8"/>
      <c r="AQ17" s="8"/>
      <c r="AR17" s="8"/>
      <c r="AS17" s="8"/>
      <c r="AT17" s="8"/>
      <c r="AU17" s="8"/>
      <c r="AV17" s="8"/>
      <c r="AW17" s="8"/>
      <c r="AX17" s="8"/>
      <c r="AY17" s="8"/>
      <c r="AZ17" s="8"/>
      <c r="BA17" s="8"/>
      <c r="BB17" s="8"/>
      <c r="BC17" s="8"/>
      <c r="BD17" s="8"/>
      <c r="BE17" s="8"/>
      <c r="BF17" s="8"/>
      <c r="BG17" s="8"/>
    </row>
    <row r="18" spans="1:127" x14ac:dyDescent="0.3">
      <c r="A18" s="1" t="s">
        <v>14</v>
      </c>
      <c r="D18" s="1">
        <v>4540</v>
      </c>
      <c r="E18" s="1">
        <v>6612</v>
      </c>
      <c r="F18" s="4">
        <v>5321</v>
      </c>
      <c r="G18" s="4">
        <v>8762</v>
      </c>
      <c r="H18" s="4">
        <v>7419</v>
      </c>
      <c r="I18" s="4">
        <v>10732</v>
      </c>
      <c r="J18" s="4">
        <v>8440</v>
      </c>
      <c r="K18" s="4">
        <v>10054</v>
      </c>
      <c r="L18" s="4">
        <v>10157</v>
      </c>
      <c r="M18" s="4">
        <v>8770</v>
      </c>
      <c r="N18" s="4">
        <v>8515</v>
      </c>
      <c r="O18" s="4">
        <v>9279</v>
      </c>
      <c r="P18" s="4">
        <v>10775</v>
      </c>
      <c r="Q18" s="4">
        <v>7703</v>
      </c>
      <c r="R18" s="4">
        <f>10070</f>
        <v>10070</v>
      </c>
      <c r="AA18" s="4">
        <f>SUM(F18:I18)</f>
        <v>32234</v>
      </c>
      <c r="AB18" s="4">
        <f t="shared" ref="AB18:AB25" si="21">SUM(J18:M18)</f>
        <v>37421</v>
      </c>
      <c r="AC18" s="4">
        <f t="shared" ref="AC18:AC25" si="22">SUM(N18:Q18)</f>
        <v>36272</v>
      </c>
      <c r="AD18" s="4">
        <f>20%*AD17</f>
        <v>47118.49</v>
      </c>
      <c r="AE18" s="4">
        <f>AE37*AE17</f>
        <v>38872.754249999998</v>
      </c>
      <c r="AF18" s="4">
        <f t="shared" ref="AF18:AM18" si="23">AF37*AF17</f>
        <v>42760.029674999991</v>
      </c>
      <c r="AG18" s="4">
        <f t="shared" si="23"/>
        <v>47036.032642499988</v>
      </c>
      <c r="AH18" s="4">
        <f t="shared" si="23"/>
        <v>51739.635906749994</v>
      </c>
      <c r="AI18" s="4">
        <f t="shared" si="23"/>
        <v>56913.599497424999</v>
      </c>
      <c r="AJ18" s="4">
        <f t="shared" si="23"/>
        <v>62604.959447167494</v>
      </c>
      <c r="AK18" s="4">
        <f t="shared" si="23"/>
        <v>68865.455391884243</v>
      </c>
      <c r="AL18" s="4">
        <f t="shared" si="23"/>
        <v>75752.000931072675</v>
      </c>
      <c r="AM18" s="4">
        <f t="shared" si="23"/>
        <v>83327.201024179943</v>
      </c>
    </row>
    <row r="19" spans="1:127" x14ac:dyDescent="0.3">
      <c r="A19" s="5" t="s">
        <v>25</v>
      </c>
      <c r="D19" s="1">
        <v>10964</v>
      </c>
      <c r="E19" s="1">
        <v>9705</v>
      </c>
      <c r="F19" s="4">
        <v>9941</v>
      </c>
      <c r="G19" s="4">
        <v>8634</v>
      </c>
      <c r="H19" s="4">
        <v>11551</v>
      </c>
      <c r="I19" s="4">
        <v>10065</v>
      </c>
      <c r="J19" s="4">
        <v>12619</v>
      </c>
      <c r="K19" s="4">
        <v>10316</v>
      </c>
      <c r="L19" s="4">
        <v>14034</v>
      </c>
      <c r="M19" s="4">
        <v>13620</v>
      </c>
      <c r="N19" s="4">
        <v>14625</v>
      </c>
      <c r="O19" s="4">
        <v>13258</v>
      </c>
      <c r="P19" s="4">
        <v>14715</v>
      </c>
      <c r="Q19" s="4">
        <v>13476</v>
      </c>
      <c r="R19" s="4">
        <v>12301</v>
      </c>
      <c r="AA19" s="4">
        <f t="shared" ref="AA19:AA25" si="24">SUM(F19:I19)</f>
        <v>40191</v>
      </c>
      <c r="AB19" s="4">
        <f t="shared" si="21"/>
        <v>50589</v>
      </c>
      <c r="AC19" s="4">
        <f t="shared" si="22"/>
        <v>56074</v>
      </c>
      <c r="AD19" s="4">
        <f t="shared" ref="AD19:AD25" si="25">1.08*AC19</f>
        <v>60559.920000000006</v>
      </c>
      <c r="AE19" s="4">
        <f>1.08*AD19</f>
        <v>65404.71360000001</v>
      </c>
      <c r="AF19" s="4">
        <f>1.08*AE19</f>
        <v>70637.090688000011</v>
      </c>
      <c r="AG19" s="4">
        <f t="shared" ref="AG19:AM19" si="26">1.08*AF19</f>
        <v>76288.05794304001</v>
      </c>
      <c r="AH19" s="4">
        <f t="shared" si="26"/>
        <v>82391.102578483216</v>
      </c>
      <c r="AI19" s="4">
        <f t="shared" si="26"/>
        <v>88982.390784761883</v>
      </c>
      <c r="AJ19" s="4">
        <f t="shared" si="26"/>
        <v>96100.982047542842</v>
      </c>
      <c r="AK19" s="4">
        <f t="shared" si="26"/>
        <v>103789.06061134627</v>
      </c>
      <c r="AL19" s="4">
        <f t="shared" si="26"/>
        <v>112092.18546025398</v>
      </c>
      <c r="AM19" s="4">
        <f t="shared" si="26"/>
        <v>121059.56029707431</v>
      </c>
    </row>
    <row r="20" spans="1:127" x14ac:dyDescent="0.3">
      <c r="A20" s="1" t="s">
        <v>20</v>
      </c>
      <c r="D20" s="1">
        <v>5620</v>
      </c>
      <c r="E20" s="1">
        <v>7673</v>
      </c>
      <c r="F20" s="4">
        <v>5308</v>
      </c>
      <c r="G20" s="4">
        <v>8797</v>
      </c>
      <c r="H20" s="4">
        <v>5893</v>
      </c>
      <c r="I20" s="4">
        <v>7022</v>
      </c>
      <c r="J20" s="4">
        <v>7186</v>
      </c>
      <c r="K20" s="4">
        <v>9642</v>
      </c>
      <c r="L20" s="4">
        <v>5980</v>
      </c>
      <c r="M20" s="4">
        <v>9266</v>
      </c>
      <c r="N20" s="4">
        <v>9142</v>
      </c>
      <c r="O20" s="4">
        <v>12056</v>
      </c>
      <c r="P20" s="4">
        <v>9594</v>
      </c>
      <c r="Q20" s="4">
        <v>11414</v>
      </c>
      <c r="R20" s="4">
        <v>10010</v>
      </c>
      <c r="AA20" s="4">
        <f t="shared" si="24"/>
        <v>27020</v>
      </c>
      <c r="AB20" s="4">
        <f t="shared" si="21"/>
        <v>32074</v>
      </c>
      <c r="AC20" s="4">
        <f t="shared" si="22"/>
        <v>42206</v>
      </c>
      <c r="AD20" s="4">
        <f t="shared" si="25"/>
        <v>45582.48</v>
      </c>
      <c r="AE20" s="4">
        <f t="shared" ref="AE20:AM25" si="27">1.08*AD20</f>
        <v>49229.078400000006</v>
      </c>
      <c r="AF20" s="4">
        <f t="shared" si="27"/>
        <v>53167.404672000011</v>
      </c>
      <c r="AG20" s="4">
        <f t="shared" si="27"/>
        <v>57420.797045760017</v>
      </c>
      <c r="AH20" s="4">
        <f t="shared" si="27"/>
        <v>62014.460809420823</v>
      </c>
      <c r="AI20" s="4">
        <f t="shared" si="27"/>
        <v>66975.6176741745</v>
      </c>
      <c r="AJ20" s="4">
        <f t="shared" si="27"/>
        <v>72333.667088108472</v>
      </c>
      <c r="AK20" s="4">
        <f t="shared" si="27"/>
        <v>78120.360455157148</v>
      </c>
      <c r="AL20" s="4">
        <f t="shared" si="27"/>
        <v>84369.989291569727</v>
      </c>
      <c r="AM20" s="4">
        <f t="shared" si="27"/>
        <v>91119.588434895311</v>
      </c>
    </row>
    <row r="21" spans="1:127" s="8" customFormat="1" x14ac:dyDescent="0.3">
      <c r="A21" s="8" t="s">
        <v>34</v>
      </c>
      <c r="D21" s="9">
        <f>D17-SUM(D18:D20)</f>
        <v>8457</v>
      </c>
      <c r="E21" s="9">
        <f t="shared" ref="E21:Q21" si="28">E17-SUM(E18:E20)</f>
        <v>10093</v>
      </c>
      <c r="F21" s="9">
        <f t="shared" si="28"/>
        <v>6973</v>
      </c>
      <c r="G21" s="9">
        <f t="shared" si="28"/>
        <v>14420</v>
      </c>
      <c r="H21" s="9">
        <f t="shared" si="28"/>
        <v>9946</v>
      </c>
      <c r="I21" s="9">
        <f t="shared" si="28"/>
        <v>10860</v>
      </c>
      <c r="J21" s="9">
        <f t="shared" si="28"/>
        <v>15125</v>
      </c>
      <c r="K21" s="9">
        <f t="shared" si="28"/>
        <v>17587</v>
      </c>
      <c r="L21" s="9">
        <f t="shared" si="28"/>
        <v>10997</v>
      </c>
      <c r="M21" s="9">
        <f t="shared" si="28"/>
        <v>14876</v>
      </c>
      <c r="N21" s="9">
        <f t="shared" si="28"/>
        <v>13714</v>
      </c>
      <c r="O21" s="9">
        <f t="shared" si="28"/>
        <v>20615</v>
      </c>
      <c r="P21" s="9">
        <f t="shared" si="28"/>
        <v>10831</v>
      </c>
      <c r="Q21" s="9">
        <f t="shared" si="28"/>
        <v>25151</v>
      </c>
      <c r="R21" s="9">
        <f>R17-SUM(R18:R20)</f>
        <v>16801</v>
      </c>
      <c r="AA21" s="9">
        <f t="shared" ref="AA21:AM21" si="29">AA17-SUM(AA18:AA20)</f>
        <v>42199</v>
      </c>
      <c r="AB21" s="9">
        <f t="shared" si="29"/>
        <v>58585</v>
      </c>
      <c r="AC21" s="9">
        <f t="shared" si="29"/>
        <v>70311</v>
      </c>
      <c r="AD21" s="9">
        <f t="shared" si="29"/>
        <v>82331.559999999969</v>
      </c>
      <c r="AE21" s="9">
        <f t="shared" si="29"/>
        <v>105645.14874999996</v>
      </c>
      <c r="AF21" s="9">
        <f t="shared" si="29"/>
        <v>118502.33946499997</v>
      </c>
      <c r="AG21" s="9">
        <f t="shared" si="29"/>
        <v>132828.66331869992</v>
      </c>
      <c r="AH21" s="9">
        <f t="shared" si="29"/>
        <v>148785.70675034591</v>
      </c>
      <c r="AI21" s="9">
        <f t="shared" si="29"/>
        <v>166552.38869313861</v>
      </c>
      <c r="AJ21" s="9">
        <f t="shared" si="29"/>
        <v>186326.78773163114</v>
      </c>
      <c r="AK21" s="9">
        <f t="shared" si="29"/>
        <v>208328.15948750728</v>
      </c>
      <c r="AL21" s="9">
        <f t="shared" si="29"/>
        <v>232799.16385758808</v>
      </c>
      <c r="AM21" s="9">
        <f t="shared" si="29"/>
        <v>260008.32373838336</v>
      </c>
      <c r="AN21" s="1"/>
      <c r="AT21" s="1"/>
    </row>
    <row r="22" spans="1:127" x14ac:dyDescent="0.3">
      <c r="A22" s="1" t="s">
        <v>15</v>
      </c>
      <c r="D22" s="1">
        <v>3968</v>
      </c>
      <c r="E22" s="1">
        <v>3681</v>
      </c>
      <c r="F22" s="4">
        <v>4039</v>
      </c>
      <c r="G22" s="4">
        <v>4353</v>
      </c>
      <c r="H22" s="4">
        <v>4526</v>
      </c>
      <c r="I22" s="4">
        <v>4297</v>
      </c>
      <c r="J22" s="4">
        <v>4454</v>
      </c>
      <c r="K22" s="4">
        <v>4781</v>
      </c>
      <c r="L22" s="4">
        <v>4963</v>
      </c>
      <c r="M22" s="4">
        <v>4724</v>
      </c>
      <c r="N22" s="4">
        <v>4555</v>
      </c>
      <c r="O22" s="4">
        <v>4734</v>
      </c>
      <c r="P22" s="4">
        <v>5195</v>
      </c>
      <c r="Q22" s="4">
        <v>4557</v>
      </c>
      <c r="R22" s="4">
        <v>5476</v>
      </c>
      <c r="AA22" s="4">
        <f t="shared" si="24"/>
        <v>17215</v>
      </c>
      <c r="AB22" s="4">
        <f t="shared" si="21"/>
        <v>18922</v>
      </c>
      <c r="AC22" s="4">
        <f t="shared" si="22"/>
        <v>19041</v>
      </c>
      <c r="AD22" s="4">
        <f t="shared" si="25"/>
        <v>20564.280000000002</v>
      </c>
      <c r="AE22" s="4">
        <f t="shared" si="27"/>
        <v>22209.422400000003</v>
      </c>
      <c r="AF22" s="4">
        <f t="shared" si="27"/>
        <v>23986.176192000006</v>
      </c>
      <c r="AG22" s="4">
        <f t="shared" si="27"/>
        <v>25905.070287360009</v>
      </c>
      <c r="AH22" s="4">
        <f t="shared" si="27"/>
        <v>27977.47591034881</v>
      </c>
      <c r="AI22" s="4">
        <f t="shared" si="27"/>
        <v>30215.673983176719</v>
      </c>
      <c r="AJ22" s="4">
        <f t="shared" si="27"/>
        <v>32632.927901830859</v>
      </c>
      <c r="AK22" s="4">
        <f t="shared" si="27"/>
        <v>35243.562133977328</v>
      </c>
      <c r="AL22" s="4">
        <f t="shared" si="27"/>
        <v>38063.047104695514</v>
      </c>
      <c r="AM22" s="4">
        <f t="shared" si="27"/>
        <v>41108.09087307116</v>
      </c>
      <c r="AR22"/>
    </row>
    <row r="23" spans="1:127" x14ac:dyDescent="0.3">
      <c r="A23" s="1" t="s">
        <v>16</v>
      </c>
      <c r="D23" s="1">
        <v>35</v>
      </c>
      <c r="E23" s="1">
        <v>47</v>
      </c>
      <c r="F23" s="4">
        <v>56</v>
      </c>
      <c r="G23" s="4">
        <v>59</v>
      </c>
      <c r="H23" s="4">
        <v>60</v>
      </c>
      <c r="I23" s="4">
        <v>128</v>
      </c>
      <c r="J23" s="4">
        <v>44</v>
      </c>
      <c r="K23" s="4">
        <v>132</v>
      </c>
      <c r="L23" s="4">
        <v>37</v>
      </c>
      <c r="M23" s="4">
        <v>74</v>
      </c>
      <c r="N23" s="4">
        <v>34</v>
      </c>
      <c r="O23" s="4">
        <v>45</v>
      </c>
      <c r="P23" s="4">
        <v>29</v>
      </c>
      <c r="Q23" s="4">
        <v>302</v>
      </c>
      <c r="R23" s="4">
        <v>47</v>
      </c>
      <c r="AA23" s="4">
        <f t="shared" si="24"/>
        <v>303</v>
      </c>
      <c r="AB23" s="4">
        <f t="shared" si="21"/>
        <v>287</v>
      </c>
      <c r="AC23" s="4">
        <f t="shared" si="22"/>
        <v>410</v>
      </c>
      <c r="AD23" s="4">
        <f t="shared" si="25"/>
        <v>442.8</v>
      </c>
      <c r="AE23" s="4">
        <f t="shared" si="27"/>
        <v>478.22400000000005</v>
      </c>
      <c r="AF23" s="4">
        <f t="shared" si="27"/>
        <v>516.48192000000006</v>
      </c>
      <c r="AG23" s="4">
        <f t="shared" si="27"/>
        <v>557.80047360000015</v>
      </c>
      <c r="AH23" s="4">
        <f t="shared" si="27"/>
        <v>602.42451148800023</v>
      </c>
      <c r="AI23" s="4">
        <f t="shared" si="27"/>
        <v>650.61847240704026</v>
      </c>
      <c r="AJ23" s="4">
        <f t="shared" si="27"/>
        <v>702.66795019960352</v>
      </c>
      <c r="AK23" s="4">
        <f t="shared" si="27"/>
        <v>758.88138621557187</v>
      </c>
      <c r="AL23" s="4">
        <f t="shared" si="27"/>
        <v>819.59189711281772</v>
      </c>
      <c r="AM23" s="4">
        <f t="shared" si="27"/>
        <v>885.15924888184315</v>
      </c>
    </row>
    <row r="24" spans="1:127" x14ac:dyDescent="0.3">
      <c r="A24" s="1" t="s">
        <v>17</v>
      </c>
      <c r="D24" s="1">
        <v>616</v>
      </c>
      <c r="E24" s="1">
        <v>581</v>
      </c>
      <c r="F24" s="4">
        <v>545</v>
      </c>
      <c r="G24" s="4">
        <v>540</v>
      </c>
      <c r="H24" s="4">
        <v>799</v>
      </c>
      <c r="I24" s="4">
        <v>788</v>
      </c>
      <c r="J24" s="4">
        <v>787</v>
      </c>
      <c r="K24" s="4">
        <v>798</v>
      </c>
      <c r="L24" s="4">
        <v>761</v>
      </c>
      <c r="M24" s="4">
        <v>538</v>
      </c>
      <c r="N24" s="4">
        <v>639</v>
      </c>
      <c r="O24" s="4">
        <v>543</v>
      </c>
      <c r="P24" s="4">
        <v>541</v>
      </c>
      <c r="Q24" s="4">
        <v>556</v>
      </c>
      <c r="R24" s="4">
        <v>604</v>
      </c>
      <c r="AA24" s="4">
        <f t="shared" si="24"/>
        <v>2672</v>
      </c>
      <c r="AB24" s="4">
        <f t="shared" si="21"/>
        <v>2884</v>
      </c>
      <c r="AC24" s="4">
        <f t="shared" si="22"/>
        <v>2279</v>
      </c>
      <c r="AD24" s="4">
        <f>0.02*AD17</f>
        <v>4711.8490000000002</v>
      </c>
      <c r="AE24" s="13">
        <f>0.015*AE17</f>
        <v>3887.2754249999994</v>
      </c>
      <c r="AF24" s="13">
        <f t="shared" ref="AF24:AM24" si="30">0.015*AF17</f>
        <v>4276.0029674999996</v>
      </c>
      <c r="AG24" s="13">
        <f t="shared" si="30"/>
        <v>4703.6032642499986</v>
      </c>
      <c r="AH24" s="13">
        <f t="shared" si="30"/>
        <v>5173.9635906749991</v>
      </c>
      <c r="AI24" s="13">
        <f t="shared" si="30"/>
        <v>5691.3599497424993</v>
      </c>
      <c r="AJ24" s="13">
        <f t="shared" si="30"/>
        <v>6260.4959447167494</v>
      </c>
      <c r="AK24" s="13">
        <f t="shared" si="30"/>
        <v>6886.5455391884243</v>
      </c>
      <c r="AL24" s="13">
        <f t="shared" si="30"/>
        <v>7575.2000931072671</v>
      </c>
      <c r="AM24" s="13">
        <f t="shared" si="30"/>
        <v>8332.720102417994</v>
      </c>
    </row>
    <row r="25" spans="1:127" x14ac:dyDescent="0.3">
      <c r="A25" s="1" t="s">
        <v>12</v>
      </c>
      <c r="D25" s="1">
        <v>1630</v>
      </c>
      <c r="E25" s="1">
        <v>2441</v>
      </c>
      <c r="F25" s="4">
        <v>2580</v>
      </c>
      <c r="G25" s="4">
        <v>3589</v>
      </c>
      <c r="H25" s="4">
        <v>2694</v>
      </c>
      <c r="I25" s="4">
        <v>3297</v>
      </c>
      <c r="J25" s="4">
        <v>5130</v>
      </c>
      <c r="K25" s="4">
        <v>5370</v>
      </c>
      <c r="L25" s="4">
        <v>2494</v>
      </c>
      <c r="M25" s="4">
        <v>3433</v>
      </c>
      <c r="N25" s="4">
        <v>4603</v>
      </c>
      <c r="O25" s="4">
        <v>5249</v>
      </c>
      <c r="P25" s="4">
        <v>3570</v>
      </c>
      <c r="Q25" s="4">
        <v>4518</v>
      </c>
      <c r="R25" s="4">
        <v>4309</v>
      </c>
      <c r="AA25" s="4">
        <f t="shared" si="24"/>
        <v>12160</v>
      </c>
      <c r="AB25" s="4">
        <f t="shared" si="21"/>
        <v>16427</v>
      </c>
      <c r="AC25" s="4">
        <f t="shared" si="22"/>
        <v>17940</v>
      </c>
      <c r="AD25" s="4">
        <f t="shared" si="25"/>
        <v>19375.2</v>
      </c>
      <c r="AE25" s="4">
        <f t="shared" si="27"/>
        <v>20925.216</v>
      </c>
      <c r="AF25" s="4">
        <f t="shared" si="27"/>
        <v>22599.23328</v>
      </c>
      <c r="AG25" s="4">
        <f t="shared" si="27"/>
        <v>24407.1719424</v>
      </c>
      <c r="AH25" s="4">
        <f t="shared" si="27"/>
        <v>26359.745697792001</v>
      </c>
      <c r="AI25" s="4">
        <f t="shared" si="27"/>
        <v>28468.525353615361</v>
      </c>
      <c r="AJ25" s="4">
        <f t="shared" si="27"/>
        <v>30746.007381904594</v>
      </c>
      <c r="AK25" s="4">
        <f t="shared" si="27"/>
        <v>33205.687972456966</v>
      </c>
      <c r="AL25" s="4">
        <f t="shared" si="27"/>
        <v>35862.143010253523</v>
      </c>
      <c r="AM25" s="4">
        <f t="shared" si="27"/>
        <v>38731.114451073809</v>
      </c>
    </row>
    <row r="26" spans="1:127" x14ac:dyDescent="0.3">
      <c r="A26" s="8" t="s">
        <v>18</v>
      </c>
      <c r="B26" s="8"/>
      <c r="C26" s="8"/>
      <c r="D26" s="9">
        <f>D18+D19+D20+D22+D23+D24+D25</f>
        <v>27373</v>
      </c>
      <c r="E26" s="9">
        <f>E18+E19+E20+E22+E23+E24+E25</f>
        <v>30740</v>
      </c>
      <c r="F26" s="9">
        <f>F18+F19+F20+F22+F23+F24+F25</f>
        <v>27790</v>
      </c>
      <c r="G26" s="9">
        <f>G18+G19+G20+G22+G23+G24+G25</f>
        <v>34734</v>
      </c>
      <c r="H26" s="9">
        <f>H18+H19+H20+H22+H23+H24+H25</f>
        <v>32942</v>
      </c>
      <c r="I26" s="9">
        <f t="shared" ref="I26:R26" si="31">I18+I19+I20+I22+I23+I24+I25</f>
        <v>36329</v>
      </c>
      <c r="J26" s="9">
        <f t="shared" si="31"/>
        <v>38660</v>
      </c>
      <c r="K26" s="9">
        <f t="shared" si="31"/>
        <v>41093</v>
      </c>
      <c r="L26" s="9">
        <f t="shared" si="31"/>
        <v>38426</v>
      </c>
      <c r="M26" s="9">
        <f t="shared" si="31"/>
        <v>40425</v>
      </c>
      <c r="N26" s="9">
        <f t="shared" si="31"/>
        <v>42113</v>
      </c>
      <c r="O26" s="9">
        <f t="shared" si="31"/>
        <v>45164</v>
      </c>
      <c r="P26" s="9">
        <f t="shared" si="31"/>
        <v>44419</v>
      </c>
      <c r="Q26" s="9">
        <f t="shared" si="31"/>
        <v>42526</v>
      </c>
      <c r="R26" s="9">
        <f t="shared" si="31"/>
        <v>42817</v>
      </c>
      <c r="S26" s="8"/>
      <c r="T26" s="8"/>
      <c r="U26" s="8"/>
      <c r="V26" s="8"/>
      <c r="W26" s="8"/>
      <c r="X26" s="8"/>
      <c r="Y26" s="8"/>
      <c r="Z26" s="8"/>
      <c r="AA26" s="9">
        <f t="shared" ref="AA26:AD26" si="32">AA18+AA19+AA20+AA22+AA23+AA24+AA25</f>
        <v>131795</v>
      </c>
      <c r="AB26" s="9">
        <f t="shared" si="32"/>
        <v>158604</v>
      </c>
      <c r="AC26" s="9">
        <f t="shared" si="32"/>
        <v>174222</v>
      </c>
      <c r="AD26" s="9">
        <f t="shared" si="32"/>
        <v>198355.019</v>
      </c>
      <c r="AE26" s="9">
        <f>AE18+AE19+AE20+AE22+AE23+AE24+AE25</f>
        <v>201006.684075</v>
      </c>
      <c r="AF26" s="9">
        <f t="shared" ref="AF26:AM26" si="33">AF18+AF19+AF20+AF22+AF23+AF24+AF25</f>
        <v>217942.41939450003</v>
      </c>
      <c r="AG26" s="9">
        <f t="shared" si="33"/>
        <v>236318.53359891</v>
      </c>
      <c r="AH26" s="9">
        <f t="shared" si="33"/>
        <v>256258.80900495788</v>
      </c>
      <c r="AI26" s="9">
        <f t="shared" si="33"/>
        <v>277897.78571530298</v>
      </c>
      <c r="AJ26" s="9">
        <f t="shared" si="33"/>
        <v>301381.70776147064</v>
      </c>
      <c r="AK26" s="9">
        <f t="shared" si="33"/>
        <v>326869.55349022598</v>
      </c>
      <c r="AL26" s="9">
        <f t="shared" si="33"/>
        <v>354534.15778806549</v>
      </c>
      <c r="AM26" s="9">
        <f t="shared" si="33"/>
        <v>384563.43443159439</v>
      </c>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row>
    <row r="27" spans="1:127" x14ac:dyDescent="0.3">
      <c r="A27" s="1" t="s">
        <v>21</v>
      </c>
      <c r="D27" s="4">
        <f t="shared" ref="D27:R27" si="34">D17-D26</f>
        <v>2208</v>
      </c>
      <c r="E27" s="4">
        <f t="shared" si="34"/>
        <v>3343</v>
      </c>
      <c r="F27" s="4">
        <f t="shared" si="34"/>
        <v>-247</v>
      </c>
      <c r="G27" s="4">
        <f t="shared" si="34"/>
        <v>5879</v>
      </c>
      <c r="H27" s="4">
        <f t="shared" si="34"/>
        <v>1867</v>
      </c>
      <c r="I27" s="4">
        <f t="shared" si="34"/>
        <v>2350</v>
      </c>
      <c r="J27" s="4">
        <f t="shared" si="34"/>
        <v>4710</v>
      </c>
      <c r="K27" s="4">
        <f t="shared" si="34"/>
        <v>6506</v>
      </c>
      <c r="L27" s="4">
        <f t="shared" si="34"/>
        <v>2742</v>
      </c>
      <c r="M27" s="4">
        <f t="shared" si="34"/>
        <v>6107</v>
      </c>
      <c r="N27" s="4">
        <f t="shared" si="34"/>
        <v>3883</v>
      </c>
      <c r="O27" s="4">
        <f t="shared" si="34"/>
        <v>10044</v>
      </c>
      <c r="P27" s="4">
        <f t="shared" si="34"/>
        <v>1496</v>
      </c>
      <c r="Q27" s="4">
        <f t="shared" si="34"/>
        <v>15218</v>
      </c>
      <c r="R27" s="4">
        <f t="shared" si="34"/>
        <v>6365</v>
      </c>
      <c r="AA27" s="4">
        <f t="shared" ref="AA27" si="35">AA17-AA26</f>
        <v>9849</v>
      </c>
      <c r="AB27" s="4">
        <f t="shared" ref="AB27" si="36">AB17-AB26</f>
        <v>20065</v>
      </c>
      <c r="AC27" s="4">
        <f t="shared" ref="AC27:AD27" si="37">AC17-AC26</f>
        <v>30641</v>
      </c>
      <c r="AD27" s="4">
        <f t="shared" si="37"/>
        <v>37237.430999999982</v>
      </c>
      <c r="AE27" s="4">
        <f>AE17-AE26</f>
        <v>58145.01092499998</v>
      </c>
      <c r="AF27" s="4">
        <f t="shared" ref="AF27:AM27" si="38">AF17-AF26</f>
        <v>67124.445105499937</v>
      </c>
      <c r="AG27" s="4">
        <f t="shared" si="38"/>
        <v>77255.017351089948</v>
      </c>
      <c r="AH27" s="4">
        <f t="shared" si="38"/>
        <v>88672.097040042077</v>
      </c>
      <c r="AI27" s="4">
        <f t="shared" si="38"/>
        <v>101526.21093419701</v>
      </c>
      <c r="AJ27" s="4">
        <f t="shared" si="38"/>
        <v>115984.68855297932</v>
      </c>
      <c r="AK27" s="4">
        <f t="shared" si="38"/>
        <v>132233.48245566897</v>
      </c>
      <c r="AL27" s="4">
        <f t="shared" si="38"/>
        <v>150479.18175241898</v>
      </c>
      <c r="AM27" s="4">
        <f t="shared" si="38"/>
        <v>170951.23906293855</v>
      </c>
    </row>
    <row r="28" spans="1:127" x14ac:dyDescent="0.3">
      <c r="A28" s="1" t="s">
        <v>22</v>
      </c>
      <c r="D28" s="1">
        <f>927-19</f>
        <v>908</v>
      </c>
      <c r="E28" s="1">
        <f>1105+36</f>
        <v>1141</v>
      </c>
      <c r="F28" s="4">
        <v>540</v>
      </c>
      <c r="G28" s="4">
        <f>1094-20</f>
        <v>1074</v>
      </c>
      <c r="H28" s="4">
        <f>890-40</f>
        <v>850</v>
      </c>
      <c r="I28" s="4">
        <f>1055+93</f>
        <v>1148</v>
      </c>
      <c r="J28" s="4">
        <f>1218-165</f>
        <v>1053</v>
      </c>
      <c r="K28" s="4">
        <f>1714-274</f>
        <v>1440</v>
      </c>
      <c r="L28" s="4">
        <f>1542+42</f>
        <v>1584</v>
      </c>
      <c r="M28" s="4">
        <f>1778-121</f>
        <v>1657</v>
      </c>
      <c r="N28" s="4">
        <f>1629-225</f>
        <v>1404</v>
      </c>
      <c r="O28" s="4">
        <f>1801-104</f>
        <v>1697</v>
      </c>
      <c r="P28" s="4">
        <f>1601-18</f>
        <v>1583</v>
      </c>
      <c r="Q28" s="4">
        <f>2493+176</f>
        <v>2669</v>
      </c>
      <c r="R28" s="4">
        <f>1778-149</f>
        <v>1629</v>
      </c>
      <c r="AA28" s="4">
        <f>SUM(F28:I28)</f>
        <v>3612</v>
      </c>
      <c r="AB28" s="4">
        <f>SUM(J28:M28)</f>
        <v>5734</v>
      </c>
      <c r="AC28" s="4">
        <f>SUM(N28:Q28)</f>
        <v>7353</v>
      </c>
      <c r="AD28" s="4">
        <f>0.25*AD27</f>
        <v>9309.3577499999956</v>
      </c>
      <c r="AE28" s="4">
        <f>0.25*AE27</f>
        <v>14536.252731249995</v>
      </c>
      <c r="AF28" s="4">
        <f t="shared" ref="AF28:AM28" si="39">0.25*AF27</f>
        <v>16781.111276374984</v>
      </c>
      <c r="AG28" s="4">
        <f t="shared" si="39"/>
        <v>19313.754337772487</v>
      </c>
      <c r="AH28" s="4">
        <f t="shared" si="39"/>
        <v>22168.024260010519</v>
      </c>
      <c r="AI28" s="4">
        <f t="shared" si="39"/>
        <v>25381.552733549252</v>
      </c>
      <c r="AJ28" s="4">
        <f t="shared" si="39"/>
        <v>28996.17213824483</v>
      </c>
      <c r="AK28" s="4">
        <f t="shared" si="39"/>
        <v>33058.370613917243</v>
      </c>
      <c r="AL28" s="4">
        <f t="shared" si="39"/>
        <v>37619.795438104746</v>
      </c>
      <c r="AM28" s="4">
        <f t="shared" si="39"/>
        <v>42737.809765734637</v>
      </c>
    </row>
    <row r="29" spans="1:127" x14ac:dyDescent="0.3">
      <c r="A29" s="8" t="s">
        <v>23</v>
      </c>
      <c r="B29" s="8"/>
      <c r="C29" s="8"/>
      <c r="D29" s="9">
        <f>D27-D28-D34</f>
        <v>2622</v>
      </c>
      <c r="E29" s="9">
        <f>E27-E28-E34</f>
        <v>3185</v>
      </c>
      <c r="F29" s="9">
        <f>F27-F28-F34</f>
        <v>1605</v>
      </c>
      <c r="G29" s="9">
        <f t="shared" ref="G29:R29" si="40">G27-G28-G34</f>
        <v>3230</v>
      </c>
      <c r="H29" s="9">
        <f t="shared" si="40"/>
        <v>2484</v>
      </c>
      <c r="I29" s="9">
        <f t="shared" si="40"/>
        <v>3292</v>
      </c>
      <c r="J29" s="9">
        <f t="shared" si="40"/>
        <v>3025</v>
      </c>
      <c r="K29" s="9">
        <f t="shared" si="40"/>
        <v>3847</v>
      </c>
      <c r="L29" s="9">
        <f t="shared" si="40"/>
        <v>4627</v>
      </c>
      <c r="M29" s="9">
        <f t="shared" si="40"/>
        <v>5160</v>
      </c>
      <c r="N29" s="9">
        <f t="shared" si="40"/>
        <v>4240</v>
      </c>
      <c r="O29" s="9">
        <f t="shared" si="40"/>
        <v>5420</v>
      </c>
      <c r="P29" s="9">
        <f t="shared" si="40"/>
        <v>4634</v>
      </c>
      <c r="Q29" s="9">
        <f t="shared" si="40"/>
        <v>8964</v>
      </c>
      <c r="R29" s="9">
        <f t="shared" si="40"/>
        <v>5243</v>
      </c>
      <c r="S29" s="8"/>
      <c r="T29" s="8"/>
      <c r="U29" s="8"/>
      <c r="V29" s="8"/>
      <c r="W29" s="8"/>
      <c r="X29" s="8"/>
      <c r="Y29" s="8"/>
      <c r="Z29" s="8"/>
      <c r="AA29" s="9">
        <f t="shared" ref="AA29" si="41">AA27-AA28-AA34</f>
        <v>10611</v>
      </c>
      <c r="AB29" s="9">
        <f t="shared" ref="AB29" si="42">AB27-AB28-AB34</f>
        <v>16659</v>
      </c>
      <c r="AC29" s="9">
        <f t="shared" ref="AC29:AD29" si="43">AC27-AC28-AC34</f>
        <v>23258</v>
      </c>
      <c r="AD29" s="9">
        <f t="shared" si="43"/>
        <v>27928.073249999987</v>
      </c>
      <c r="AE29" s="9">
        <f>AE27-AE28</f>
        <v>43608.758193749985</v>
      </c>
      <c r="AF29" s="9">
        <f t="shared" ref="AF29:AM29" si="44">AF27-AF28</f>
        <v>50343.333829124953</v>
      </c>
      <c r="AG29" s="9">
        <f t="shared" si="44"/>
        <v>57941.263013317461</v>
      </c>
      <c r="AH29" s="9">
        <f t="shared" si="44"/>
        <v>66504.072780031565</v>
      </c>
      <c r="AI29" s="9">
        <f t="shared" si="44"/>
        <v>76144.658200647755</v>
      </c>
      <c r="AJ29" s="9">
        <f t="shared" si="44"/>
        <v>86988.516414734491</v>
      </c>
      <c r="AK29" s="9">
        <f t="shared" si="44"/>
        <v>99175.111841751728</v>
      </c>
      <c r="AL29" s="9">
        <f t="shared" si="44"/>
        <v>112859.38631431424</v>
      </c>
      <c r="AM29" s="9">
        <f t="shared" si="44"/>
        <v>128213.42929720391</v>
      </c>
      <c r="AN29" s="27">
        <f t="shared" ref="AN29:BS29" si="45">$AR$42*AM29+AM29</f>
        <v>126931.29500423187</v>
      </c>
      <c r="AO29" s="28">
        <f t="shared" si="45"/>
        <v>125661.98205418955</v>
      </c>
      <c r="AP29" s="28">
        <f t="shared" si="45"/>
        <v>124405.36223364765</v>
      </c>
      <c r="AQ29" s="28">
        <f t="shared" si="45"/>
        <v>123161.30861131118</v>
      </c>
      <c r="AR29" s="28">
        <f t="shared" si="45"/>
        <v>121929.69552519807</v>
      </c>
      <c r="AS29" s="28">
        <f t="shared" si="45"/>
        <v>120710.39856994609</v>
      </c>
      <c r="AT29" s="28">
        <f t="shared" si="45"/>
        <v>119503.29458424663</v>
      </c>
      <c r="AU29" s="28">
        <f t="shared" si="45"/>
        <v>118308.26163840416</v>
      </c>
      <c r="AV29" s="28">
        <f t="shared" si="45"/>
        <v>117125.17902202012</v>
      </c>
      <c r="AW29" s="28">
        <f t="shared" si="45"/>
        <v>115953.92723179993</v>
      </c>
      <c r="AX29" s="28">
        <f t="shared" si="45"/>
        <v>114794.38795948193</v>
      </c>
      <c r="AY29" s="28">
        <f t="shared" si="45"/>
        <v>113646.44407988711</v>
      </c>
      <c r="AZ29" s="28">
        <f t="shared" si="45"/>
        <v>112509.97963908824</v>
      </c>
      <c r="BA29" s="28">
        <f t="shared" si="45"/>
        <v>111384.87984269735</v>
      </c>
      <c r="BB29" s="28">
        <f t="shared" si="45"/>
        <v>110271.03104427038</v>
      </c>
      <c r="BC29" s="28">
        <f t="shared" si="45"/>
        <v>109168.32073382767</v>
      </c>
      <c r="BD29" s="28">
        <f t="shared" si="45"/>
        <v>108076.63752648939</v>
      </c>
      <c r="BE29" s="28">
        <f t="shared" si="45"/>
        <v>106995.87115122449</v>
      </c>
      <c r="BF29" s="28">
        <f t="shared" si="45"/>
        <v>105925.91243971225</v>
      </c>
      <c r="BG29" s="28">
        <f t="shared" si="45"/>
        <v>104866.65331531512</v>
      </c>
      <c r="BH29" s="28">
        <f t="shared" si="45"/>
        <v>103817.98678216197</v>
      </c>
      <c r="BI29" s="28">
        <f t="shared" si="45"/>
        <v>102779.80691434036</v>
      </c>
      <c r="BJ29" s="28">
        <f t="shared" si="45"/>
        <v>101752.00884519695</v>
      </c>
      <c r="BK29" s="28">
        <f t="shared" si="45"/>
        <v>100734.48875674498</v>
      </c>
      <c r="BL29" s="28">
        <f t="shared" si="45"/>
        <v>99727.143869177526</v>
      </c>
      <c r="BM29" s="28">
        <f t="shared" si="45"/>
        <v>98729.872430485746</v>
      </c>
      <c r="BN29" s="28">
        <f t="shared" si="45"/>
        <v>97742.57370618089</v>
      </c>
      <c r="BO29" s="28">
        <f t="shared" si="45"/>
        <v>96765.147969119076</v>
      </c>
      <c r="BP29" s="28">
        <f t="shared" si="45"/>
        <v>95797.496489427882</v>
      </c>
      <c r="BQ29" s="28">
        <f t="shared" si="45"/>
        <v>94839.5215245336</v>
      </c>
      <c r="BR29" s="28">
        <f t="shared" si="45"/>
        <v>93891.126309288258</v>
      </c>
      <c r="BS29" s="28">
        <f t="shared" si="45"/>
        <v>92952.215046195372</v>
      </c>
      <c r="BT29" s="28">
        <f t="shared" ref="BT29:CY29" si="46">$AR$42*BS29+BS29</f>
        <v>92022.692895733417</v>
      </c>
      <c r="BU29" s="28">
        <f t="shared" si="46"/>
        <v>91102.465966776086</v>
      </c>
      <c r="BV29" s="28">
        <f t="shared" si="46"/>
        <v>90191.441307108325</v>
      </c>
      <c r="BW29" s="28">
        <f t="shared" si="46"/>
        <v>89289.526894037248</v>
      </c>
      <c r="BX29" s="28">
        <f t="shared" si="46"/>
        <v>88396.631625096881</v>
      </c>
      <c r="BY29" s="28">
        <f t="shared" si="46"/>
        <v>87512.665308845913</v>
      </c>
      <c r="BZ29" s="28">
        <f t="shared" si="46"/>
        <v>86637.538655757453</v>
      </c>
      <c r="CA29" s="28">
        <f t="shared" si="46"/>
        <v>85771.163269199882</v>
      </c>
      <c r="CB29" s="28">
        <f t="shared" si="46"/>
        <v>84913.451636507889</v>
      </c>
      <c r="CC29" s="28">
        <f t="shared" si="46"/>
        <v>84064.317120142805</v>
      </c>
      <c r="CD29" s="28">
        <f t="shared" si="46"/>
        <v>83223.673948941374</v>
      </c>
      <c r="CE29" s="28">
        <f t="shared" si="46"/>
        <v>82391.437209451964</v>
      </c>
      <c r="CF29" s="28">
        <f t="shared" si="46"/>
        <v>81567.52283735745</v>
      </c>
      <c r="CG29" s="28">
        <f t="shared" si="46"/>
        <v>80751.84760898388</v>
      </c>
      <c r="CH29" s="28">
        <f t="shared" si="46"/>
        <v>79944.32913289404</v>
      </c>
      <c r="CI29" s="28">
        <f t="shared" si="46"/>
        <v>79144.885841565105</v>
      </c>
      <c r="CJ29" s="28">
        <f t="shared" si="46"/>
        <v>78353.436983149455</v>
      </c>
      <c r="CK29" s="28">
        <f t="shared" si="46"/>
        <v>77569.902613317958</v>
      </c>
      <c r="CL29" s="28">
        <f t="shared" si="46"/>
        <v>76794.203587184777</v>
      </c>
      <c r="CM29" s="28">
        <f t="shared" si="46"/>
        <v>76026.261551312928</v>
      </c>
      <c r="CN29" s="28">
        <f t="shared" si="46"/>
        <v>75265.998935799798</v>
      </c>
      <c r="CO29" s="28">
        <f t="shared" si="46"/>
        <v>74513.3389464418</v>
      </c>
      <c r="CP29" s="28">
        <f t="shared" si="46"/>
        <v>73768.20555697738</v>
      </c>
      <c r="CQ29" s="28">
        <f t="shared" si="46"/>
        <v>73030.523501407602</v>
      </c>
      <c r="CR29" s="28">
        <f t="shared" si="46"/>
        <v>72300.218266393524</v>
      </c>
      <c r="CS29" s="28">
        <f t="shared" si="46"/>
        <v>71577.216083729581</v>
      </c>
      <c r="CT29" s="28">
        <f t="shared" si="46"/>
        <v>70861.443922892286</v>
      </c>
      <c r="CU29" s="28">
        <f t="shared" si="46"/>
        <v>70152.829483663358</v>
      </c>
      <c r="CV29" s="28">
        <f t="shared" si="46"/>
        <v>69451.301188826721</v>
      </c>
      <c r="CW29" s="28">
        <f t="shared" si="46"/>
        <v>68756.788176938455</v>
      </c>
      <c r="CX29" s="28">
        <f t="shared" si="46"/>
        <v>68069.220295169071</v>
      </c>
      <c r="CY29" s="28">
        <f t="shared" si="46"/>
        <v>67388.528092217384</v>
      </c>
      <c r="CZ29" s="28">
        <f t="shared" ref="CZ29:DH29" si="47">$AR$42*CY29+CY29</f>
        <v>66714.642811295213</v>
      </c>
      <c r="DA29" s="28">
        <f t="shared" si="47"/>
        <v>66047.496383182253</v>
      </c>
      <c r="DB29" s="28">
        <f t="shared" si="47"/>
        <v>65387.021419350429</v>
      </c>
      <c r="DC29" s="28">
        <f t="shared" si="47"/>
        <v>64733.151205156923</v>
      </c>
      <c r="DD29" s="28">
        <f t="shared" si="47"/>
        <v>64085.819693105354</v>
      </c>
      <c r="DE29" s="28">
        <f t="shared" si="47"/>
        <v>63444.961496174299</v>
      </c>
      <c r="DF29" s="28">
        <f t="shared" si="47"/>
        <v>62810.511881212558</v>
      </c>
      <c r="DG29" s="28">
        <f t="shared" si="47"/>
        <v>62182.406762400431</v>
      </c>
      <c r="DH29" s="28">
        <f t="shared" si="47"/>
        <v>61560.582694776429</v>
      </c>
      <c r="DI29" s="29"/>
      <c r="DJ29" s="29"/>
      <c r="DK29" s="15"/>
      <c r="DL29" s="15"/>
      <c r="DM29" s="15"/>
      <c r="DN29" s="15"/>
      <c r="DO29" s="15"/>
      <c r="DP29" s="15"/>
      <c r="DQ29" s="15"/>
      <c r="DR29" s="16"/>
      <c r="DS29" s="16"/>
      <c r="DT29" s="16"/>
      <c r="DU29" s="16"/>
      <c r="DV29" s="16"/>
      <c r="DW29" s="16"/>
    </row>
    <row r="30" spans="1:127" x14ac:dyDescent="0.3">
      <c r="A30" s="8" t="s">
        <v>3</v>
      </c>
      <c r="B30" s="8"/>
      <c r="C30" s="8"/>
      <c r="D30" s="9"/>
      <c r="E30" s="9"/>
      <c r="F30" s="9"/>
      <c r="G30" s="9"/>
      <c r="H30" s="9"/>
      <c r="I30" s="9"/>
      <c r="J30" s="9"/>
      <c r="K30" s="9"/>
      <c r="L30" s="9"/>
      <c r="M30" s="9"/>
      <c r="N30" s="9"/>
      <c r="O30" s="9"/>
      <c r="P30" s="9"/>
      <c r="Q30" s="9"/>
      <c r="R30" s="9"/>
      <c r="S30" s="8"/>
      <c r="T30" s="8"/>
      <c r="U30" s="8"/>
      <c r="V30" s="8"/>
      <c r="W30" s="8"/>
      <c r="X30" s="8"/>
      <c r="Y30" s="8"/>
      <c r="Z30" s="8"/>
      <c r="AA30" s="9"/>
      <c r="AB30" s="20" t="s">
        <v>38</v>
      </c>
      <c r="AC30" s="20" t="s">
        <v>38</v>
      </c>
      <c r="AD30" s="20" t="s">
        <v>38</v>
      </c>
      <c r="AE30" s="20" t="s">
        <v>38</v>
      </c>
      <c r="AF30" s="20" t="s">
        <v>38</v>
      </c>
      <c r="AG30" s="20" t="s">
        <v>38</v>
      </c>
      <c r="AH30" s="20" t="s">
        <v>38</v>
      </c>
      <c r="AI30" s="20" t="s">
        <v>38</v>
      </c>
      <c r="AJ30" s="20" t="s">
        <v>38</v>
      </c>
      <c r="AK30" s="20" t="s">
        <v>38</v>
      </c>
      <c r="AL30" s="20" t="s">
        <v>38</v>
      </c>
      <c r="AM30" s="20" t="s">
        <v>38</v>
      </c>
      <c r="AN30" s="8"/>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5"/>
      <c r="DJ30" s="15"/>
      <c r="DK30" s="15"/>
      <c r="DL30" s="15"/>
      <c r="DM30" s="15"/>
      <c r="DN30" s="15"/>
      <c r="DO30" s="15"/>
      <c r="DP30" s="15"/>
      <c r="DQ30" s="15"/>
      <c r="DR30" s="16"/>
      <c r="DS30" s="16"/>
      <c r="DT30" s="16"/>
      <c r="DU30" s="16"/>
      <c r="DV30" s="16"/>
      <c r="DW30" s="16"/>
    </row>
    <row r="31" spans="1:127" x14ac:dyDescent="0.3">
      <c r="A31" s="8" t="s">
        <v>36</v>
      </c>
      <c r="B31" s="8"/>
      <c r="C31" s="8"/>
      <c r="D31" s="9"/>
      <c r="E31" s="9"/>
      <c r="F31" s="9"/>
      <c r="G31" s="9"/>
      <c r="H31" s="9"/>
      <c r="I31" s="9"/>
      <c r="J31" s="9"/>
      <c r="K31" s="9"/>
      <c r="L31" s="9"/>
      <c r="M31" s="9"/>
      <c r="N31" s="9"/>
      <c r="O31" s="9"/>
      <c r="P31" s="9"/>
      <c r="Q31" s="9"/>
      <c r="R31" s="9"/>
      <c r="S31" s="8"/>
      <c r="T31" s="8"/>
      <c r="U31" s="8"/>
      <c r="V31" s="8"/>
      <c r="W31" s="8"/>
      <c r="X31" s="8"/>
      <c r="Y31" s="8"/>
      <c r="Z31" s="8"/>
      <c r="AA31" s="9"/>
      <c r="AB31" s="9">
        <f>AB29*1000000/Main!$M$4</f>
        <v>46.77910922315467</v>
      </c>
      <c r="AC31" s="9">
        <f>AC29*1000000/Main!$M$4</f>
        <v>65.309353641402936</v>
      </c>
      <c r="AD31" s="9">
        <f>AD29*1000000/Main!$M$4</f>
        <v>78.423097962303487</v>
      </c>
      <c r="AE31" s="9">
        <f>AE29*1000000/Main!$M$4</f>
        <v>122.45506108599386</v>
      </c>
      <c r="AF31" s="9">
        <f>AF29*1000000/Main!$M$4</f>
        <v>141.36600707427661</v>
      </c>
      <c r="AG31" s="9">
        <f>AG29*1000000/Main!$M$4</f>
        <v>162.70128285176239</v>
      </c>
      <c r="AH31" s="9">
        <f>AH29*1000000/Main!$M$4</f>
        <v>186.74598021260124</v>
      </c>
      <c r="AI31" s="9">
        <f>AI29*1000000/Main!$M$4</f>
        <v>213.81711283557723</v>
      </c>
      <c r="AJ31" s="9">
        <f>AJ29*1000000/Main!$M$4</f>
        <v>244.26708148898783</v>
      </c>
      <c r="AK31" s="9">
        <f>AK29*1000000/Main!$M$4</f>
        <v>278.48750759732781</v>
      </c>
      <c r="AL31" s="9">
        <f>AL29*1000000/Main!$M$4</f>
        <v>316.91347375325734</v>
      </c>
      <c r="AM31" s="9">
        <f>AM29*1000000/Main!$M$4</f>
        <v>360.02821375647528</v>
      </c>
      <c r="AN31" s="8"/>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5"/>
      <c r="DJ31" s="15"/>
      <c r="DK31" s="15"/>
      <c r="DL31" s="15"/>
      <c r="DM31" s="15"/>
      <c r="DN31" s="15"/>
      <c r="DO31" s="15"/>
      <c r="DP31" s="15"/>
      <c r="DQ31" s="15"/>
      <c r="DR31" s="16"/>
      <c r="DS31" s="16"/>
      <c r="DT31" s="16"/>
      <c r="DU31" s="16"/>
      <c r="DV31" s="16"/>
      <c r="DW31" s="16"/>
    </row>
    <row r="32" spans="1:127" x14ac:dyDescent="0.3">
      <c r="A32" s="8"/>
      <c r="B32" s="8"/>
      <c r="C32" s="8"/>
      <c r="D32" s="9"/>
      <c r="E32" s="9"/>
      <c r="F32" s="9"/>
      <c r="G32" s="9"/>
      <c r="H32" s="9"/>
      <c r="I32" s="9"/>
      <c r="J32" s="9"/>
      <c r="K32" s="9"/>
      <c r="L32" s="9"/>
      <c r="M32" s="9"/>
      <c r="N32" s="9"/>
      <c r="O32" s="9"/>
      <c r="P32" s="9"/>
      <c r="Q32" s="9"/>
      <c r="R32" s="9"/>
      <c r="S32" s="8"/>
      <c r="T32" s="8"/>
      <c r="U32" s="8"/>
      <c r="V32" s="8"/>
      <c r="W32" s="8"/>
      <c r="X32" s="8"/>
      <c r="Y32" s="8"/>
      <c r="Z32" s="8"/>
      <c r="AA32" s="9"/>
      <c r="AB32" s="18"/>
      <c r="AC32" s="18"/>
      <c r="AD32" s="18"/>
      <c r="AE32" s="9"/>
      <c r="AF32" s="9"/>
      <c r="AG32" s="9"/>
      <c r="AH32" s="9"/>
      <c r="AI32" s="9"/>
      <c r="AJ32" s="9"/>
      <c r="AK32" s="9"/>
      <c r="AL32" s="9"/>
      <c r="AM32" s="9"/>
      <c r="AN32" s="8"/>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5"/>
      <c r="DJ32" s="15"/>
      <c r="DK32" s="15"/>
      <c r="DL32" s="15"/>
      <c r="DM32" s="15"/>
      <c r="DN32" s="15"/>
      <c r="DO32" s="15"/>
      <c r="DP32" s="15"/>
      <c r="DQ32" s="15"/>
      <c r="DR32" s="16"/>
      <c r="DS32" s="16"/>
      <c r="DT32" s="16"/>
      <c r="DU32" s="16"/>
      <c r="DV32" s="16"/>
      <c r="DW32" s="16"/>
    </row>
    <row r="33" spans="1:50" x14ac:dyDescent="0.3">
      <c r="A33" s="8"/>
      <c r="B33" s="8"/>
      <c r="C33" s="8"/>
      <c r="D33" s="8"/>
      <c r="E33" s="8"/>
      <c r="F33" s="8"/>
      <c r="G33" s="9"/>
      <c r="H33" s="9"/>
      <c r="I33" s="9"/>
      <c r="J33" s="9"/>
      <c r="K33" s="9"/>
      <c r="L33" s="9"/>
      <c r="M33" s="9"/>
      <c r="N33" s="9"/>
      <c r="O33" s="9"/>
      <c r="P33" s="9"/>
      <c r="Q33" s="9"/>
      <c r="R33" s="9"/>
      <c r="S33" s="8"/>
      <c r="T33" s="8"/>
      <c r="U33" s="8"/>
      <c r="V33" s="8"/>
      <c r="W33" s="8"/>
      <c r="X33" s="8"/>
      <c r="Y33" s="8"/>
      <c r="Z33" s="8"/>
      <c r="AA33" s="8"/>
      <c r="AC33" s="9"/>
      <c r="AD33" s="9"/>
      <c r="AE33" s="9"/>
      <c r="AF33" s="9"/>
      <c r="AG33" s="9"/>
      <c r="AH33" s="9"/>
      <c r="AI33" s="9"/>
      <c r="AJ33" s="9"/>
      <c r="AK33" s="9"/>
      <c r="AL33" s="9"/>
      <c r="AM33" s="9"/>
      <c r="AN33" s="8"/>
      <c r="AO33" s="8"/>
      <c r="AP33" s="8"/>
      <c r="AQ33" s="8"/>
      <c r="AR33" s="8"/>
      <c r="AS33" s="8"/>
      <c r="AT33" s="8"/>
      <c r="AU33" s="8"/>
      <c r="AV33" s="8"/>
      <c r="AW33" s="8"/>
      <c r="AX33" s="8"/>
    </row>
    <row r="34" spans="1:50" x14ac:dyDescent="0.3">
      <c r="A34" s="1" t="s">
        <v>24</v>
      </c>
      <c r="D34" s="1">
        <v>-1322</v>
      </c>
      <c r="E34" s="1">
        <v>-983</v>
      </c>
      <c r="F34" s="1">
        <v>-2392</v>
      </c>
      <c r="G34" s="4">
        <v>1575</v>
      </c>
      <c r="H34" s="4">
        <v>-1467</v>
      </c>
      <c r="I34" s="4">
        <f>-2090</f>
        <v>-2090</v>
      </c>
      <c r="J34" s="4">
        <v>632</v>
      </c>
      <c r="K34" s="4">
        <v>1219</v>
      </c>
      <c r="L34" s="4">
        <v>-3469</v>
      </c>
      <c r="M34" s="4">
        <v>-710</v>
      </c>
      <c r="N34" s="4">
        <v>-1761</v>
      </c>
      <c r="O34" s="4">
        <v>2927</v>
      </c>
      <c r="P34" s="4">
        <v>-4721</v>
      </c>
      <c r="Q34" s="4">
        <v>3585</v>
      </c>
      <c r="R34" s="4">
        <v>-507</v>
      </c>
      <c r="AA34" s="4">
        <f>SUM(F34:I34)</f>
        <v>-4374</v>
      </c>
      <c r="AB34" s="4">
        <f>SUM(J34:M34)</f>
        <v>-2328</v>
      </c>
      <c r="AC34" s="4">
        <f>SUM(N34:Q34)</f>
        <v>30</v>
      </c>
      <c r="AE34" s="4">
        <f t="shared" ref="AE34:AM34" si="48">1.08*AD34</f>
        <v>0</v>
      </c>
      <c r="AF34" s="4">
        <f t="shared" si="48"/>
        <v>0</v>
      </c>
      <c r="AG34" s="4">
        <f t="shared" si="48"/>
        <v>0</v>
      </c>
      <c r="AH34" s="4">
        <f t="shared" si="48"/>
        <v>0</v>
      </c>
      <c r="AI34" s="4">
        <f t="shared" si="48"/>
        <v>0</v>
      </c>
      <c r="AJ34" s="4">
        <f t="shared" si="48"/>
        <v>0</v>
      </c>
      <c r="AK34" s="4">
        <f t="shared" si="48"/>
        <v>0</v>
      </c>
      <c r="AL34" s="4">
        <f t="shared" si="48"/>
        <v>0</v>
      </c>
      <c r="AM34" s="4">
        <f t="shared" si="48"/>
        <v>0</v>
      </c>
    </row>
    <row r="35" spans="1:50" x14ac:dyDescent="0.3">
      <c r="G35" s="4"/>
      <c r="H35" s="4"/>
      <c r="I35" s="4"/>
      <c r="J35" s="4"/>
      <c r="K35" s="4"/>
      <c r="L35" s="4"/>
      <c r="M35" s="4"/>
      <c r="N35" s="4"/>
      <c r="O35" s="4"/>
      <c r="P35" s="4"/>
      <c r="Q35" s="4"/>
      <c r="R35" s="4"/>
      <c r="AA35" s="4"/>
      <c r="AB35" s="4"/>
      <c r="AC35" s="4"/>
      <c r="AE35" s="4"/>
      <c r="AF35" s="4"/>
      <c r="AG35" s="4"/>
      <c r="AH35" s="4"/>
      <c r="AI35" s="4"/>
      <c r="AJ35" s="4"/>
      <c r="AK35" s="4"/>
      <c r="AL35" s="4"/>
      <c r="AM35" s="4"/>
    </row>
    <row r="36" spans="1:50" x14ac:dyDescent="0.3">
      <c r="A36" s="5" t="s">
        <v>33</v>
      </c>
      <c r="D36" s="11">
        <f>D24/D17</f>
        <v>2.0824177681619958E-2</v>
      </c>
      <c r="E36" s="11">
        <f t="shared" ref="E36:R36" si="49">E24/E17</f>
        <v>1.7046621482850688E-2</v>
      </c>
      <c r="F36" s="11">
        <f t="shared" si="49"/>
        <v>1.978724176741822E-2</v>
      </c>
      <c r="G36" s="11">
        <f t="shared" si="49"/>
        <v>1.3296235195627016E-2</v>
      </c>
      <c r="H36" s="11">
        <f t="shared" si="49"/>
        <v>2.295383377862047E-2</v>
      </c>
      <c r="I36" s="11">
        <f t="shared" si="49"/>
        <v>2.0372812120271984E-2</v>
      </c>
      <c r="J36" s="11">
        <f t="shared" si="49"/>
        <v>1.8146183998155405E-2</v>
      </c>
      <c r="K36" s="11">
        <f t="shared" si="49"/>
        <v>1.6765058089455661E-2</v>
      </c>
      <c r="L36" s="11">
        <f t="shared" si="49"/>
        <v>1.848523124757093E-2</v>
      </c>
      <c r="M36" s="11">
        <f t="shared" si="49"/>
        <v>1.1561935872088026E-2</v>
      </c>
      <c r="N36" s="11">
        <f t="shared" si="49"/>
        <v>1.3892512392381946E-2</v>
      </c>
      <c r="O36" s="11">
        <f t="shared" si="49"/>
        <v>9.8355310824518177E-3</v>
      </c>
      <c r="P36" s="11">
        <f t="shared" si="49"/>
        <v>1.1782641838179245E-2</v>
      </c>
      <c r="Q36" s="11">
        <f t="shared" si="49"/>
        <v>9.6287060127459127E-3</v>
      </c>
      <c r="R36" s="11">
        <f t="shared" si="49"/>
        <v>1.2280915782196738E-2</v>
      </c>
      <c r="AA36" s="11">
        <f t="shared" ref="AA36:AM36" si="50">AA24/AA17</f>
        <v>1.8864194741746915E-2</v>
      </c>
      <c r="AB36" s="11">
        <f t="shared" si="50"/>
        <v>1.614158024055656E-2</v>
      </c>
      <c r="AC36" s="11">
        <f t="shared" si="50"/>
        <v>1.1124507597760454E-2</v>
      </c>
      <c r="AD36" s="11">
        <f t="shared" si="50"/>
        <v>2.0000000000000004E-2</v>
      </c>
      <c r="AE36" s="11">
        <f t="shared" si="50"/>
        <v>1.4999999999999999E-2</v>
      </c>
      <c r="AF36" s="11">
        <f t="shared" si="50"/>
        <v>1.5000000000000001E-2</v>
      </c>
      <c r="AG36" s="11">
        <f t="shared" si="50"/>
        <v>1.4999999999999998E-2</v>
      </c>
      <c r="AH36" s="11">
        <f t="shared" si="50"/>
        <v>1.4999999999999999E-2</v>
      </c>
      <c r="AI36" s="11">
        <f t="shared" si="50"/>
        <v>1.4999999999999999E-2</v>
      </c>
      <c r="AJ36" s="11">
        <f t="shared" si="50"/>
        <v>1.4999999999999999E-2</v>
      </c>
      <c r="AK36" s="11">
        <f t="shared" si="50"/>
        <v>1.4999999999999999E-2</v>
      </c>
      <c r="AL36" s="11">
        <f t="shared" si="50"/>
        <v>1.4999999999999999E-2</v>
      </c>
      <c r="AM36" s="11">
        <f t="shared" si="50"/>
        <v>1.4999999999999999E-2</v>
      </c>
    </row>
    <row r="37" spans="1:50" x14ac:dyDescent="0.3">
      <c r="A37" s="5" t="s">
        <v>35</v>
      </c>
      <c r="D37" s="11">
        <f>D18/D17</f>
        <v>0.15347689395219904</v>
      </c>
      <c r="E37" s="11">
        <f t="shared" ref="E37:R37" si="51">E18/E17</f>
        <v>0.19399700730569491</v>
      </c>
      <c r="F37" s="11">
        <f t="shared" si="51"/>
        <v>0.19318883200813275</v>
      </c>
      <c r="G37" s="11">
        <f t="shared" si="51"/>
        <v>0.21574372737793318</v>
      </c>
      <c r="H37" s="11">
        <f t="shared" si="51"/>
        <v>0.21313453417219685</v>
      </c>
      <c r="I37" s="11">
        <f t="shared" si="51"/>
        <v>0.2774632229375113</v>
      </c>
      <c r="J37" s="11">
        <f t="shared" si="51"/>
        <v>0.19460456536776574</v>
      </c>
      <c r="K37" s="11">
        <f t="shared" si="51"/>
        <v>0.21122292485136243</v>
      </c>
      <c r="L37" s="11">
        <f t="shared" si="51"/>
        <v>0.24672075398367665</v>
      </c>
      <c r="M37" s="11">
        <f t="shared" si="51"/>
        <v>0.18847244906730851</v>
      </c>
      <c r="N37" s="11">
        <f t="shared" si="51"/>
        <v>0.18512479346030089</v>
      </c>
      <c r="O37" s="11">
        <f t="shared" si="51"/>
        <v>0.16807346761338937</v>
      </c>
      <c r="P37" s="11">
        <f t="shared" si="51"/>
        <v>0.23467276489164762</v>
      </c>
      <c r="Q37" s="11">
        <f t="shared" si="51"/>
        <v>0.13339914103629813</v>
      </c>
      <c r="R37" s="11">
        <f t="shared" si="51"/>
        <v>0.20474970517669067</v>
      </c>
      <c r="AA37" s="11">
        <f t="shared" ref="AA37:AC37" si="52">AA18/AA17</f>
        <v>0.22757052893168789</v>
      </c>
      <c r="AB37" s="11">
        <f t="shared" si="52"/>
        <v>0.20944316025723544</v>
      </c>
      <c r="AC37" s="11">
        <f t="shared" si="52"/>
        <v>0.17705490986659378</v>
      </c>
      <c r="AD37" s="11">
        <f>AD18/AD15</f>
        <v>0.21178300984674234</v>
      </c>
      <c r="AE37" s="11">
        <v>0.15</v>
      </c>
      <c r="AF37" s="11">
        <v>0.15</v>
      </c>
      <c r="AG37" s="11">
        <v>0.15</v>
      </c>
      <c r="AH37" s="11">
        <v>0.15</v>
      </c>
      <c r="AI37" s="11">
        <v>0.15</v>
      </c>
      <c r="AJ37" s="11">
        <v>0.15</v>
      </c>
      <c r="AK37" s="11">
        <v>0.15</v>
      </c>
      <c r="AL37" s="11">
        <v>0.15</v>
      </c>
      <c r="AM37" s="11">
        <v>0.15</v>
      </c>
    </row>
    <row r="38" spans="1:50" x14ac:dyDescent="0.3">
      <c r="A38" s="1" t="s">
        <v>26</v>
      </c>
      <c r="G38" s="11"/>
      <c r="H38" s="11">
        <f t="shared" ref="H38" si="53">H17/D17-1</f>
        <v>0.17673506642777448</v>
      </c>
      <c r="I38" s="11">
        <f t="shared" ref="I38" si="54">I17/E17-1</f>
        <v>0.13484728457002015</v>
      </c>
      <c r="J38" s="11">
        <f t="shared" ref="J38" si="55">J17/F17-1</f>
        <v>0.57462876229895077</v>
      </c>
      <c r="K38" s="11">
        <f t="shared" ref="K38" si="56">K17/G17-1</f>
        <v>0.17201388717898203</v>
      </c>
      <c r="L38" s="11">
        <f t="shared" ref="L38:R38" si="57">L17/H17-1</f>
        <v>0.18268263954724362</v>
      </c>
      <c r="M38" s="11">
        <f t="shared" si="57"/>
        <v>0.20303006799555323</v>
      </c>
      <c r="N38" s="11">
        <f>N17/J17-1</f>
        <v>6.0548766428406786E-2</v>
      </c>
      <c r="O38" s="11">
        <f t="shared" si="57"/>
        <v>0.15985629950209046</v>
      </c>
      <c r="P38" s="11">
        <f t="shared" si="57"/>
        <v>0.11530800621842197</v>
      </c>
      <c r="Q38" s="11">
        <f t="shared" si="57"/>
        <v>0.24095246282128424</v>
      </c>
      <c r="R38" s="11">
        <f t="shared" si="57"/>
        <v>6.9266892773284683E-2</v>
      </c>
      <c r="AA38" s="1" t="e">
        <f>AA17/Z17-1</f>
        <v>#DIV/0!</v>
      </c>
      <c r="AB38" s="11">
        <f t="shared" ref="AB38:AD38" si="58">AB17/AA17-1</f>
        <v>0.26139476433876485</v>
      </c>
      <c r="AC38" s="11">
        <f t="shared" si="58"/>
        <v>0.14660629432078309</v>
      </c>
      <c r="AD38" s="11">
        <f t="shared" si="58"/>
        <v>0.14999999999999991</v>
      </c>
      <c r="AE38" s="12">
        <v>0.1</v>
      </c>
      <c r="AF38" s="12">
        <v>0.1</v>
      </c>
      <c r="AG38" s="12">
        <v>0.1</v>
      </c>
      <c r="AH38" s="12">
        <v>0.1</v>
      </c>
      <c r="AI38" s="12">
        <v>0.1</v>
      </c>
      <c r="AJ38" s="12">
        <v>0.1</v>
      </c>
      <c r="AK38" s="12">
        <v>0.1</v>
      </c>
      <c r="AL38" s="12">
        <v>0.1</v>
      </c>
      <c r="AM38" s="12">
        <v>0.1</v>
      </c>
    </row>
    <row r="39" spans="1:50" x14ac:dyDescent="0.3">
      <c r="A39" s="1" t="s">
        <v>27</v>
      </c>
      <c r="F39" s="11">
        <f t="shared" ref="F39:R39" si="59">F27/F17</f>
        <v>-8.9677958101877057E-3</v>
      </c>
      <c r="G39" s="11">
        <f t="shared" si="59"/>
        <v>0.14475660502794671</v>
      </c>
      <c r="H39" s="11">
        <f t="shared" si="59"/>
        <v>5.3635554023384754E-2</v>
      </c>
      <c r="I39" s="11">
        <f t="shared" si="59"/>
        <v>6.075648284598878E-2</v>
      </c>
      <c r="J39" s="11">
        <f t="shared" si="59"/>
        <v>0.10860041503343325</v>
      </c>
      <c r="K39" s="11">
        <f t="shared" si="59"/>
        <v>0.13668354377192798</v>
      </c>
      <c r="L39" s="11">
        <f t="shared" si="59"/>
        <v>6.6605130198212209E-2</v>
      </c>
      <c r="M39" s="11">
        <f t="shared" si="59"/>
        <v>0.13124301555918508</v>
      </c>
      <c r="N39" s="11">
        <f t="shared" si="59"/>
        <v>8.4420384381250546E-2</v>
      </c>
      <c r="O39" s="11">
        <f t="shared" si="59"/>
        <v>0.18193015504999274</v>
      </c>
      <c r="P39" s="11">
        <f t="shared" si="59"/>
        <v>3.258194489818142E-2</v>
      </c>
      <c r="Q39" s="11">
        <f t="shared" si="59"/>
        <v>0.26354253255749516</v>
      </c>
      <c r="R39" s="11">
        <f t="shared" si="59"/>
        <v>0.12941726647960636</v>
      </c>
      <c r="AA39" s="11">
        <f t="shared" ref="AA39:AD39" si="60">AA27/AA17</f>
        <v>6.9533478297704107E-2</v>
      </c>
      <c r="AB39" s="11">
        <f t="shared" si="60"/>
        <v>0.11230263783868494</v>
      </c>
      <c r="AC39" s="11">
        <f t="shared" si="60"/>
        <v>0.14956824804869595</v>
      </c>
      <c r="AD39" s="11">
        <f t="shared" si="60"/>
        <v>0.15805867717747316</v>
      </c>
      <c r="AE39" s="11">
        <f t="shared" ref="AE39:AM39" si="61">AE27/AE17</f>
        <v>0.22436670122879182</v>
      </c>
      <c r="AF39" s="11">
        <f t="shared" si="61"/>
        <v>0.23546912484281365</v>
      </c>
      <c r="AG39" s="11">
        <f t="shared" si="61"/>
        <v>0.24636968620930802</v>
      </c>
      <c r="AH39" s="11">
        <f t="shared" si="61"/>
        <v>0.25707205555095675</v>
      </c>
      <c r="AI39" s="11">
        <f t="shared" si="61"/>
        <v>0.26757983635912136</v>
      </c>
      <c r="AJ39" s="11">
        <f t="shared" si="61"/>
        <v>0.27789656660713707</v>
      </c>
      <c r="AK39" s="11">
        <f t="shared" si="61"/>
        <v>0.28802571994155274</v>
      </c>
      <c r="AL39" s="11">
        <f t="shared" si="61"/>
        <v>0.2979707068517064</v>
      </c>
      <c r="AM39" s="11">
        <f t="shared" si="61"/>
        <v>0.30773487581803893</v>
      </c>
    </row>
    <row r="40" spans="1:50" x14ac:dyDescent="0.3">
      <c r="A40" s="1" t="s">
        <v>28</v>
      </c>
      <c r="F40" s="11">
        <f>F28/F27</f>
        <v>-2.1862348178137654</v>
      </c>
      <c r="G40" s="11">
        <f t="shared" ref="G40" si="62">G28/G27</f>
        <v>0.18268412995407382</v>
      </c>
      <c r="H40" s="11">
        <f>H28/H27</f>
        <v>0.45527584359935724</v>
      </c>
      <c r="I40" s="11">
        <f t="shared" ref="I40:R40" si="63">I28/I27</f>
        <v>0.48851063829787233</v>
      </c>
      <c r="J40" s="11">
        <f t="shared" si="63"/>
        <v>0.22356687898089173</v>
      </c>
      <c r="K40" s="11">
        <f t="shared" si="63"/>
        <v>0.22133415308945589</v>
      </c>
      <c r="L40" s="11">
        <f t="shared" si="63"/>
        <v>0.57768052516411383</v>
      </c>
      <c r="M40" s="11">
        <f t="shared" si="63"/>
        <v>0.27132798428033406</v>
      </c>
      <c r="N40" s="11">
        <f>N28/N18</f>
        <v>0.16488549618320611</v>
      </c>
      <c r="O40" s="11">
        <f t="shared" si="63"/>
        <v>0.16895659099960175</v>
      </c>
      <c r="P40" s="11">
        <f>P28/P18</f>
        <v>0.14691415313225059</v>
      </c>
      <c r="Q40" s="11">
        <f t="shared" si="63"/>
        <v>0.17538441319490078</v>
      </c>
      <c r="R40" s="11">
        <f t="shared" si="63"/>
        <v>0.25593087195600944</v>
      </c>
      <c r="AA40" s="11">
        <f t="shared" ref="AA40:AD40" si="64">AA28/AA27</f>
        <v>0.36673773987206826</v>
      </c>
      <c r="AB40" s="11">
        <f t="shared" si="64"/>
        <v>0.28577124345875904</v>
      </c>
      <c r="AC40" s="11">
        <f t="shared" si="64"/>
        <v>0.2399725857511178</v>
      </c>
      <c r="AD40" s="11">
        <f t="shared" si="64"/>
        <v>0.25</v>
      </c>
      <c r="AE40" s="11">
        <f t="shared" ref="AE40:AM40" si="65">AE28/AE27</f>
        <v>0.25</v>
      </c>
      <c r="AF40" s="11">
        <f t="shared" si="65"/>
        <v>0.25</v>
      </c>
      <c r="AG40" s="11">
        <f t="shared" si="65"/>
        <v>0.25</v>
      </c>
      <c r="AH40" s="11">
        <f t="shared" si="65"/>
        <v>0.25</v>
      </c>
      <c r="AI40" s="11">
        <f t="shared" si="65"/>
        <v>0.25</v>
      </c>
      <c r="AJ40" s="11">
        <f t="shared" si="65"/>
        <v>0.25</v>
      </c>
      <c r="AK40" s="11">
        <f t="shared" si="65"/>
        <v>0.25</v>
      </c>
      <c r="AL40" s="11">
        <f t="shared" si="65"/>
        <v>0.25</v>
      </c>
      <c r="AM40" s="11">
        <f t="shared" si="65"/>
        <v>0.25</v>
      </c>
    </row>
    <row r="41" spans="1:50" x14ac:dyDescent="0.3">
      <c r="R41" s="4"/>
      <c r="AM41" s="11"/>
    </row>
    <row r="42" spans="1:50" x14ac:dyDescent="0.3">
      <c r="AM42" s="11"/>
      <c r="AQ42" s="1" t="s">
        <v>29</v>
      </c>
      <c r="AR42" s="12">
        <v>-0.01</v>
      </c>
    </row>
    <row r="43" spans="1:50" x14ac:dyDescent="0.3">
      <c r="AK43" s="1" t="s">
        <v>58</v>
      </c>
      <c r="AM43" s="11"/>
      <c r="AQ43" s="1" t="s">
        <v>30</v>
      </c>
      <c r="AR43" s="11">
        <v>5.5E-2</v>
      </c>
    </row>
    <row r="44" spans="1:50" x14ac:dyDescent="0.3">
      <c r="AI44" s="5" t="s">
        <v>59</v>
      </c>
      <c r="AM44" s="11"/>
      <c r="AQ44" s="1" t="s">
        <v>31</v>
      </c>
      <c r="AR44" s="1">
        <f>NPV(AR43,(AE29:DH29))</f>
        <v>1726322.7662582907</v>
      </c>
      <c r="AS44" s="1">
        <f>AR44*1000000</f>
        <v>1726322766258.2908</v>
      </c>
    </row>
    <row r="45" spans="1:50" x14ac:dyDescent="0.3">
      <c r="AM45" s="11"/>
    </row>
    <row r="46" spans="1:50" x14ac:dyDescent="0.3">
      <c r="AR46" s="1">
        <v>355726601</v>
      </c>
      <c r="AS46" s="1">
        <f>AR44/AR46</f>
        <v>4.8529481950614394E-3</v>
      </c>
    </row>
    <row r="47" spans="1:50" ht="25.8" x14ac:dyDescent="0.5">
      <c r="AI47" s="25" t="s">
        <v>60</v>
      </c>
      <c r="AJ47"/>
      <c r="AK47"/>
      <c r="AL47"/>
      <c r="AQ47" s="1" t="s">
        <v>57</v>
      </c>
      <c r="AR47" s="1" t="s">
        <v>56</v>
      </c>
      <c r="AS47" s="22">
        <f>AS46*1000000</f>
        <v>4852.948195061439</v>
      </c>
    </row>
    <row r="49" spans="31:45" x14ac:dyDescent="0.3">
      <c r="AJ49" s="1">
        <f>Main!M3*Main!M4</f>
        <v>2101110979500</v>
      </c>
      <c r="AM49" s="11">
        <v>0.1</v>
      </c>
      <c r="AR49" s="11">
        <f>AS47/Main!$M$3 -1</f>
        <v>-0.17746640761670529</v>
      </c>
      <c r="AS49" s="11"/>
    </row>
    <row r="50" spans="31:45" x14ac:dyDescent="0.3">
      <c r="AI50" s="1" t="s">
        <v>61</v>
      </c>
      <c r="AJ50" s="26">
        <f>4.5+1.5*(15-4.5)</f>
        <v>20.25</v>
      </c>
      <c r="AK50" s="11">
        <f>AJ50/100</f>
        <v>0.20250000000000001</v>
      </c>
      <c r="AS50" s="11"/>
    </row>
    <row r="53" spans="31:45" x14ac:dyDescent="0.3">
      <c r="AE53" s="1">
        <f>1/(1+$AK$50)^AE2</f>
        <v>0.83160083160083154</v>
      </c>
      <c r="AF53" s="1">
        <f t="shared" ref="AF53:AM53" si="66">1/(1+$AK$50)^AF2</f>
        <v>0.69155994311919444</v>
      </c>
      <c r="AG53" s="1">
        <f t="shared" si="66"/>
        <v>0.57510182379974595</v>
      </c>
      <c r="AH53" s="1">
        <f t="shared" si="66"/>
        <v>0.47825515492702353</v>
      </c>
      <c r="AI53" s="1">
        <f t="shared" si="66"/>
        <v>0.3977173845546973</v>
      </c>
      <c r="AJ53" s="1">
        <f t="shared" si="66"/>
        <v>0.33074210773779394</v>
      </c>
      <c r="AK53" s="1">
        <f t="shared" si="66"/>
        <v>0.27504541184016129</v>
      </c>
      <c r="AL53" s="1">
        <f t="shared" si="66"/>
        <v>0.22872799321427126</v>
      </c>
      <c r="AM53" s="1">
        <f t="shared" si="66"/>
        <v>0.19021038936737736</v>
      </c>
    </row>
    <row r="54" spans="31:45" x14ac:dyDescent="0.3">
      <c r="AE54" s="1">
        <f>AE29*AE53</f>
        <v>36265.079579002064</v>
      </c>
      <c r="AF54" s="1">
        <f t="shared" ref="AF54:AM54" si="67">AF29*AF53</f>
        <v>34815.433079300266</v>
      </c>
      <c r="AG54" s="1">
        <f t="shared" si="67"/>
        <v>33322.126032219632</v>
      </c>
      <c r="AH54" s="1">
        <f t="shared" si="67"/>
        <v>31805.915630692045</v>
      </c>
      <c r="AI54" s="1">
        <f t="shared" si="67"/>
        <v>30284.054307373008</v>
      </c>
      <c r="AJ54" s="1">
        <f t="shared" si="67"/>
        <v>28770.765267992971</v>
      </c>
      <c r="AK54" s="1">
        <f t="shared" si="67"/>
        <v>27277.659480808659</v>
      </c>
      <c r="AL54" s="1">
        <f t="shared" si="67"/>
        <v>25814.100947067287</v>
      </c>
      <c r="AM54" s="1">
        <f t="shared" si="67"/>
        <v>24387.526308747863</v>
      </c>
    </row>
    <row r="56" spans="31:45" x14ac:dyDescent="0.3">
      <c r="AL56" s="1" t="s">
        <v>62</v>
      </c>
      <c r="AM56" s="1">
        <f>AM54*(1+$AM$49)</f>
        <v>26826.278939622651</v>
      </c>
    </row>
    <row r="58" spans="31:45" x14ac:dyDescent="0.3">
      <c r="AK58" s="1">
        <f>AM56/AJ50</f>
        <v>1324.754515536921</v>
      </c>
      <c r="AL58" s="1">
        <f>AK58*3.5</f>
        <v>4636.6408043792235</v>
      </c>
    </row>
  </sheetData>
  <hyperlinks>
    <hyperlink ref="A1" location="Main!A1" display="Main" xr:uid="{9ED56E49-0A76-4BF5-AFEB-E7DF6FF64CC8}"/>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SRIKAR</dc:creator>
  <cp:lastModifiedBy>MANI SRIKAR</cp:lastModifiedBy>
  <cp:lastPrinted>2025-03-07T16:48:40Z</cp:lastPrinted>
  <dcterms:created xsi:type="dcterms:W3CDTF">2025-01-24T08:00:29Z</dcterms:created>
  <dcterms:modified xsi:type="dcterms:W3CDTF">2025-04-11T08:50:35Z</dcterms:modified>
</cp:coreProperties>
</file>