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Srikar\Desktop\models\"/>
    </mc:Choice>
  </mc:AlternateContent>
  <xr:revisionPtr revIDLastSave="0" documentId="13_ncr:1_{9BF6791E-81E9-4595-A189-5B995A707444}" xr6:coauthVersionLast="47" xr6:coauthVersionMax="47" xr10:uidLastSave="{00000000-0000-0000-0000-000000000000}"/>
  <bookViews>
    <workbookView xWindow="3276" yWindow="3276" windowWidth="17280" windowHeight="8880" activeTab="1" xr2:uid="{508FF53B-1F6B-4583-B7BB-C1D89E422E2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2" i="2" l="1"/>
  <c r="AC52" i="2" s="1"/>
  <c r="AD52" i="2" s="1"/>
  <c r="AE52" i="2" s="1"/>
  <c r="AF52" i="2" s="1"/>
  <c r="AA52" i="2"/>
  <c r="Z52" i="2"/>
  <c r="Y52" i="2"/>
  <c r="X52" i="2"/>
  <c r="X51" i="2"/>
  <c r="Y50" i="2" a="1"/>
  <c r="Y50" i="2" s="1"/>
  <c r="X50" i="2"/>
  <c r="X49" i="2"/>
  <c r="AF48" i="2"/>
  <c r="AE48" i="2"/>
  <c r="AD48" i="2"/>
  <c r="AC48" i="2"/>
  <c r="AB48" i="2"/>
  <c r="AA48" i="2"/>
  <c r="Z47" i="2"/>
  <c r="AA47" i="2" s="1"/>
  <c r="AB47" i="2" s="1"/>
  <c r="AC47" i="2" s="1"/>
  <c r="AD47" i="2" s="1"/>
  <c r="AE47" i="2" s="1"/>
  <c r="AF47" i="2" s="1"/>
  <c r="Y47" i="2"/>
  <c r="X47" i="2"/>
  <c r="Z46" i="2"/>
  <c r="AA46" i="2" s="1"/>
  <c r="AB46" i="2" s="1"/>
  <c r="AC46" i="2" s="1"/>
  <c r="AD46" i="2" s="1"/>
  <c r="AE46" i="2" s="1"/>
  <c r="AF46" i="2" s="1"/>
  <c r="Y46" i="2"/>
  <c r="X46" i="2"/>
  <c r="Z44" i="2"/>
  <c r="Z51" i="2" s="1"/>
  <c r="Y44" i="2"/>
  <c r="Y51" i="2" s="1"/>
  <c r="X44" i="2"/>
  <c r="Z43" i="2"/>
  <c r="AA43" i="2" s="1"/>
  <c r="Y43" i="2"/>
  <c r="X43" i="2"/>
  <c r="Z42" i="2"/>
  <c r="Y42" i="2"/>
  <c r="X42" i="2"/>
  <c r="X40" i="2"/>
  <c r="X55" i="2" s="1"/>
  <c r="X56" i="2" s="1"/>
  <c r="X57" i="2" s="1"/>
  <c r="X59" i="2" s="1"/>
  <c r="Z39" i="2"/>
  <c r="AA39" i="2" s="1"/>
  <c r="AB39" i="2" s="1"/>
  <c r="AC39" i="2" s="1"/>
  <c r="AD39" i="2" s="1"/>
  <c r="AE39" i="2" s="1"/>
  <c r="AF39" i="2" s="1"/>
  <c r="Y39" i="2"/>
  <c r="Y40" i="2" s="1"/>
  <c r="X39" i="2"/>
  <c r="Z38" i="2"/>
  <c r="Z40" i="2" s="1"/>
  <c r="Y38" i="2"/>
  <c r="X38" i="2"/>
  <c r="P11" i="2"/>
  <c r="AA31" i="2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X27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Z55" i="2" l="1"/>
  <c r="Z56" i="2" s="1"/>
  <c r="Z57" i="2" s="1"/>
  <c r="AA40" i="2"/>
  <c r="Z41" i="2"/>
  <c r="Y55" i="2"/>
  <c r="Y56" i="2" s="1"/>
  <c r="Y57" i="2" s="1"/>
  <c r="Y41" i="2"/>
  <c r="AA50" i="2"/>
  <c r="AB43" i="2"/>
  <c r="AA38" i="2"/>
  <c r="AB38" i="2" s="1"/>
  <c r="AC38" i="2" s="1"/>
  <c r="AD38" i="2" s="1"/>
  <c r="AE38" i="2" s="1"/>
  <c r="AF38" i="2" s="1"/>
  <c r="AA44" i="2"/>
  <c r="Z50" i="2"/>
  <c r="AA34" i="2"/>
  <c r="AA35" i="2" s="1"/>
  <c r="AA36" i="2" s="1"/>
  <c r="AB50" i="2" l="1"/>
  <c r="AC43" i="2"/>
  <c r="Y58" i="2"/>
  <c r="Y59" i="2"/>
  <c r="AA55" i="2"/>
  <c r="AA56" i="2" s="1"/>
  <c r="AA57" i="2" s="1"/>
  <c r="AB40" i="2"/>
  <c r="AA51" i="2"/>
  <c r="AB44" i="2"/>
  <c r="Z59" i="2"/>
  <c r="Z58" i="2"/>
  <c r="U28" i="2"/>
  <c r="V28" i="2"/>
  <c r="W28" i="2"/>
  <c r="T28" i="2"/>
  <c r="S28" i="2"/>
  <c r="R28" i="2"/>
  <c r="S17" i="2"/>
  <c r="T17" i="2" s="1"/>
  <c r="U17" i="2" s="1"/>
  <c r="V17" i="2" s="1"/>
  <c r="W17" i="2" s="1"/>
  <c r="R17" i="2"/>
  <c r="W18" i="2"/>
  <c r="V18" i="2"/>
  <c r="U18" i="2"/>
  <c r="T18" i="2"/>
  <c r="S18" i="2"/>
  <c r="R18" i="2"/>
  <c r="Q11" i="2"/>
  <c r="S22" i="2"/>
  <c r="T22" i="2"/>
  <c r="R22" i="2"/>
  <c r="W20" i="2"/>
  <c r="V20" i="2"/>
  <c r="U20" i="2"/>
  <c r="T20" i="2"/>
  <c r="S20" i="2"/>
  <c r="R20" i="2"/>
  <c r="W21" i="2"/>
  <c r="V21" i="2"/>
  <c r="U21" i="2"/>
  <c r="T21" i="2"/>
  <c r="S21" i="2"/>
  <c r="R21" i="2"/>
  <c r="R25" i="2"/>
  <c r="R26" i="2" s="1"/>
  <c r="R27" i="2" s="1"/>
  <c r="S16" i="2"/>
  <c r="T16" i="2" s="1"/>
  <c r="U16" i="2" s="1"/>
  <c r="V16" i="2" s="1"/>
  <c r="W16" i="2" s="1"/>
  <c r="R16" i="2"/>
  <c r="R9" i="2"/>
  <c r="S9" i="2" s="1"/>
  <c r="T9" i="2" s="1"/>
  <c r="U9" i="2" s="1"/>
  <c r="V9" i="2" s="1"/>
  <c r="W9" i="2" s="1"/>
  <c r="R8" i="2"/>
  <c r="S8" i="2" s="1"/>
  <c r="T8" i="2" s="1"/>
  <c r="U8" i="2" s="1"/>
  <c r="V8" i="2" s="1"/>
  <c r="W8" i="2" s="1"/>
  <c r="S14" i="2"/>
  <c r="T14" i="2" s="1"/>
  <c r="U14" i="2" s="1"/>
  <c r="V14" i="2" s="1"/>
  <c r="W14" i="2" s="1"/>
  <c r="R14" i="2"/>
  <c r="Q21" i="2"/>
  <c r="S13" i="2"/>
  <c r="T13" i="2" s="1"/>
  <c r="U13" i="2" s="1"/>
  <c r="V13" i="2" s="1"/>
  <c r="W13" i="2" s="1"/>
  <c r="R13" i="2"/>
  <c r="P20" i="2" a="1"/>
  <c r="P20" i="2" s="1"/>
  <c r="Q20" i="2"/>
  <c r="R10" i="2"/>
  <c r="S10" i="2" s="1"/>
  <c r="N10" i="2"/>
  <c r="P21" i="2"/>
  <c r="O21" i="2"/>
  <c r="M21" i="2"/>
  <c r="L21" i="2"/>
  <c r="O20" i="2"/>
  <c r="M20" i="2"/>
  <c r="L20" i="2"/>
  <c r="P53" i="2"/>
  <c r="P52" i="2"/>
  <c r="P41" i="2"/>
  <c r="P42" i="2"/>
  <c r="Q46" i="2"/>
  <c r="P46" i="2"/>
  <c r="P45" i="2"/>
  <c r="P44" i="2"/>
  <c r="P43" i="2"/>
  <c r="P38" i="2"/>
  <c r="P37" i="2"/>
  <c r="P36" i="2"/>
  <c r="P35" i="2"/>
  <c r="P34" i="2"/>
  <c r="P33" i="2"/>
  <c r="P32" i="2"/>
  <c r="P31" i="2"/>
  <c r="P55" i="2" s="1"/>
  <c r="Q53" i="2"/>
  <c r="Q52" i="2"/>
  <c r="Q51" i="2"/>
  <c r="Q48" i="2"/>
  <c r="Q43" i="2"/>
  <c r="Q45" i="2"/>
  <c r="Q44" i="2"/>
  <c r="Q42" i="2"/>
  <c r="Q41" i="2"/>
  <c r="Q34" i="2"/>
  <c r="Q38" i="2"/>
  <c r="Q37" i="2"/>
  <c r="Q36" i="2"/>
  <c r="Q35" i="2"/>
  <c r="Q33" i="2"/>
  <c r="Q32" i="2"/>
  <c r="Q31" i="2"/>
  <c r="Q22" i="2"/>
  <c r="P22" i="2"/>
  <c r="Q16" i="2"/>
  <c r="Q14" i="2"/>
  <c r="Q13" i="2"/>
  <c r="Q12" i="2"/>
  <c r="P16" i="2"/>
  <c r="P14" i="2"/>
  <c r="P13" i="2"/>
  <c r="P12" i="2"/>
  <c r="P9" i="2"/>
  <c r="P8" i="2"/>
  <c r="Q9" i="2"/>
  <c r="Q8" i="2"/>
  <c r="O48" i="2"/>
  <c r="O46" i="2"/>
  <c r="O45" i="2"/>
  <c r="O44" i="2"/>
  <c r="O42" i="2"/>
  <c r="O41" i="2"/>
  <c r="O38" i="2"/>
  <c r="O37" i="2"/>
  <c r="O36" i="2"/>
  <c r="O34" i="2"/>
  <c r="O35" i="2"/>
  <c r="O33" i="2"/>
  <c r="O32" i="2"/>
  <c r="O31" i="2"/>
  <c r="O53" i="2"/>
  <c r="O52" i="2"/>
  <c r="O51" i="2"/>
  <c r="O22" i="2"/>
  <c r="O19" i="2"/>
  <c r="O13" i="2"/>
  <c r="O16" i="2"/>
  <c r="O14" i="2"/>
  <c r="O12" i="2"/>
  <c r="O9" i="2"/>
  <c r="O8" i="2"/>
  <c r="J53" i="2"/>
  <c r="H53" i="2"/>
  <c r="G53" i="2"/>
  <c r="F53" i="2"/>
  <c r="E53" i="2"/>
  <c r="J52" i="2"/>
  <c r="H52" i="2"/>
  <c r="G52" i="2"/>
  <c r="F52" i="2"/>
  <c r="E52" i="2"/>
  <c r="J51" i="2"/>
  <c r="H51" i="2"/>
  <c r="G51" i="2"/>
  <c r="F51" i="2"/>
  <c r="E51" i="2"/>
  <c r="J48" i="2"/>
  <c r="H48" i="2"/>
  <c r="G48" i="2"/>
  <c r="F48" i="2"/>
  <c r="E48" i="2"/>
  <c r="J46" i="2"/>
  <c r="H46" i="2"/>
  <c r="G46" i="2"/>
  <c r="F46" i="2"/>
  <c r="E46" i="2"/>
  <c r="J45" i="2"/>
  <c r="H45" i="2"/>
  <c r="G45" i="2"/>
  <c r="F45" i="2"/>
  <c r="E45" i="2"/>
  <c r="J44" i="2"/>
  <c r="H44" i="2"/>
  <c r="G44" i="2"/>
  <c r="F44" i="2"/>
  <c r="E44" i="2"/>
  <c r="J43" i="2"/>
  <c r="H43" i="2"/>
  <c r="G43" i="2"/>
  <c r="F43" i="2"/>
  <c r="E43" i="2"/>
  <c r="J42" i="2"/>
  <c r="H42" i="2"/>
  <c r="G42" i="2"/>
  <c r="F42" i="2"/>
  <c r="E42" i="2"/>
  <c r="J41" i="2"/>
  <c r="H41" i="2"/>
  <c r="G41" i="2"/>
  <c r="F41" i="2"/>
  <c r="E41" i="2"/>
  <c r="J38" i="2"/>
  <c r="H38" i="2"/>
  <c r="G38" i="2"/>
  <c r="F38" i="2"/>
  <c r="E38" i="2"/>
  <c r="J37" i="2"/>
  <c r="H37" i="2"/>
  <c r="G37" i="2"/>
  <c r="F37" i="2"/>
  <c r="E37" i="2"/>
  <c r="J36" i="2"/>
  <c r="H36" i="2"/>
  <c r="G36" i="2"/>
  <c r="F36" i="2"/>
  <c r="E36" i="2"/>
  <c r="J35" i="2"/>
  <c r="H35" i="2"/>
  <c r="G35" i="2"/>
  <c r="F35" i="2"/>
  <c r="E35" i="2"/>
  <c r="J34" i="2"/>
  <c r="H34" i="2"/>
  <c r="G34" i="2"/>
  <c r="F34" i="2"/>
  <c r="E34" i="2"/>
  <c r="J33" i="2"/>
  <c r="H33" i="2"/>
  <c r="G33" i="2"/>
  <c r="F33" i="2"/>
  <c r="E33" i="2"/>
  <c r="J32" i="2"/>
  <c r="H32" i="2"/>
  <c r="G32" i="2"/>
  <c r="F32" i="2"/>
  <c r="E32" i="2"/>
  <c r="J31" i="2"/>
  <c r="H31" i="2"/>
  <c r="G31" i="2"/>
  <c r="F31" i="2"/>
  <c r="E31" i="2"/>
  <c r="J22" i="2"/>
  <c r="I22" i="2"/>
  <c r="H22" i="2"/>
  <c r="G22" i="2"/>
  <c r="F22" i="2"/>
  <c r="E22" i="2"/>
  <c r="J19" i="2"/>
  <c r="I19" i="2"/>
  <c r="H19" i="2"/>
  <c r="G19" i="2"/>
  <c r="F19" i="2"/>
  <c r="E19" i="2"/>
  <c r="J16" i="2"/>
  <c r="I16" i="2"/>
  <c r="H16" i="2"/>
  <c r="G16" i="2"/>
  <c r="F16" i="2"/>
  <c r="E16" i="2"/>
  <c r="J15" i="2"/>
  <c r="I15" i="2"/>
  <c r="H15" i="2"/>
  <c r="G15" i="2"/>
  <c r="F15" i="2"/>
  <c r="E15" i="2"/>
  <c r="J14" i="2"/>
  <c r="I14" i="2"/>
  <c r="H14" i="2"/>
  <c r="G14" i="2"/>
  <c r="F14" i="2"/>
  <c r="E14" i="2"/>
  <c r="J13" i="2"/>
  <c r="I13" i="2"/>
  <c r="H13" i="2"/>
  <c r="G13" i="2"/>
  <c r="F13" i="2"/>
  <c r="E13" i="2"/>
  <c r="J12" i="2"/>
  <c r="I12" i="2"/>
  <c r="H12" i="2"/>
  <c r="G12" i="2"/>
  <c r="F12" i="2"/>
  <c r="E12" i="2"/>
  <c r="J9" i="2"/>
  <c r="I9" i="2"/>
  <c r="H9" i="2"/>
  <c r="G9" i="2"/>
  <c r="F9" i="2"/>
  <c r="E9" i="2"/>
  <c r="J8" i="2"/>
  <c r="I8" i="2"/>
  <c r="H8" i="2"/>
  <c r="G8" i="2"/>
  <c r="F8" i="2"/>
  <c r="E8" i="2"/>
  <c r="AB51" i="2" l="1"/>
  <c r="AC44" i="2"/>
  <c r="AC40" i="2"/>
  <c r="AB55" i="2"/>
  <c r="AB56" i="2" s="1"/>
  <c r="AB57" i="2" s="1"/>
  <c r="AA59" i="2"/>
  <c r="AA58" i="2"/>
  <c r="AC50" i="2"/>
  <c r="AD43" i="2"/>
  <c r="T10" i="2"/>
  <c r="S25" i="2"/>
  <c r="S26" i="2" s="1"/>
  <c r="U22" i="2"/>
  <c r="S27" i="2"/>
  <c r="S29" i="2" s="1"/>
  <c r="R29" i="2"/>
  <c r="E55" i="2"/>
  <c r="Q54" i="2"/>
  <c r="Q17" i="2"/>
  <c r="Q39" i="2"/>
  <c r="P39" i="2"/>
  <c r="P47" i="2"/>
  <c r="F55" i="2"/>
  <c r="P17" i="2"/>
  <c r="G55" i="2"/>
  <c r="O54" i="2"/>
  <c r="Q10" i="2"/>
  <c r="P54" i="2"/>
  <c r="J17" i="2"/>
  <c r="H39" i="2"/>
  <c r="H47" i="2"/>
  <c r="E17" i="2"/>
  <c r="O47" i="2"/>
  <c r="H10" i="2"/>
  <c r="P10" i="2"/>
  <c r="I10" i="2"/>
  <c r="G17" i="2"/>
  <c r="O10" i="2"/>
  <c r="J10" i="2"/>
  <c r="J25" i="2" s="1"/>
  <c r="F17" i="2"/>
  <c r="F26" i="2" s="1"/>
  <c r="F27" i="2" s="1"/>
  <c r="F29" i="2" s="1"/>
  <c r="J39" i="2"/>
  <c r="E39" i="2"/>
  <c r="E47" i="2"/>
  <c r="J54" i="2"/>
  <c r="Q55" i="2"/>
  <c r="G54" i="2"/>
  <c r="O17" i="2"/>
  <c r="O25" i="2" s="1"/>
  <c r="O26" i="2" s="1"/>
  <c r="O27" i="2" s="1"/>
  <c r="O29" i="2" s="1"/>
  <c r="O39" i="2"/>
  <c r="O49" i="2" s="1"/>
  <c r="J55" i="2"/>
  <c r="O55" i="2"/>
  <c r="E10" i="2"/>
  <c r="F10" i="2"/>
  <c r="F39" i="2"/>
  <c r="F47" i="2"/>
  <c r="J47" i="2"/>
  <c r="E54" i="2"/>
  <c r="H54" i="2"/>
  <c r="Q47" i="2"/>
  <c r="H55" i="2"/>
  <c r="H17" i="2"/>
  <c r="G10" i="2"/>
  <c r="G26" i="2" s="1"/>
  <c r="G27" i="2" s="1"/>
  <c r="G29" i="2" s="1"/>
  <c r="I17" i="2"/>
  <c r="G39" i="2"/>
  <c r="G47" i="2"/>
  <c r="F54" i="2"/>
  <c r="AD50" i="2" l="1"/>
  <c r="AE43" i="2"/>
  <c r="AB59" i="2"/>
  <c r="AB58" i="2"/>
  <c r="AD40" i="2"/>
  <c r="AC55" i="2"/>
  <c r="AC56" i="2" s="1"/>
  <c r="AC57" i="2" s="1"/>
  <c r="AC51" i="2"/>
  <c r="AD44" i="2"/>
  <c r="U10" i="2"/>
  <c r="T25" i="2"/>
  <c r="T26" i="2" s="1"/>
  <c r="T27" i="2" s="1"/>
  <c r="V22" i="2"/>
  <c r="H49" i="2"/>
  <c r="P49" i="2"/>
  <c r="Q49" i="2"/>
  <c r="H25" i="2"/>
  <c r="J26" i="2"/>
  <c r="J27" i="2" s="1"/>
  <c r="J29" i="2" s="1"/>
  <c r="E26" i="2"/>
  <c r="E27" i="2" s="1"/>
  <c r="E29" i="2" s="1"/>
  <c r="I26" i="2"/>
  <c r="I27" i="2" s="1"/>
  <c r="I29" i="2" s="1"/>
  <c r="J49" i="2"/>
  <c r="P25" i="2"/>
  <c r="P26" i="2" s="1"/>
  <c r="P27" i="2" s="1"/>
  <c r="Q25" i="2"/>
  <c r="Q26" i="2" s="1"/>
  <c r="Q27" i="2" s="1"/>
  <c r="F25" i="2"/>
  <c r="G25" i="2"/>
  <c r="I25" i="2"/>
  <c r="H26" i="2"/>
  <c r="H27" i="2" s="1"/>
  <c r="H29" i="2" s="1"/>
  <c r="E25" i="2"/>
  <c r="E49" i="2"/>
  <c r="G49" i="2"/>
  <c r="F49" i="2"/>
  <c r="D9" i="1"/>
  <c r="D8" i="1"/>
  <c r="D7" i="1"/>
  <c r="D5" i="1"/>
  <c r="D6" i="1"/>
  <c r="D4" i="1"/>
  <c r="AE44" i="2" l="1"/>
  <c r="AD51" i="2"/>
  <c r="AE40" i="2"/>
  <c r="AD55" i="2"/>
  <c r="AD56" i="2" s="1"/>
  <c r="AD57" i="2" s="1"/>
  <c r="AC59" i="2"/>
  <c r="AC58" i="2"/>
  <c r="AF43" i="2"/>
  <c r="AF50" i="2" s="1"/>
  <c r="AE50" i="2"/>
  <c r="T29" i="2"/>
  <c r="V10" i="2"/>
  <c r="U25" i="2"/>
  <c r="U26" i="2" s="1"/>
  <c r="U27" i="2" s="1"/>
  <c r="U29" i="2"/>
  <c r="W22" i="2"/>
  <c r="P29" i="2"/>
  <c r="P28" i="2"/>
  <c r="Q29" i="2"/>
  <c r="Q28" i="2"/>
  <c r="AD59" i="2" l="1"/>
  <c r="AD58" i="2"/>
  <c r="AF40" i="2"/>
  <c r="AE55" i="2"/>
  <c r="AE56" i="2" s="1"/>
  <c r="AE57" i="2" s="1"/>
  <c r="AF44" i="2"/>
  <c r="AF51" i="2" s="1"/>
  <c r="AE51" i="2"/>
  <c r="W10" i="2"/>
  <c r="W25" i="2" s="1"/>
  <c r="W26" i="2" s="1"/>
  <c r="W27" i="2" s="1"/>
  <c r="V25" i="2"/>
  <c r="V26" i="2" s="1"/>
  <c r="V27" i="2" s="1"/>
  <c r="V29" i="2"/>
  <c r="AF55" i="2" l="1"/>
  <c r="AF56" i="2" s="1"/>
  <c r="AF57" i="2" s="1"/>
  <c r="AE59" i="2"/>
  <c r="AE58" i="2"/>
  <c r="W29" i="2"/>
  <c r="AF59" i="2" l="1"/>
  <c r="AF5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tc={16ABC53D-0E4D-4418-B3F9-875E354A06E3}</author>
  </authors>
  <commentList>
    <comment ref="V27" authorId="0" shapeId="0" xr:uid="{16ABC53D-0E4D-4418-B3F9-875E354A06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Ok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<sst xmlns="http://schemas.openxmlformats.org/spreadsheetml/2006/main" count="84" uniqueCount="81">
  <si>
    <t xml:space="preserve">zomato </t>
  </si>
  <si>
    <t>price</t>
  </si>
  <si>
    <t>cash</t>
  </si>
  <si>
    <t>debt</t>
  </si>
  <si>
    <t>MC</t>
  </si>
  <si>
    <t>Ev</t>
  </si>
  <si>
    <t>shares</t>
  </si>
  <si>
    <t>subsidiaries</t>
  </si>
  <si>
    <t>blinkit</t>
  </si>
  <si>
    <t>hyperpure</t>
  </si>
  <si>
    <t>Rivals</t>
  </si>
  <si>
    <t>swiggy</t>
  </si>
  <si>
    <t>Eatsure</t>
  </si>
  <si>
    <t>Tata</t>
  </si>
  <si>
    <t>Business</t>
  </si>
  <si>
    <t>food delievry</t>
  </si>
  <si>
    <t>zepto</t>
  </si>
  <si>
    <t>Zomato</t>
  </si>
  <si>
    <t>Groceries</t>
  </si>
  <si>
    <t>blnkit</t>
  </si>
  <si>
    <t>restautant</t>
  </si>
  <si>
    <t>restaurants</t>
  </si>
  <si>
    <t>Main</t>
  </si>
  <si>
    <t>(rupees)</t>
  </si>
  <si>
    <t>Crores</t>
  </si>
  <si>
    <t>Revenue</t>
  </si>
  <si>
    <t>Others</t>
  </si>
  <si>
    <t>Total Revenue</t>
  </si>
  <si>
    <t>COGS</t>
  </si>
  <si>
    <t xml:space="preserve"> stock expenses</t>
  </si>
  <si>
    <t>D&amp;A</t>
  </si>
  <si>
    <t>Delivery charges</t>
  </si>
  <si>
    <t>Total Expenses</t>
  </si>
  <si>
    <t>Exceptional Items</t>
  </si>
  <si>
    <t>Taxes</t>
  </si>
  <si>
    <t>EBITDA</t>
  </si>
  <si>
    <t>EBIT</t>
  </si>
  <si>
    <t>NET INCOME</t>
  </si>
  <si>
    <t xml:space="preserve">EPS </t>
  </si>
  <si>
    <t>PP&amp;E</t>
  </si>
  <si>
    <t>Capex</t>
  </si>
  <si>
    <t>investments</t>
  </si>
  <si>
    <t>others</t>
  </si>
  <si>
    <t>cash and equivalents</t>
  </si>
  <si>
    <t>trade receivables</t>
  </si>
  <si>
    <t>other financial assets</t>
  </si>
  <si>
    <t>total Assets</t>
  </si>
  <si>
    <t>lease</t>
  </si>
  <si>
    <t>tax liabilities</t>
  </si>
  <si>
    <t>Accounts payable</t>
  </si>
  <si>
    <t>Trade Payables</t>
  </si>
  <si>
    <t>Provisions</t>
  </si>
  <si>
    <t>INVENTORIES</t>
  </si>
  <si>
    <t>Total Liabilities</t>
  </si>
  <si>
    <t>Equity</t>
  </si>
  <si>
    <t>Balance</t>
  </si>
  <si>
    <t>CFFO</t>
  </si>
  <si>
    <t>CFFI</t>
  </si>
  <si>
    <t>CFFF</t>
  </si>
  <si>
    <t>FCF</t>
  </si>
  <si>
    <t>Increase/decrease of cash (EOY)</t>
  </si>
  <si>
    <t>Operations</t>
  </si>
  <si>
    <t>2022E</t>
  </si>
  <si>
    <t>2023E</t>
  </si>
  <si>
    <t>2024E</t>
  </si>
  <si>
    <t>2025A</t>
  </si>
  <si>
    <t>2026A</t>
  </si>
  <si>
    <t>2027A</t>
  </si>
  <si>
    <t>2028A</t>
  </si>
  <si>
    <t>2029A</t>
  </si>
  <si>
    <t>2030A</t>
  </si>
  <si>
    <t>Revenue Y/Y</t>
  </si>
  <si>
    <t>expenses Y/Y</t>
  </si>
  <si>
    <t>income growth</t>
  </si>
  <si>
    <t>D&amp;A(%)</t>
  </si>
  <si>
    <t>COGS(%)</t>
  </si>
  <si>
    <t>Maturity</t>
  </si>
  <si>
    <t>discount</t>
  </si>
  <si>
    <t>Roic</t>
  </si>
  <si>
    <t>NPV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</si>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</sst>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4" fontId="2" fillId="0" borderId="0" xfId="0" applyNumberFormat="1" applyFont="1"/>
    <xf numFmtId="0" fontId="3" fillId="0" borderId="0" xfId="0" applyFont="1"/>
    <xf numFmtId="17" fontId="1" fillId="0" borderId="0" xfId="0" applyNumberFormat="1" applyFont="1"/>
    <xf numFmtId="2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164" fontId="1" fillId="0" borderId="0" xfId="0" applyNumberFormat="1" applyFont="1"/>
    <xf numFmtId="164" fontId="3" fillId="0" borderId="0" xfId="0" applyNumberFormat="1" applyFont="1"/>
    <xf numFmtId="9" fontId="3" fillId="0" borderId="0" xfId="0" applyNumberFormat="1" applyFont="1"/>
    <xf numFmtId="1" fontId="3" fillId="0" borderId="0" xfId="0" applyNumberFormat="1" applyFont="1"/>
    <xf numFmtId="8" fontId="3" fillId="0" borderId="0" xfId="0" applyNumberFormat="1" applyFont="1"/>
    <xf numFmtId="10" fontId="3" fillId="0" borderId="0" xfId="0" applyNumberFormat="1" applyFont="1"/>
    <xf numFmtId="0" fontId="4" fillId="0" borderId="0" xfId="1"/>
    <xf numFmtId="0" fontId="1" fillId="4" borderId="0" xfId="0" applyFont="1" applyFill="1"/>
    <xf numFmtId="8" fontId="3" fillId="5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1051</xdr:colOff>
      <xdr:row>3</xdr:row>
      <xdr:rowOff>136635</xdr:rowOff>
    </xdr:from>
    <xdr:to>
      <xdr:col>17</xdr:col>
      <xdr:colOff>1051</xdr:colOff>
      <xdr:row>55</xdr:row>
      <xdr:rowOff>46246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9751DD8-F788-012B-D28D-B2E853F68C6E}"/>
            </a:ext>
          </a:extLst>
        </xdr:cNvPr>
        <xdr:cNvCxnSpPr/>
      </xdr:nvCxnSpPr>
      <xdr:spPr>
        <a:xfrm>
          <a:off x="11463896" y="727842"/>
          <a:ext cx="0" cy="101571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NI SRIKAR" id="{BD386C20-AAA8-4968-81BA-D42E075B792E}" userId="55fe75c371e9729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27" dT="2024-11-05T06:53:31.36" personId="{BD386C20-AAA8-4968-81BA-D42E075B792E}" id="{16ABC53D-0E4D-4418-B3F9-875E354A06E3}">
    <text xml:space="preserve">Ok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54A9-FE16-4D14-92F6-BBDCD78CE225}">
  <dimension ref="B3:I14"/>
  <sheetViews>
    <sheetView workbookViewId="0">
      <selection activeCell="D10" sqref="D10"/>
    </sheetView>
  </sheetViews>
  <sheetFormatPr defaultRowHeight="14.4" x14ac:dyDescent="0.3"/>
  <cols>
    <col min="3" max="3" width="11.6640625" bestFit="1" customWidth="1"/>
    <col min="4" max="4" width="28.44140625" customWidth="1"/>
    <col min="6" max="6" width="10.33203125" bestFit="1" customWidth="1"/>
  </cols>
  <sheetData>
    <row r="3" spans="2:9" ht="15.6" x14ac:dyDescent="0.3">
      <c r="C3" s="1" t="s">
        <v>0</v>
      </c>
      <c r="F3" t="s">
        <v>7</v>
      </c>
      <c r="H3" t="s">
        <v>10</v>
      </c>
    </row>
    <row r="4" spans="2:9" x14ac:dyDescent="0.3">
      <c r="C4" t="s">
        <v>1</v>
      </c>
      <c r="D4">
        <f>241.75</f>
        <v>241.75</v>
      </c>
      <c r="G4" t="s">
        <v>8</v>
      </c>
      <c r="I4" t="s">
        <v>11</v>
      </c>
    </row>
    <row r="5" spans="2:9" x14ac:dyDescent="0.3">
      <c r="C5" t="s">
        <v>2</v>
      </c>
      <c r="D5">
        <f>33.4*1000000000</f>
        <v>33400000000</v>
      </c>
      <c r="G5" t="s">
        <v>9</v>
      </c>
      <c r="I5" t="s">
        <v>12</v>
      </c>
    </row>
    <row r="6" spans="2:9" x14ac:dyDescent="0.3">
      <c r="C6" t="s">
        <v>3</v>
      </c>
      <c r="D6">
        <f>11.63*1000000000</f>
        <v>11630000000</v>
      </c>
      <c r="I6" t="s">
        <v>13</v>
      </c>
    </row>
    <row r="7" spans="2:9" x14ac:dyDescent="0.3">
      <c r="C7" t="s">
        <v>4</v>
      </c>
      <c r="D7">
        <f>213663*10000000</f>
        <v>2136630000000</v>
      </c>
      <c r="I7" t="s">
        <v>16</v>
      </c>
    </row>
    <row r="8" spans="2:9" x14ac:dyDescent="0.3">
      <c r="C8" t="s">
        <v>5</v>
      </c>
      <c r="D8">
        <f>D7+D6-D5</f>
        <v>2114860000000</v>
      </c>
    </row>
    <row r="9" spans="2:9" ht="15.6" x14ac:dyDescent="0.3">
      <c r="C9" t="s">
        <v>6</v>
      </c>
      <c r="D9" s="2">
        <f>8800000000</f>
        <v>8800000000</v>
      </c>
    </row>
    <row r="11" spans="2:9" x14ac:dyDescent="0.3">
      <c r="B11" t="s">
        <v>14</v>
      </c>
      <c r="C11" t="s">
        <v>15</v>
      </c>
      <c r="D11" t="s">
        <v>17</v>
      </c>
    </row>
    <row r="12" spans="2:9" x14ac:dyDescent="0.3">
      <c r="C12" t="s">
        <v>18</v>
      </c>
      <c r="D12" t="s">
        <v>19</v>
      </c>
    </row>
    <row r="13" spans="2:9" x14ac:dyDescent="0.3">
      <c r="C13" t="s">
        <v>20</v>
      </c>
      <c r="D13" t="s">
        <v>9</v>
      </c>
    </row>
    <row r="14" spans="2:9" x14ac:dyDescent="0.3">
      <c r="D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96FE-0091-4E15-A723-3EB81A0D68F5}">
  <dimension ref="A1:DL59"/>
  <sheetViews>
    <sheetView tabSelected="1" zoomScale="99" zoomScaleNormal="85" workbookViewId="0">
      <pane xSplit="3" ySplit="5" topLeftCell="R25" activePane="bottomRight" state="frozen"/>
      <selection pane="topRight" activeCell="D1" sqref="D1"/>
      <selection pane="bottomLeft" activeCell="A6" sqref="A6"/>
      <selection pane="bottomRight" activeCell="V27" sqref="V27"/>
    </sheetView>
  </sheetViews>
  <sheetFormatPr defaultRowHeight="15.6" x14ac:dyDescent="0.3"/>
  <cols>
    <col min="1" max="1" width="10.44140625" style="3" bestFit="1" customWidth="1"/>
    <col min="2" max="2" width="21" style="3" bestFit="1" customWidth="1"/>
    <col min="3" max="13" width="8.88671875" style="3"/>
    <col min="14" max="14" width="11" style="3" bestFit="1" customWidth="1"/>
    <col min="15" max="26" width="8.88671875" style="3"/>
    <col min="27" max="27" width="23.21875" style="3" bestFit="1" customWidth="1"/>
    <col min="28" max="15222" width="8.88671875" style="3"/>
    <col min="15223" max="15223" width="10.5546875" style="3" customWidth="1"/>
    <col min="15224" max="16384" width="8.88671875" style="3"/>
  </cols>
  <sheetData>
    <row r="1" spans="1:23" x14ac:dyDescent="0.3">
      <c r="A1" s="14" t="s">
        <v>22</v>
      </c>
    </row>
    <row r="2" spans="1:23" x14ac:dyDescent="0.3">
      <c r="A2" s="3" t="s">
        <v>23</v>
      </c>
    </row>
    <row r="3" spans="1:23" x14ac:dyDescent="0.3">
      <c r="A3" s="3" t="s">
        <v>24</v>
      </c>
    </row>
    <row r="5" spans="1:23" x14ac:dyDescent="0.3">
      <c r="E5" s="4">
        <v>45078</v>
      </c>
      <c r="F5" s="4">
        <v>45170</v>
      </c>
      <c r="G5" s="4">
        <v>45261</v>
      </c>
      <c r="H5" s="4">
        <v>45352</v>
      </c>
      <c r="I5" s="4">
        <v>45444</v>
      </c>
      <c r="J5" s="4">
        <v>45536</v>
      </c>
      <c r="K5" s="4"/>
      <c r="L5" s="4"/>
      <c r="M5" s="4"/>
      <c r="N5" s="4"/>
      <c r="O5" s="4" t="s">
        <v>62</v>
      </c>
      <c r="P5" s="4" t="s">
        <v>63</v>
      </c>
      <c r="Q5" s="4" t="s">
        <v>64</v>
      </c>
      <c r="R5" s="4" t="s">
        <v>65</v>
      </c>
      <c r="S5" s="4" t="s">
        <v>66</v>
      </c>
      <c r="T5" s="4" t="s">
        <v>67</v>
      </c>
      <c r="U5" s="4" t="s">
        <v>68</v>
      </c>
      <c r="V5" s="4" t="s">
        <v>69</v>
      </c>
      <c r="W5" s="1" t="s">
        <v>70</v>
      </c>
    </row>
    <row r="7" spans="1:23" x14ac:dyDescent="0.3">
      <c r="A7" s="1" t="s">
        <v>25</v>
      </c>
    </row>
    <row r="8" spans="1:23" x14ac:dyDescent="0.3">
      <c r="B8" s="3" t="s">
        <v>61</v>
      </c>
      <c r="E8" s="3">
        <f>2416</f>
        <v>2416</v>
      </c>
      <c r="F8" s="3">
        <f>2848</f>
        <v>2848</v>
      </c>
      <c r="G8" s="3">
        <f>3288</f>
        <v>3288</v>
      </c>
      <c r="H8" s="3">
        <f>3582</f>
        <v>3582</v>
      </c>
      <c r="I8" s="3">
        <f>4206</f>
        <v>4206</v>
      </c>
      <c r="J8" s="3">
        <f>4799</f>
        <v>4799</v>
      </c>
      <c r="O8" s="3">
        <f>41924</f>
        <v>41924</v>
      </c>
      <c r="P8" s="3">
        <f>7079</f>
        <v>7079</v>
      </c>
      <c r="Q8" s="3">
        <f>12114</f>
        <v>12114</v>
      </c>
      <c r="R8" s="3">
        <f>Q8*R11+Q8</f>
        <v>13325.4</v>
      </c>
      <c r="S8" s="3">
        <f t="shared" ref="S8:W8" si="0">R8*S11+R8</f>
        <v>15990.48</v>
      </c>
      <c r="T8" s="3">
        <f t="shared" si="0"/>
        <v>19188.576000000001</v>
      </c>
      <c r="U8" s="3">
        <f t="shared" si="0"/>
        <v>23026.2912</v>
      </c>
      <c r="V8" s="3">
        <f t="shared" si="0"/>
        <v>27631.549439999999</v>
      </c>
      <c r="W8" s="3">
        <f t="shared" si="0"/>
        <v>33157.859327999999</v>
      </c>
    </row>
    <row r="9" spans="1:23" x14ac:dyDescent="0.3">
      <c r="B9" s="3" t="s">
        <v>26</v>
      </c>
      <c r="E9" s="3">
        <f>181</f>
        <v>181</v>
      </c>
      <c r="F9" s="3">
        <f>212</f>
        <v>212</v>
      </c>
      <c r="G9" s="3">
        <f>219</f>
        <v>219</v>
      </c>
      <c r="H9" s="3">
        <f>235</f>
        <v>235</v>
      </c>
      <c r="I9" s="3">
        <f>236</f>
        <v>236</v>
      </c>
      <c r="J9" s="3">
        <f>221</f>
        <v>221</v>
      </c>
      <c r="O9" s="3">
        <f>4949</f>
        <v>4949</v>
      </c>
      <c r="P9" s="3">
        <f>682</f>
        <v>682</v>
      </c>
      <c r="Q9" s="3">
        <f>847</f>
        <v>847</v>
      </c>
      <c r="R9" s="11">
        <f>Q9*R11+Q9</f>
        <v>931.7</v>
      </c>
      <c r="S9" s="11">
        <f t="shared" ref="S9:W9" si="1">R9*S11+R9</f>
        <v>1118.04</v>
      </c>
      <c r="T9" s="11">
        <f t="shared" si="1"/>
        <v>1341.6479999999999</v>
      </c>
      <c r="U9" s="11">
        <f t="shared" si="1"/>
        <v>1609.9775999999999</v>
      </c>
      <c r="V9" s="11">
        <f t="shared" si="1"/>
        <v>1931.9731199999999</v>
      </c>
      <c r="W9" s="11">
        <f t="shared" si="1"/>
        <v>2318.3677440000001</v>
      </c>
    </row>
    <row r="10" spans="1:23" x14ac:dyDescent="0.3">
      <c r="A10" s="1" t="s">
        <v>27</v>
      </c>
      <c r="B10" s="1"/>
      <c r="C10" s="1"/>
      <c r="D10" s="1"/>
      <c r="E10" s="1">
        <f t="shared" ref="E10:J10" si="2">E8+E9</f>
        <v>2597</v>
      </c>
      <c r="F10" s="1">
        <f t="shared" si="2"/>
        <v>3060</v>
      </c>
      <c r="G10" s="1">
        <f t="shared" si="2"/>
        <v>3507</v>
      </c>
      <c r="H10" s="1">
        <f t="shared" si="2"/>
        <v>3817</v>
      </c>
      <c r="I10" s="1">
        <f t="shared" si="2"/>
        <v>4442</v>
      </c>
      <c r="J10" s="1">
        <f t="shared" si="2"/>
        <v>5020</v>
      </c>
      <c r="K10" s="1"/>
      <c r="L10" s="1"/>
      <c r="M10" s="1"/>
      <c r="N10" s="1">
        <f>3000</f>
        <v>3000</v>
      </c>
      <c r="O10" s="1">
        <f>O8+O9</f>
        <v>46873</v>
      </c>
      <c r="P10" s="1">
        <f>P8+P9</f>
        <v>7761</v>
      </c>
      <c r="Q10" s="1">
        <f>Q8+Q9</f>
        <v>12961</v>
      </c>
      <c r="R10" s="1">
        <f>Q10*R11+Q10</f>
        <v>14257.1</v>
      </c>
      <c r="S10" s="1">
        <f t="shared" ref="S10:W10" si="3">R10*S11+R10</f>
        <v>17108.52</v>
      </c>
      <c r="T10" s="1">
        <f t="shared" si="3"/>
        <v>20530.224000000002</v>
      </c>
      <c r="U10" s="1">
        <f t="shared" si="3"/>
        <v>24636.268800000002</v>
      </c>
      <c r="V10" s="1">
        <f t="shared" si="3"/>
        <v>29563.522560000001</v>
      </c>
      <c r="W10" s="1">
        <f t="shared" si="3"/>
        <v>35476.227072000001</v>
      </c>
    </row>
    <row r="11" spans="1:23" x14ac:dyDescent="0.3">
      <c r="A11" s="1" t="s">
        <v>71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8">
        <f>N10/P10-1</f>
        <v>-0.61345187475840746</v>
      </c>
      <c r="Q11" s="8">
        <f>Q10/P10-1</f>
        <v>0.67001675041876041</v>
      </c>
      <c r="R11" s="10">
        <v>0.1</v>
      </c>
      <c r="S11" s="10">
        <v>0.2</v>
      </c>
      <c r="T11" s="10">
        <v>0.2</v>
      </c>
      <c r="U11" s="10">
        <v>0.2</v>
      </c>
      <c r="V11" s="10">
        <v>0.2</v>
      </c>
      <c r="W11" s="10">
        <v>0.2</v>
      </c>
    </row>
    <row r="12" spans="1:23" x14ac:dyDescent="0.3">
      <c r="B12" s="3" t="s">
        <v>29</v>
      </c>
      <c r="E12" s="3">
        <f>557</f>
        <v>557</v>
      </c>
      <c r="F12" s="3">
        <f>685</f>
        <v>685</v>
      </c>
      <c r="G12" s="3">
        <f>783</f>
        <v>783</v>
      </c>
      <c r="H12" s="3">
        <f>862</f>
        <v>862</v>
      </c>
      <c r="I12" s="3">
        <f>1116</f>
        <v>1116</v>
      </c>
      <c r="J12" s="3">
        <f>1369</f>
        <v>1369</v>
      </c>
      <c r="O12" s="3">
        <f>5524</f>
        <v>5524</v>
      </c>
      <c r="P12" s="3">
        <f>1438</f>
        <v>1438</v>
      </c>
      <c r="Q12" s="3">
        <f>2887</f>
        <v>2887</v>
      </c>
    </row>
    <row r="13" spans="1:23" x14ac:dyDescent="0.3">
      <c r="B13" s="3" t="s">
        <v>28</v>
      </c>
      <c r="E13" s="3">
        <f>5+338+18+314</f>
        <v>675</v>
      </c>
      <c r="F13" s="3">
        <f>-11+417+16+355</f>
        <v>777</v>
      </c>
      <c r="G13" s="3">
        <f>-1+423+18+374</f>
        <v>814</v>
      </c>
      <c r="H13" s="3">
        <f>481+20+389</f>
        <v>890</v>
      </c>
      <c r="I13" s="3">
        <f>529+25+396-17</f>
        <v>933</v>
      </c>
      <c r="J13" s="3">
        <f>-35+590+30+421</f>
        <v>1006</v>
      </c>
      <c r="O13" s="3">
        <f>-278+16331+120</f>
        <v>16173</v>
      </c>
      <c r="P13" s="3">
        <f>-43+1465+49</f>
        <v>1471</v>
      </c>
      <c r="Q13" s="3">
        <f>-5+1659+72</f>
        <v>1726</v>
      </c>
      <c r="R13" s="11">
        <f>$Q$20*Q13+Q13</f>
        <v>2025.2046227056424</v>
      </c>
      <c r="S13" s="11">
        <f t="shared" ref="S13:W13" si="4">$Q$20*R13+R13</f>
        <v>2376.276804072018</v>
      </c>
      <c r="T13" s="11">
        <f t="shared" si="4"/>
        <v>2788.2078612021096</v>
      </c>
      <c r="U13" s="11">
        <f t="shared" si="4"/>
        <v>3271.5477691603269</v>
      </c>
      <c r="V13" s="11">
        <f t="shared" si="4"/>
        <v>3838.6753566082421</v>
      </c>
      <c r="W13" s="11">
        <f t="shared" si="4"/>
        <v>4504.1153402486916</v>
      </c>
    </row>
    <row r="14" spans="1:23" x14ac:dyDescent="0.3">
      <c r="B14" s="3" t="s">
        <v>30</v>
      </c>
      <c r="E14" s="3">
        <f>130</f>
        <v>130</v>
      </c>
      <c r="F14" s="3">
        <f>128</f>
        <v>128</v>
      </c>
      <c r="G14" s="3">
        <f>128</f>
        <v>128</v>
      </c>
      <c r="H14" s="3">
        <f>140</f>
        <v>140</v>
      </c>
      <c r="I14" s="3">
        <f>149</f>
        <v>149</v>
      </c>
      <c r="J14" s="3">
        <f>180</f>
        <v>180</v>
      </c>
      <c r="O14" s="3">
        <f>1503</f>
        <v>1503</v>
      </c>
      <c r="P14" s="3">
        <f>437</f>
        <v>437</v>
      </c>
      <c r="Q14" s="3">
        <f>526</f>
        <v>526</v>
      </c>
      <c r="R14" s="11">
        <f>$Q$21*Q14+Q14</f>
        <v>633.12585812356974</v>
      </c>
      <c r="S14" s="11">
        <f t="shared" ref="S14:W14" si="5">$Q$21*R14+R14</f>
        <v>762.06911069335843</v>
      </c>
      <c r="T14" s="11">
        <f t="shared" si="5"/>
        <v>917.27311721900799</v>
      </c>
      <c r="U14" s="11">
        <f t="shared" si="5"/>
        <v>1104.0861777052589</v>
      </c>
      <c r="V14" s="11">
        <f t="shared" si="5"/>
        <v>1328.9458340342476</v>
      </c>
      <c r="W14" s="11">
        <f t="shared" si="5"/>
        <v>1599.6007064119317</v>
      </c>
    </row>
    <row r="15" spans="1:23" x14ac:dyDescent="0.3">
      <c r="B15" s="3" t="s">
        <v>31</v>
      </c>
      <c r="E15" s="3">
        <f>810</f>
        <v>810</v>
      </c>
      <c r="F15" s="3">
        <f>919</f>
        <v>919</v>
      </c>
      <c r="G15" s="3">
        <f>1068</f>
        <v>1068</v>
      </c>
      <c r="H15" s="3">
        <f>1118</f>
        <v>1118</v>
      </c>
      <c r="I15" s="3">
        <f>1328</f>
        <v>1328</v>
      </c>
      <c r="J15" s="3">
        <f>1398</f>
        <v>1398</v>
      </c>
    </row>
    <row r="16" spans="1:23" x14ac:dyDescent="0.3">
      <c r="B16" s="3" t="s">
        <v>26</v>
      </c>
      <c r="E16" s="3">
        <f>440</f>
        <v>440</v>
      </c>
      <c r="F16" s="3">
        <f>530</f>
        <v>530</v>
      </c>
      <c r="G16" s="3">
        <f>590</f>
        <v>590</v>
      </c>
      <c r="H16" s="3">
        <f>624</f>
        <v>624</v>
      </c>
      <c r="I16" s="3">
        <f>677</f>
        <v>677</v>
      </c>
      <c r="J16" s="3">
        <f>830</f>
        <v>830</v>
      </c>
      <c r="O16" s="3">
        <f>38855</f>
        <v>38855</v>
      </c>
      <c r="P16" s="3">
        <f>5429</f>
        <v>5429</v>
      </c>
      <c r="Q16" s="3">
        <f>7531</f>
        <v>7531</v>
      </c>
      <c r="R16" s="11">
        <f>(Q16/P16-1)*Q16+Q16</f>
        <v>10446.852274820409</v>
      </c>
      <c r="S16" s="11">
        <f t="shared" ref="S16:W16" si="6">(R16/Q16-1)*R16+R16</f>
        <v>14491.664115246362</v>
      </c>
      <c r="T16" s="11">
        <f t="shared" si="6"/>
        <v>20102.546040140056</v>
      </c>
      <c r="U16" s="11">
        <f t="shared" si="6"/>
        <v>27885.849001343671</v>
      </c>
      <c r="V16" s="11">
        <f t="shared" si="6"/>
        <v>38682.690887662407</v>
      </c>
      <c r="W16" s="11">
        <f t="shared" si="6"/>
        <v>53659.853578004346</v>
      </c>
    </row>
    <row r="17" spans="1:116" x14ac:dyDescent="0.3">
      <c r="A17" s="1" t="s">
        <v>32</v>
      </c>
      <c r="B17" s="1"/>
      <c r="C17" s="1"/>
      <c r="D17" s="1"/>
      <c r="E17" s="1">
        <f t="shared" ref="E17:J17" si="7">E12+E13+E14+E15+E16</f>
        <v>2612</v>
      </c>
      <c r="F17" s="1">
        <f t="shared" si="7"/>
        <v>3039</v>
      </c>
      <c r="G17" s="1">
        <f t="shared" si="7"/>
        <v>3383</v>
      </c>
      <c r="H17" s="1">
        <f t="shared" si="7"/>
        <v>3634</v>
      </c>
      <c r="I17" s="1">
        <f t="shared" si="7"/>
        <v>4203</v>
      </c>
      <c r="J17" s="1">
        <f t="shared" si="7"/>
        <v>4783</v>
      </c>
      <c r="K17" s="1"/>
      <c r="L17" s="1"/>
      <c r="M17" s="1"/>
      <c r="N17" s="1"/>
      <c r="O17" s="3">
        <f>SUM(O12:O16)</f>
        <v>62055</v>
      </c>
      <c r="P17" s="3">
        <f>SUM(P12:P16)</f>
        <v>8775</v>
      </c>
      <c r="Q17" s="3">
        <f>SUM(Q12:Q16)</f>
        <v>12670</v>
      </c>
      <c r="R17" s="3">
        <f>Q17*R18+Q17</f>
        <v>13556.9</v>
      </c>
      <c r="S17" s="3">
        <f t="shared" ref="S17:W17" si="8">R17*S18+R17</f>
        <v>14505.883</v>
      </c>
      <c r="T17" s="3">
        <f t="shared" si="8"/>
        <v>15521.294809999999</v>
      </c>
      <c r="U17" s="3">
        <f t="shared" si="8"/>
        <v>16607.7854467</v>
      </c>
      <c r="V17" s="3">
        <f t="shared" si="8"/>
        <v>17770.330427968998</v>
      </c>
      <c r="W17" s="3">
        <f t="shared" si="8"/>
        <v>19014.25355792683</v>
      </c>
    </row>
    <row r="18" spans="1:116" x14ac:dyDescent="0.3">
      <c r="A18" s="1" t="s">
        <v>72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P18" s="10"/>
      <c r="Q18" s="10"/>
      <c r="R18" s="10">
        <f>7%</f>
        <v>7.0000000000000007E-2</v>
      </c>
      <c r="S18" s="10">
        <f>7%</f>
        <v>7.0000000000000007E-2</v>
      </c>
      <c r="T18" s="10">
        <f>7%</f>
        <v>7.0000000000000007E-2</v>
      </c>
      <c r="U18" s="10">
        <f>7%</f>
        <v>7.0000000000000007E-2</v>
      </c>
      <c r="V18" s="10">
        <f>7%</f>
        <v>7.0000000000000007E-2</v>
      </c>
      <c r="W18" s="10">
        <f>7%</f>
        <v>7.0000000000000007E-2</v>
      </c>
    </row>
    <row r="19" spans="1:116" x14ac:dyDescent="0.3">
      <c r="B19" s="3" t="s">
        <v>33</v>
      </c>
      <c r="E19" s="3">
        <f>0</f>
        <v>0</v>
      </c>
      <c r="F19" s="3">
        <f>0</f>
        <v>0</v>
      </c>
      <c r="G19" s="3">
        <f>0</f>
        <v>0</v>
      </c>
      <c r="H19" s="3">
        <f>0</f>
        <v>0</v>
      </c>
      <c r="I19" s="3">
        <f>0</f>
        <v>0</v>
      </c>
      <c r="J19" s="3">
        <f>0</f>
        <v>0</v>
      </c>
      <c r="O19" s="3">
        <f>2974</f>
        <v>2974</v>
      </c>
      <c r="P19" s="3">
        <v>0</v>
      </c>
      <c r="Q19" s="3">
        <v>0</v>
      </c>
    </row>
    <row r="20" spans="1:116" x14ac:dyDescent="0.3">
      <c r="B20" s="3" t="s">
        <v>75</v>
      </c>
      <c r="L20" s="3">
        <f>900</f>
        <v>900</v>
      </c>
      <c r="M20" s="3">
        <f>1200</f>
        <v>1200</v>
      </c>
      <c r="O20" s="10">
        <f>L20/M20</f>
        <v>0.75</v>
      </c>
      <c r="P20" s="10" t="e" cm="1">
        <f t="array" ref="P20">M</f>
        <v>#NAME?</v>
      </c>
      <c r="Q20" s="10">
        <f>Q13/P13-1</f>
        <v>0.17335146159075454</v>
      </c>
      <c r="R20" s="10">
        <f t="shared" ref="R20:W20" si="9">R13/Q13-1</f>
        <v>0.17335146159075454</v>
      </c>
      <c r="S20" s="10">
        <f t="shared" si="9"/>
        <v>0.17335146159075454</v>
      </c>
      <c r="T20" s="10">
        <f t="shared" si="9"/>
        <v>0.17335146159075454</v>
      </c>
      <c r="U20" s="10">
        <f t="shared" si="9"/>
        <v>0.17335146159075454</v>
      </c>
      <c r="V20" s="10">
        <f t="shared" si="9"/>
        <v>0.17335146159075454</v>
      </c>
      <c r="W20" s="10">
        <f t="shared" si="9"/>
        <v>0.17335146159075454</v>
      </c>
    </row>
    <row r="21" spans="1:116" x14ac:dyDescent="0.3">
      <c r="B21" s="3" t="s">
        <v>74</v>
      </c>
      <c r="L21" s="3">
        <f>200</f>
        <v>200</v>
      </c>
      <c r="M21" s="3">
        <f>300</f>
        <v>300</v>
      </c>
      <c r="O21" s="10">
        <f>L21/M21</f>
        <v>0.66666666666666663</v>
      </c>
      <c r="P21" s="10">
        <f>M21/P14</f>
        <v>0.68649885583524028</v>
      </c>
      <c r="Q21" s="10">
        <f>Q14/P14-1</f>
        <v>0.20366132723112118</v>
      </c>
      <c r="R21" s="10">
        <f t="shared" ref="R21:W21" si="10">R14/Q14-1</f>
        <v>0.20366132723112118</v>
      </c>
      <c r="S21" s="10">
        <f t="shared" si="10"/>
        <v>0.20366132723112118</v>
      </c>
      <c r="T21" s="10">
        <f t="shared" si="10"/>
        <v>0.20366132723112118</v>
      </c>
      <c r="U21" s="10">
        <f t="shared" si="10"/>
        <v>0.20366132723112118</v>
      </c>
      <c r="V21" s="10">
        <f t="shared" si="10"/>
        <v>0.20366132723112118</v>
      </c>
      <c r="W21" s="10">
        <f t="shared" si="10"/>
        <v>0.20366132723112118</v>
      </c>
    </row>
    <row r="22" spans="1:116" s="1" customFormat="1" x14ac:dyDescent="0.3">
      <c r="A22" s="1" t="s">
        <v>34</v>
      </c>
      <c r="E22" s="1">
        <f>1-17</f>
        <v>-16</v>
      </c>
      <c r="F22" s="1">
        <f>1-16</f>
        <v>-15</v>
      </c>
      <c r="G22" s="1">
        <f>-14</f>
        <v>-14</v>
      </c>
      <c r="H22" s="1">
        <f>-14</f>
        <v>-14</v>
      </c>
      <c r="I22" s="1">
        <f>-14</f>
        <v>-14</v>
      </c>
      <c r="J22" s="1">
        <f>78-15</f>
        <v>63</v>
      </c>
      <c r="O22" s="1">
        <f>20</f>
        <v>20</v>
      </c>
      <c r="P22" s="1">
        <f>-44</f>
        <v>-44</v>
      </c>
      <c r="Q22" s="1">
        <f>-60</f>
        <v>-60</v>
      </c>
      <c r="R22" s="1">
        <f>200</f>
        <v>200</v>
      </c>
      <c r="S22" s="1">
        <f>0.15*R22+R22</f>
        <v>230</v>
      </c>
      <c r="T22" s="1">
        <f t="shared" ref="T22:W22" si="11">0.8*S22+S22</f>
        <v>414</v>
      </c>
      <c r="U22" s="1">
        <f t="shared" si="11"/>
        <v>745.2</v>
      </c>
      <c r="V22" s="1">
        <f t="shared" si="11"/>
        <v>1341.3600000000001</v>
      </c>
      <c r="W22" s="1">
        <f t="shared" si="11"/>
        <v>2414.4480000000003</v>
      </c>
    </row>
    <row r="23" spans="1:116" s="1" customFormat="1" x14ac:dyDescent="0.3"/>
    <row r="24" spans="1:116" s="1" customFormat="1" x14ac:dyDescent="0.3"/>
    <row r="25" spans="1:116" x14ac:dyDescent="0.3">
      <c r="A25" s="3" t="s">
        <v>35</v>
      </c>
      <c r="E25" s="3">
        <f t="shared" ref="E25:J25" si="12">E10-E17+E14</f>
        <v>115</v>
      </c>
      <c r="F25" s="3">
        <f t="shared" si="12"/>
        <v>149</v>
      </c>
      <c r="G25" s="3">
        <f t="shared" si="12"/>
        <v>252</v>
      </c>
      <c r="H25" s="3">
        <f t="shared" si="12"/>
        <v>323</v>
      </c>
      <c r="I25" s="3">
        <f t="shared" si="12"/>
        <v>388</v>
      </c>
      <c r="J25" s="3">
        <f t="shared" si="12"/>
        <v>417</v>
      </c>
      <c r="O25" s="3">
        <f>O10-O17+O14</f>
        <v>-13679</v>
      </c>
      <c r="P25" s="3">
        <f>P10-P17+P14</f>
        <v>-577</v>
      </c>
      <c r="Q25" s="3">
        <f>Q10-Q17+Q14</f>
        <v>817</v>
      </c>
      <c r="R25" s="3">
        <f t="shared" ref="R25:W25" si="13">R10-R17+R14</f>
        <v>1333.3258581235705</v>
      </c>
      <c r="S25" s="3">
        <f t="shared" si="13"/>
        <v>3364.7061106933588</v>
      </c>
      <c r="T25" s="3">
        <f t="shared" si="13"/>
        <v>5926.2023072190104</v>
      </c>
      <c r="U25" s="3">
        <f t="shared" si="13"/>
        <v>9132.5695310052615</v>
      </c>
      <c r="V25" s="3">
        <f t="shared" si="13"/>
        <v>13122.137966065251</v>
      </c>
      <c r="W25" s="3">
        <f t="shared" si="13"/>
        <v>18061.574220485105</v>
      </c>
    </row>
    <row r="26" spans="1:116" x14ac:dyDescent="0.3">
      <c r="A26" s="1" t="s">
        <v>36</v>
      </c>
      <c r="E26" s="3">
        <f t="shared" ref="E26:J26" si="14">E10-E17</f>
        <v>-15</v>
      </c>
      <c r="F26" s="3">
        <f t="shared" si="14"/>
        <v>21</v>
      </c>
      <c r="G26" s="3">
        <f t="shared" si="14"/>
        <v>124</v>
      </c>
      <c r="H26" s="3">
        <f t="shared" si="14"/>
        <v>183</v>
      </c>
      <c r="I26" s="3">
        <f t="shared" si="14"/>
        <v>239</v>
      </c>
      <c r="J26" s="3">
        <f t="shared" si="14"/>
        <v>237</v>
      </c>
      <c r="O26" s="3">
        <f>O25-O14</f>
        <v>-15182</v>
      </c>
      <c r="P26" s="3">
        <f>P25-P14</f>
        <v>-1014</v>
      </c>
      <c r="Q26" s="3">
        <f>Q25-Q14</f>
        <v>291</v>
      </c>
      <c r="R26" s="3">
        <f t="shared" ref="R26:W26" si="15">R25-R14</f>
        <v>700.20000000000073</v>
      </c>
      <c r="S26" s="3">
        <f t="shared" si="15"/>
        <v>2602.6370000000006</v>
      </c>
      <c r="T26" s="3">
        <f t="shared" si="15"/>
        <v>5008.9291900000026</v>
      </c>
      <c r="U26" s="3">
        <f t="shared" si="15"/>
        <v>8028.4833533000028</v>
      </c>
      <c r="V26" s="3">
        <f t="shared" si="15"/>
        <v>11793.192132031003</v>
      </c>
      <c r="W26" s="3">
        <f t="shared" si="15"/>
        <v>16461.973514073172</v>
      </c>
    </row>
    <row r="27" spans="1:116" x14ac:dyDescent="0.3">
      <c r="A27" s="1" t="s">
        <v>37</v>
      </c>
      <c r="E27" s="3">
        <f t="shared" ref="E27:J27" si="16">E26-E22</f>
        <v>1</v>
      </c>
      <c r="F27" s="3">
        <f t="shared" si="16"/>
        <v>36</v>
      </c>
      <c r="G27" s="3">
        <f t="shared" si="16"/>
        <v>138</v>
      </c>
      <c r="H27" s="3">
        <f t="shared" si="16"/>
        <v>197</v>
      </c>
      <c r="I27" s="3">
        <f t="shared" si="16"/>
        <v>253</v>
      </c>
      <c r="J27" s="3">
        <f t="shared" si="16"/>
        <v>174</v>
      </c>
      <c r="O27" s="3">
        <f>O26-O22</f>
        <v>-15202</v>
      </c>
      <c r="P27" s="3">
        <f>P26-P22</f>
        <v>-970</v>
      </c>
      <c r="Q27" s="3">
        <f>Q26-Q22</f>
        <v>351</v>
      </c>
      <c r="R27" s="3">
        <f t="shared" ref="R27:W27" si="17">R26-R22</f>
        <v>500.20000000000073</v>
      </c>
      <c r="S27" s="3">
        <f t="shared" si="17"/>
        <v>2372.6370000000006</v>
      </c>
      <c r="T27" s="3">
        <f t="shared" si="17"/>
        <v>4594.9291900000026</v>
      </c>
      <c r="U27" s="3">
        <f t="shared" si="17"/>
        <v>7283.283353300003</v>
      </c>
      <c r="V27" s="3">
        <f t="shared" si="17"/>
        <v>10451.832132031002</v>
      </c>
      <c r="W27" s="3">
        <f t="shared" si="17"/>
        <v>14047.525514073172</v>
      </c>
      <c r="X27" s="3">
        <f>W27*(1+$AA$31)</f>
        <v>14609.426534636099</v>
      </c>
      <c r="Y27" s="3">
        <f>X27*(1+$AA$31)</f>
        <v>15193.803596021544</v>
      </c>
      <c r="Z27" s="3">
        <f t="shared" ref="Z27:CK27" si="18">Y27*(1+$AA$31)</f>
        <v>15801.555739862406</v>
      </c>
      <c r="AA27" s="3">
        <f t="shared" si="18"/>
        <v>16433.617969456904</v>
      </c>
      <c r="AB27" s="3">
        <f t="shared" si="18"/>
        <v>17090.96268823518</v>
      </c>
      <c r="AC27" s="3">
        <f t="shared" si="18"/>
        <v>17774.60119576459</v>
      </c>
      <c r="AD27" s="3">
        <f t="shared" si="18"/>
        <v>18485.585243595175</v>
      </c>
      <c r="AE27" s="3">
        <f t="shared" si="18"/>
        <v>19225.008653338984</v>
      </c>
      <c r="AF27" s="3">
        <f t="shared" si="18"/>
        <v>19994.008999472546</v>
      </c>
      <c r="AG27" s="3">
        <f t="shared" si="18"/>
        <v>20793.769359451449</v>
      </c>
      <c r="AH27" s="3">
        <f t="shared" si="18"/>
        <v>21625.520133829508</v>
      </c>
      <c r="AI27" s="3">
        <f t="shared" si="18"/>
        <v>22490.540939182691</v>
      </c>
      <c r="AJ27" s="3">
        <f t="shared" si="18"/>
        <v>23390.162576749997</v>
      </c>
      <c r="AK27" s="3">
        <f t="shared" si="18"/>
        <v>24325.769079819998</v>
      </c>
      <c r="AL27" s="3">
        <f t="shared" si="18"/>
        <v>25298.799843012799</v>
      </c>
      <c r="AM27" s="3">
        <f t="shared" si="18"/>
        <v>26310.75183673331</v>
      </c>
      <c r="AN27" s="3">
        <f t="shared" si="18"/>
        <v>27363.181910202642</v>
      </c>
      <c r="AO27" s="3">
        <f t="shared" si="18"/>
        <v>28457.709186610748</v>
      </c>
      <c r="AP27" s="3">
        <f t="shared" si="18"/>
        <v>29596.017554075177</v>
      </c>
      <c r="AQ27" s="3">
        <f t="shared" si="18"/>
        <v>30779.858256238185</v>
      </c>
      <c r="AR27" s="3">
        <f t="shared" si="18"/>
        <v>32011.052586487713</v>
      </c>
      <c r="AS27" s="3">
        <f t="shared" si="18"/>
        <v>33291.49468994722</v>
      </c>
      <c r="AT27" s="3">
        <f t="shared" si="18"/>
        <v>34623.154477545111</v>
      </c>
      <c r="AU27" s="3">
        <f t="shared" si="18"/>
        <v>36008.080656646918</v>
      </c>
      <c r="AV27" s="3">
        <f t="shared" si="18"/>
        <v>37448.403882912797</v>
      </c>
      <c r="AW27" s="3">
        <f t="shared" si="18"/>
        <v>38946.340038229311</v>
      </c>
      <c r="AX27" s="3">
        <f t="shared" si="18"/>
        <v>40504.193639758487</v>
      </c>
      <c r="AY27" s="3">
        <f t="shared" si="18"/>
        <v>42124.361385348828</v>
      </c>
      <c r="AZ27" s="3">
        <f t="shared" si="18"/>
        <v>43809.335840762782</v>
      </c>
      <c r="BA27" s="3">
        <f t="shared" si="18"/>
        <v>45561.709274393295</v>
      </c>
      <c r="BB27" s="3">
        <f t="shared" si="18"/>
        <v>47384.177645369025</v>
      </c>
      <c r="BC27" s="3">
        <f t="shared" si="18"/>
        <v>49279.544751183785</v>
      </c>
      <c r="BD27" s="3">
        <f t="shared" si="18"/>
        <v>51250.726541231139</v>
      </c>
      <c r="BE27" s="3">
        <f t="shared" si="18"/>
        <v>53300.755602880388</v>
      </c>
      <c r="BF27" s="3">
        <f t="shared" si="18"/>
        <v>55432.785826995605</v>
      </c>
      <c r="BG27" s="3">
        <f t="shared" si="18"/>
        <v>57650.097260075432</v>
      </c>
      <c r="BH27" s="3">
        <f t="shared" si="18"/>
        <v>59956.101150478455</v>
      </c>
      <c r="BI27" s="3">
        <f t="shared" si="18"/>
        <v>62354.345196497597</v>
      </c>
      <c r="BJ27" s="3">
        <f t="shared" si="18"/>
        <v>64848.519004357506</v>
      </c>
      <c r="BK27" s="3">
        <f t="shared" si="18"/>
        <v>67442.459764531814</v>
      </c>
      <c r="BL27" s="3">
        <f t="shared" si="18"/>
        <v>70140.158155113095</v>
      </c>
      <c r="BM27" s="3">
        <f t="shared" si="18"/>
        <v>72945.764481317616</v>
      </c>
      <c r="BN27" s="3">
        <f t="shared" si="18"/>
        <v>75863.595060570326</v>
      </c>
      <c r="BO27" s="3">
        <f t="shared" si="18"/>
        <v>78898.138862993146</v>
      </c>
      <c r="BP27" s="3">
        <f t="shared" si="18"/>
        <v>82054.064417512869</v>
      </c>
      <c r="BQ27" s="3">
        <f t="shared" si="18"/>
        <v>85336.226994213386</v>
      </c>
      <c r="BR27" s="3">
        <f t="shared" si="18"/>
        <v>88749.676073981929</v>
      </c>
      <c r="BS27" s="3">
        <f t="shared" si="18"/>
        <v>92299.663116941214</v>
      </c>
      <c r="BT27" s="3">
        <f t="shared" si="18"/>
        <v>95991.64964161886</v>
      </c>
      <c r="BU27" s="3">
        <f t="shared" si="18"/>
        <v>99831.31562728362</v>
      </c>
      <c r="BV27" s="3">
        <f t="shared" si="18"/>
        <v>103824.56825237497</v>
      </c>
      <c r="BW27" s="3">
        <f t="shared" si="18"/>
        <v>107977.55098246997</v>
      </c>
      <c r="BX27" s="3">
        <f t="shared" si="18"/>
        <v>112296.65302176877</v>
      </c>
      <c r="BY27" s="3">
        <f t="shared" si="18"/>
        <v>116788.51914263952</v>
      </c>
      <c r="BZ27" s="3">
        <f t="shared" si="18"/>
        <v>121460.05990834511</v>
      </c>
      <c r="CA27" s="3">
        <f t="shared" si="18"/>
        <v>126318.46230467892</v>
      </c>
      <c r="CB27" s="3">
        <f t="shared" si="18"/>
        <v>131371.20079686609</v>
      </c>
      <c r="CC27" s="3">
        <f t="shared" si="18"/>
        <v>136626.04882874075</v>
      </c>
      <c r="CD27" s="3">
        <f t="shared" si="18"/>
        <v>142091.09078189038</v>
      </c>
      <c r="CE27" s="3">
        <f t="shared" si="18"/>
        <v>147774.73441316601</v>
      </c>
      <c r="CF27" s="3">
        <f t="shared" si="18"/>
        <v>153685.72378969265</v>
      </c>
      <c r="CG27" s="3">
        <f t="shared" si="18"/>
        <v>159833.15274128036</v>
      </c>
      <c r="CH27" s="3">
        <f t="shared" si="18"/>
        <v>166226.47885093157</v>
      </c>
      <c r="CI27" s="3">
        <f t="shared" si="18"/>
        <v>172875.53800496884</v>
      </c>
      <c r="CJ27" s="3">
        <f t="shared" si="18"/>
        <v>179790.5595251676</v>
      </c>
      <c r="CK27" s="3">
        <f t="shared" si="18"/>
        <v>186982.18190617432</v>
      </c>
      <c r="CL27" s="3">
        <f t="shared" ref="CL27:DL27" si="19">CK27*(1+$AA$31)</f>
        <v>194461.46918242131</v>
      </c>
      <c r="CM27" s="3">
        <f t="shared" si="19"/>
        <v>202239.92794971817</v>
      </c>
      <c r="CN27" s="3">
        <f t="shared" si="19"/>
        <v>210329.52506770691</v>
      </c>
      <c r="CO27" s="3">
        <f t="shared" si="19"/>
        <v>218742.70607041521</v>
      </c>
      <c r="CP27" s="3">
        <f t="shared" si="19"/>
        <v>227492.41431323183</v>
      </c>
      <c r="CQ27" s="3">
        <f t="shared" si="19"/>
        <v>236592.1108857611</v>
      </c>
      <c r="CR27" s="3">
        <f t="shared" si="19"/>
        <v>246055.79532119154</v>
      </c>
      <c r="CS27" s="3">
        <f t="shared" si="19"/>
        <v>255898.02713403921</v>
      </c>
      <c r="CT27" s="3">
        <f t="shared" si="19"/>
        <v>266133.94821940077</v>
      </c>
      <c r="CU27" s="3">
        <f t="shared" si="19"/>
        <v>276779.30614817684</v>
      </c>
      <c r="CV27" s="3">
        <f t="shared" si="19"/>
        <v>287850.47839410393</v>
      </c>
      <c r="CW27" s="3">
        <f t="shared" si="19"/>
        <v>299364.49752986809</v>
      </c>
      <c r="CX27" s="3">
        <f t="shared" si="19"/>
        <v>311339.07743106282</v>
      </c>
      <c r="CY27" s="3">
        <f t="shared" si="19"/>
        <v>323792.64052830532</v>
      </c>
      <c r="CZ27" s="3">
        <f t="shared" si="19"/>
        <v>336744.34614943754</v>
      </c>
      <c r="DA27" s="3">
        <f t="shared" si="19"/>
        <v>350214.11999541504</v>
      </c>
      <c r="DB27" s="3">
        <f t="shared" si="19"/>
        <v>364222.68479523167</v>
      </c>
      <c r="DC27" s="3">
        <f t="shared" si="19"/>
        <v>378791.59218704095</v>
      </c>
      <c r="DD27" s="3">
        <f t="shared" si="19"/>
        <v>393943.25587452261</v>
      </c>
      <c r="DE27" s="3">
        <f t="shared" si="19"/>
        <v>409700.98610950354</v>
      </c>
      <c r="DF27" s="3">
        <f t="shared" si="19"/>
        <v>426089.02555388369</v>
      </c>
      <c r="DG27" s="3">
        <f t="shared" si="19"/>
        <v>443132.58657603903</v>
      </c>
      <c r="DH27" s="3">
        <f t="shared" si="19"/>
        <v>460857.89003908058</v>
      </c>
      <c r="DI27" s="3">
        <f t="shared" si="19"/>
        <v>479292.20564064384</v>
      </c>
      <c r="DJ27" s="3">
        <f t="shared" si="19"/>
        <v>498463.89386626962</v>
      </c>
      <c r="DK27" s="3">
        <f t="shared" si="19"/>
        <v>518402.44962092041</v>
      </c>
      <c r="DL27" s="3">
        <f t="shared" si="19"/>
        <v>539138.54760575725</v>
      </c>
    </row>
    <row r="28" spans="1:116" x14ac:dyDescent="0.3">
      <c r="A28" s="1" t="s">
        <v>73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P28" s="9">
        <f>P27/O27</f>
        <v>6.3807393763978426E-2</v>
      </c>
      <c r="Q28" s="9">
        <f>Q27/P27</f>
        <v>-0.36185567010309277</v>
      </c>
      <c r="R28" s="9">
        <f>R27/Q27-1</f>
        <v>0.42507122507122719</v>
      </c>
      <c r="S28" s="9">
        <f t="shared" ref="S28" si="20">S27/R27-1</f>
        <v>3.7433766493402585</v>
      </c>
      <c r="T28" s="9">
        <f>T27/S27-1</f>
        <v>0.93663387614708915</v>
      </c>
      <c r="U28" s="9">
        <f t="shared" ref="U28:W28" si="21">U27/T27-1</f>
        <v>0.58506976976940073</v>
      </c>
      <c r="V28" s="9">
        <f t="shared" si="21"/>
        <v>0.43504400763089257</v>
      </c>
      <c r="W28" s="9">
        <f t="shared" si="21"/>
        <v>0.34402517535874866</v>
      </c>
    </row>
    <row r="29" spans="1:116" x14ac:dyDescent="0.3">
      <c r="A29" s="1" t="s">
        <v>38</v>
      </c>
      <c r="E29" s="5">
        <f>E27*10000000/Main!$D$9</f>
        <v>1.1363636363636363E-3</v>
      </c>
      <c r="F29" s="5">
        <f>F27*10000000/Main!$D$9</f>
        <v>4.0909090909090909E-2</v>
      </c>
      <c r="G29" s="5">
        <f>G27*10000000/Main!$D$9</f>
        <v>0.15681818181818183</v>
      </c>
      <c r="H29" s="5">
        <f>H27*10000000/Main!$D$9</f>
        <v>0.22386363636363638</v>
      </c>
      <c r="I29" s="5">
        <f>I27*10000000/Main!$D$9</f>
        <v>0.28749999999999998</v>
      </c>
      <c r="J29" s="5">
        <f>J27*10000000/Main!$D$9</f>
        <v>0.19772727272727272</v>
      </c>
      <c r="K29" s="5"/>
      <c r="L29" s="5"/>
      <c r="M29" s="5"/>
      <c r="N29" s="5"/>
      <c r="O29" s="5">
        <f>O27*1000000/Main!$D$9</f>
        <v>-1.7275</v>
      </c>
      <c r="P29" s="5">
        <f>P27*10000000/Main!$D$9</f>
        <v>-1.1022727272727273</v>
      </c>
      <c r="Q29" s="5">
        <f>Q27*10000000/Main!$D$9</f>
        <v>0.39886363636363636</v>
      </c>
      <c r="R29" s="5">
        <f>R27*10000000/Main!$D$9</f>
        <v>0.56840909090909175</v>
      </c>
      <c r="S29" s="5">
        <f>S27*10000000/Main!$D$9</f>
        <v>2.6961784090909098</v>
      </c>
      <c r="T29" s="5">
        <f>T27*10000000/Main!$D$9</f>
        <v>5.2215104431818204</v>
      </c>
      <c r="U29" s="5">
        <f>U27*10000000/Main!$D$9</f>
        <v>8.2764583560227312</v>
      </c>
      <c r="V29" s="5">
        <f>V27*10000000/Main!$D$9</f>
        <v>11.877081968217048</v>
      </c>
      <c r="W29" s="5">
        <f>W27*10000000/Main!$D$9</f>
        <v>15.963097175083149</v>
      </c>
    </row>
    <row r="31" spans="1:116" x14ac:dyDescent="0.3">
      <c r="B31" s="1" t="s">
        <v>39</v>
      </c>
      <c r="E31" s="3">
        <f>218</f>
        <v>218</v>
      </c>
      <c r="F31" s="3">
        <f>218</f>
        <v>218</v>
      </c>
      <c r="G31" s="3">
        <f>256</f>
        <v>256</v>
      </c>
      <c r="H31" s="3">
        <f>287</f>
        <v>287</v>
      </c>
      <c r="J31" s="3">
        <f>513</f>
        <v>513</v>
      </c>
      <c r="O31" s="3">
        <f>509</f>
        <v>509</v>
      </c>
      <c r="P31" s="3">
        <f>209</f>
        <v>209</v>
      </c>
      <c r="Q31" s="3">
        <f>287</f>
        <v>287</v>
      </c>
      <c r="Z31" s="3" t="s">
        <v>76</v>
      </c>
      <c r="AA31" s="13">
        <f>4%</f>
        <v>0.04</v>
      </c>
    </row>
    <row r="32" spans="1:116" x14ac:dyDescent="0.3">
      <c r="A32" s="1"/>
      <c r="B32" s="3" t="s">
        <v>40</v>
      </c>
      <c r="E32" s="3">
        <f>449+24+4717+923</f>
        <v>6113</v>
      </c>
      <c r="F32" s="3">
        <f>474+12+4717+862</f>
        <v>6065</v>
      </c>
      <c r="G32" s="3">
        <f>5+526+4717</f>
        <v>5248</v>
      </c>
      <c r="H32" s="3">
        <f>18+690+4717</f>
        <v>5425</v>
      </c>
      <c r="J32" s="3">
        <f>59+1074+5737+1066</f>
        <v>7936</v>
      </c>
      <c r="O32" s="3">
        <f>642+6+12093</f>
        <v>12741</v>
      </c>
      <c r="P32" s="3">
        <f>7+427+4717</f>
        <v>5151</v>
      </c>
      <c r="Q32" s="3">
        <f>18+690+4717</f>
        <v>5425</v>
      </c>
      <c r="Z32" s="3" t="s">
        <v>77</v>
      </c>
      <c r="AA32" s="10">
        <v>0.08</v>
      </c>
    </row>
    <row r="33" spans="1:32" x14ac:dyDescent="0.3">
      <c r="B33" s="3" t="s">
        <v>42</v>
      </c>
      <c r="E33" s="3">
        <f>923</f>
        <v>923</v>
      </c>
      <c r="F33" s="3">
        <f>862</f>
        <v>862</v>
      </c>
      <c r="G33" s="3">
        <f>809</f>
        <v>809</v>
      </c>
      <c r="H33" s="3">
        <f>754+241</f>
        <v>995</v>
      </c>
      <c r="J33" s="3">
        <f>1066</f>
        <v>1066</v>
      </c>
      <c r="O33" s="3">
        <f>799</f>
        <v>799</v>
      </c>
      <c r="P33" s="3">
        <f>991</f>
        <v>991</v>
      </c>
      <c r="Q33" s="3">
        <f>754</f>
        <v>754</v>
      </c>
      <c r="Z33" s="3" t="s">
        <v>78</v>
      </c>
      <c r="AA33" s="10">
        <v>0.03</v>
      </c>
    </row>
    <row r="34" spans="1:32" x14ac:dyDescent="0.3">
      <c r="B34" s="3" t="s">
        <v>41</v>
      </c>
      <c r="E34" s="3">
        <f>8192+1068</f>
        <v>9260</v>
      </c>
      <c r="F34" s="3">
        <f>8227+2492</f>
        <v>10719</v>
      </c>
      <c r="G34" s="3">
        <f>9390+2206</f>
        <v>11596</v>
      </c>
      <c r="H34" s="3">
        <f>10365+1280</f>
        <v>11645</v>
      </c>
      <c r="J34" s="3">
        <f>10333+1375</f>
        <v>11708</v>
      </c>
      <c r="O34" s="3">
        <f>30860+16317</f>
        <v>47177</v>
      </c>
      <c r="P34" s="3">
        <f>2280+4485</f>
        <v>6765</v>
      </c>
      <c r="Q34" s="3">
        <f>10365+1280</f>
        <v>11645</v>
      </c>
      <c r="Z34" s="3" t="s">
        <v>79</v>
      </c>
      <c r="AA34" s="12">
        <f>NPV(AA32,R27:DL27)</f>
        <v>250742.3073114818</v>
      </c>
    </row>
    <row r="35" spans="1:32" x14ac:dyDescent="0.3">
      <c r="B35" s="3" t="s">
        <v>43</v>
      </c>
      <c r="E35" s="3">
        <f>240+956</f>
        <v>1196</v>
      </c>
      <c r="F35" s="3">
        <f>353+778</f>
        <v>1131</v>
      </c>
      <c r="G35" s="3">
        <f>259+549</f>
        <v>808</v>
      </c>
      <c r="H35" s="3">
        <f>309+422</f>
        <v>731</v>
      </c>
      <c r="J35" s="3">
        <f>375+131</f>
        <v>506</v>
      </c>
      <c r="O35" s="3">
        <f>3923+11832+3750</f>
        <v>19505</v>
      </c>
      <c r="P35" s="3">
        <f>218+799</f>
        <v>1017</v>
      </c>
      <c r="Q35" s="3">
        <f>309+422</f>
        <v>731</v>
      </c>
      <c r="AA35" s="12">
        <f>AA34*10000000</f>
        <v>2507423073114.8179</v>
      </c>
    </row>
    <row r="36" spans="1:32" x14ac:dyDescent="0.3">
      <c r="B36" s="3" t="s">
        <v>44</v>
      </c>
      <c r="E36" s="3">
        <f>481</f>
        <v>481</v>
      </c>
      <c r="F36" s="3">
        <f>563</f>
        <v>563</v>
      </c>
      <c r="G36" s="3">
        <f>680</f>
        <v>680</v>
      </c>
      <c r="H36" s="3">
        <f>794</f>
        <v>794</v>
      </c>
      <c r="J36" s="3">
        <f>1375</f>
        <v>1375</v>
      </c>
      <c r="O36" s="3">
        <f>1599</f>
        <v>1599</v>
      </c>
      <c r="P36" s="3">
        <f>457</f>
        <v>457</v>
      </c>
      <c r="Q36" s="3">
        <f>794</f>
        <v>794</v>
      </c>
      <c r="Z36" s="15" t="s">
        <v>80</v>
      </c>
      <c r="AA36" s="16">
        <f>AA35/Main!D9</f>
        <v>284.93444012668385</v>
      </c>
    </row>
    <row r="37" spans="1:32" x14ac:dyDescent="0.3">
      <c r="B37" s="3" t="s">
        <v>52</v>
      </c>
      <c r="E37" s="3">
        <f>78</f>
        <v>78</v>
      </c>
      <c r="F37" s="3">
        <f>89</f>
        <v>89</v>
      </c>
      <c r="G37" s="3">
        <f>90</f>
        <v>90</v>
      </c>
      <c r="H37" s="3">
        <f>88</f>
        <v>88</v>
      </c>
      <c r="J37" s="3">
        <f>140</f>
        <v>140</v>
      </c>
      <c r="O37" s="3">
        <f>397</f>
        <v>397</v>
      </c>
      <c r="P37" s="3">
        <f>83</f>
        <v>83</v>
      </c>
      <c r="Q37" s="3">
        <f>88</f>
        <v>88</v>
      </c>
    </row>
    <row r="38" spans="1:32" x14ac:dyDescent="0.3">
      <c r="B38" s="3" t="s">
        <v>45</v>
      </c>
      <c r="E38" s="3">
        <f>1068+370+103</f>
        <v>1541</v>
      </c>
      <c r="F38" s="3">
        <f>2040+306+98</f>
        <v>2444</v>
      </c>
      <c r="G38" s="3">
        <f>279+105+567+2217</f>
        <v>3168</v>
      </c>
      <c r="H38" s="3">
        <f>2324+747</f>
        <v>3071</v>
      </c>
      <c r="J38" s="3">
        <f>528+304+533</f>
        <v>1365</v>
      </c>
      <c r="O38" s="3">
        <f>52191+36674+50+958</f>
        <v>89873</v>
      </c>
      <c r="P38" s="3">
        <f>4418+371+127+1894</f>
        <v>6810</v>
      </c>
      <c r="Q38" s="3">
        <f>99+747+2324+241</f>
        <v>3411</v>
      </c>
      <c r="X38" s="3">
        <f>41924</f>
        <v>41924</v>
      </c>
      <c r="Y38" s="3">
        <f>7079</f>
        <v>7079</v>
      </c>
      <c r="Z38" s="3">
        <f>12114</f>
        <v>12114</v>
      </c>
      <c r="AA38" s="3">
        <f>Z38*AA41+Z38</f>
        <v>13325.4</v>
      </c>
      <c r="AB38" s="3">
        <f t="shared" ref="AB38" si="22">AA38*AB41+AA38</f>
        <v>15990.48</v>
      </c>
      <c r="AC38" s="3">
        <f t="shared" ref="AC38" si="23">AB38*AC41+AB38</f>
        <v>19188.576000000001</v>
      </c>
      <c r="AD38" s="3">
        <f t="shared" ref="AD38" si="24">AC38*AD41+AC38</f>
        <v>23026.2912</v>
      </c>
      <c r="AE38" s="3">
        <f t="shared" ref="AE38" si="25">AD38*AE41+AD38</f>
        <v>27631.549439999999</v>
      </c>
      <c r="AF38" s="3">
        <f t="shared" ref="AF38" si="26">AE38*AF41+AE38</f>
        <v>33157.859327999999</v>
      </c>
    </row>
    <row r="39" spans="1:32" x14ac:dyDescent="0.3">
      <c r="A39" s="1" t="s">
        <v>46</v>
      </c>
      <c r="B39" s="1"/>
      <c r="C39" s="1"/>
      <c r="D39" s="1"/>
      <c r="E39" s="1">
        <f>SUM(E31:E38)</f>
        <v>19810</v>
      </c>
      <c r="F39" s="1">
        <f>SUM(F31:F38)</f>
        <v>22091</v>
      </c>
      <c r="G39" s="1">
        <f>SUM(G31:G38)</f>
        <v>22655</v>
      </c>
      <c r="H39" s="1">
        <f>SUM(H31:H38)</f>
        <v>23036</v>
      </c>
      <c r="I39" s="1"/>
      <c r="J39" s="1">
        <f>SUM(J31:J38)</f>
        <v>24609</v>
      </c>
      <c r="K39" s="1"/>
      <c r="L39" s="1"/>
      <c r="M39" s="1"/>
      <c r="N39" s="1"/>
      <c r="O39" s="1">
        <f>SUM(O31:O38)</f>
        <v>172600</v>
      </c>
      <c r="P39" s="1">
        <f>SUM(P31:P38)</f>
        <v>21483</v>
      </c>
      <c r="Q39" s="1">
        <f>SUM(Q31:Q38)</f>
        <v>23135</v>
      </c>
      <c r="X39" s="3">
        <f>4949</f>
        <v>4949</v>
      </c>
      <c r="Y39" s="3">
        <f>682</f>
        <v>682</v>
      </c>
      <c r="Z39" s="3">
        <f>847</f>
        <v>847</v>
      </c>
      <c r="AA39" s="11">
        <f>Z39*AA41+Z39</f>
        <v>931.7</v>
      </c>
      <c r="AB39" s="11">
        <f t="shared" ref="AB39" si="27">AA39*AB41+AA39</f>
        <v>1118.04</v>
      </c>
      <c r="AC39" s="11">
        <f t="shared" ref="AC39" si="28">AB39*AC41+AB39</f>
        <v>1341.6479999999999</v>
      </c>
      <c r="AD39" s="11">
        <f t="shared" ref="AD39" si="29">AC39*AD41+AC39</f>
        <v>1609.9775999999999</v>
      </c>
      <c r="AE39" s="11">
        <f t="shared" ref="AE39" si="30">AD39*AE41+AD39</f>
        <v>1931.9731199999999</v>
      </c>
      <c r="AF39" s="11">
        <f t="shared" ref="AF39" si="31">AE39*AF41+AE39</f>
        <v>2318.3677440000001</v>
      </c>
    </row>
    <row r="40" spans="1:32" x14ac:dyDescent="0.3">
      <c r="X40" s="1">
        <f>X38+X39</f>
        <v>46873</v>
      </c>
      <c r="Y40" s="1">
        <f>Y38+Y39</f>
        <v>7761</v>
      </c>
      <c r="Z40" s="1">
        <f>Z38+Z39</f>
        <v>12961</v>
      </c>
      <c r="AA40" s="1">
        <f>Z40*AA41+Z40</f>
        <v>14257.1</v>
      </c>
      <c r="AB40" s="1">
        <f t="shared" ref="AB40" si="32">AA40*AB41+AA40</f>
        <v>17108.52</v>
      </c>
      <c r="AC40" s="1">
        <f t="shared" ref="AC40" si="33">AB40*AC41+AB40</f>
        <v>20530.224000000002</v>
      </c>
      <c r="AD40" s="1">
        <f t="shared" ref="AD40" si="34">AC40*AD41+AC40</f>
        <v>24636.268800000002</v>
      </c>
      <c r="AE40" s="1">
        <f t="shared" ref="AE40" si="35">AD40*AE41+AD40</f>
        <v>29563.522560000001</v>
      </c>
      <c r="AF40" s="1">
        <f t="shared" ref="AF40" si="36">AE40*AF41+AE40</f>
        <v>35476.227072000001</v>
      </c>
    </row>
    <row r="41" spans="1:32" x14ac:dyDescent="0.3">
      <c r="B41" s="3" t="s">
        <v>47</v>
      </c>
      <c r="E41" s="3">
        <f>369</f>
        <v>369</v>
      </c>
      <c r="F41" s="3">
        <f>390</f>
        <v>390</v>
      </c>
      <c r="G41" s="3">
        <f>434</f>
        <v>434</v>
      </c>
      <c r="H41" s="3">
        <f>588</f>
        <v>588</v>
      </c>
      <c r="J41" s="3">
        <f>932</f>
        <v>932</v>
      </c>
      <c r="O41" s="3">
        <f>510</f>
        <v>510</v>
      </c>
      <c r="P41" s="3">
        <f>351+6+35</f>
        <v>392</v>
      </c>
      <c r="Q41" s="3">
        <f>588</f>
        <v>588</v>
      </c>
      <c r="X41" s="1"/>
      <c r="Y41" s="8">
        <f>W40/Y40-1</f>
        <v>-1</v>
      </c>
      <c r="Z41" s="8">
        <f>Z40/Y40-1</f>
        <v>0.67001675041876041</v>
      </c>
      <c r="AA41" s="10">
        <v>0.1</v>
      </c>
      <c r="AB41" s="10">
        <v>0.2</v>
      </c>
      <c r="AC41" s="10">
        <v>0.2</v>
      </c>
      <c r="AD41" s="10">
        <v>0.2</v>
      </c>
      <c r="AE41" s="10">
        <v>0.2</v>
      </c>
      <c r="AF41" s="10">
        <v>0.2</v>
      </c>
    </row>
    <row r="42" spans="1:32" x14ac:dyDescent="0.3">
      <c r="B42" s="3" t="s">
        <v>42</v>
      </c>
      <c r="E42" s="3">
        <f>6+344+271</f>
        <v>621</v>
      </c>
      <c r="F42" s="3">
        <f>5+271+344</f>
        <v>620</v>
      </c>
      <c r="G42" s="3">
        <f>8+636+345</f>
        <v>989</v>
      </c>
      <c r="H42" s="3">
        <f>3+363</f>
        <v>366</v>
      </c>
      <c r="J42" s="3">
        <f>2+424</f>
        <v>426</v>
      </c>
      <c r="O42" s="3">
        <f>3+2162+287</f>
        <v>2452</v>
      </c>
      <c r="P42" s="3">
        <f>5+276+310</f>
        <v>591</v>
      </c>
      <c r="Q42" s="3">
        <f>3+363+644</f>
        <v>1010</v>
      </c>
      <c r="X42" s="3">
        <f>5524</f>
        <v>5524</v>
      </c>
      <c r="Y42" s="3">
        <f>1438</f>
        <v>1438</v>
      </c>
      <c r="Z42" s="3">
        <f>2887</f>
        <v>2887</v>
      </c>
    </row>
    <row r="43" spans="1:32" x14ac:dyDescent="0.3">
      <c r="B43" s="3" t="s">
        <v>48</v>
      </c>
      <c r="E43" s="3">
        <f>232</f>
        <v>232</v>
      </c>
      <c r="F43" s="3">
        <f>217</f>
        <v>217</v>
      </c>
      <c r="G43" s="3">
        <f>203</f>
        <v>203</v>
      </c>
      <c r="H43" s="3">
        <f>188</f>
        <v>188</v>
      </c>
      <c r="J43" s="3">
        <f>198</f>
        <v>198</v>
      </c>
      <c r="O43" s="3">
        <v>0</v>
      </c>
      <c r="P43" s="3">
        <f>249</f>
        <v>249</v>
      </c>
      <c r="Q43" s="3">
        <f>188</f>
        <v>188</v>
      </c>
      <c r="X43" s="3">
        <f>-278+16331+120</f>
        <v>16173</v>
      </c>
      <c r="Y43" s="3">
        <f>-43+1465+49</f>
        <v>1471</v>
      </c>
      <c r="Z43" s="3">
        <f>-5+1659+72</f>
        <v>1726</v>
      </c>
      <c r="AA43" s="11">
        <f>$Q$20*Z43+Z43</f>
        <v>2025.2046227056424</v>
      </c>
      <c r="AB43" s="11">
        <f t="shared" ref="AB43" si="37">$Q$20*AA43+AA43</f>
        <v>2376.276804072018</v>
      </c>
      <c r="AC43" s="11">
        <f t="shared" ref="AC43" si="38">$Q$20*AB43+AB43</f>
        <v>2788.2078612021096</v>
      </c>
      <c r="AD43" s="11">
        <f t="shared" ref="AD43" si="39">$Q$20*AC43+AC43</f>
        <v>3271.5477691603269</v>
      </c>
      <c r="AE43" s="11">
        <f t="shared" ref="AE43" si="40">$Q$20*AD43+AD43</f>
        <v>3838.6753566082421</v>
      </c>
      <c r="AF43" s="11">
        <f t="shared" ref="AF43" si="41">$Q$20*AE43+AE43</f>
        <v>4504.1153402486916</v>
      </c>
    </row>
    <row r="44" spans="1:32" x14ac:dyDescent="0.3">
      <c r="B44" s="3" t="s">
        <v>49</v>
      </c>
      <c r="E44" s="3">
        <f>7+688</f>
        <v>695</v>
      </c>
      <c r="F44" s="3">
        <f>11+777</f>
        <v>788</v>
      </c>
      <c r="G44" s="3">
        <f>15+855</f>
        <v>870</v>
      </c>
      <c r="H44" s="3">
        <f>15+871+644</f>
        <v>1530</v>
      </c>
      <c r="J44" s="3">
        <f>28+1101+849</f>
        <v>1978</v>
      </c>
      <c r="O44" s="3">
        <f>67+4221</f>
        <v>4288</v>
      </c>
      <c r="P44" s="3">
        <f>9+670</f>
        <v>679</v>
      </c>
      <c r="Q44" s="3">
        <f>15+871</f>
        <v>886</v>
      </c>
      <c r="X44" s="3">
        <f>1503</f>
        <v>1503</v>
      </c>
      <c r="Y44" s="3">
        <f>437</f>
        <v>437</v>
      </c>
      <c r="Z44" s="3">
        <f>526</f>
        <v>526</v>
      </c>
      <c r="AA44" s="11">
        <f>$Q$21*Z44+Z44</f>
        <v>633.12585812356974</v>
      </c>
      <c r="AB44" s="11">
        <f t="shared" ref="AB44" si="42">$Q$21*AA44+AA44</f>
        <v>762.06911069335843</v>
      </c>
      <c r="AC44" s="11">
        <f t="shared" ref="AC44" si="43">$Q$21*AB44+AB44</f>
        <v>917.27311721900799</v>
      </c>
      <c r="AD44" s="11">
        <f t="shared" ref="AD44" si="44">$Q$21*AC44+AC44</f>
        <v>1104.0861777052589</v>
      </c>
      <c r="AE44" s="11">
        <f t="shared" ref="AE44" si="45">$Q$21*AD44+AD44</f>
        <v>1328.9458340342476</v>
      </c>
      <c r="AF44" s="11">
        <f t="shared" ref="AF44" si="46">$Q$21*AE44+AE44</f>
        <v>1599.6007064119317</v>
      </c>
    </row>
    <row r="45" spans="1:32" x14ac:dyDescent="0.3">
      <c r="B45" s="3" t="s">
        <v>50</v>
      </c>
      <c r="E45" s="3">
        <f>122</f>
        <v>122</v>
      </c>
      <c r="F45" s="3">
        <f>131</f>
        <v>131</v>
      </c>
      <c r="G45" s="3">
        <f>144</f>
        <v>144</v>
      </c>
      <c r="H45" s="3">
        <f>161</f>
        <v>161</v>
      </c>
      <c r="J45" s="3">
        <f>227</f>
        <v>227</v>
      </c>
      <c r="O45" s="3">
        <f>193</f>
        <v>193</v>
      </c>
      <c r="P45" s="3">
        <f>115</f>
        <v>115</v>
      </c>
      <c r="Q45" s="3">
        <f>161</f>
        <v>161</v>
      </c>
    </row>
    <row r="46" spans="1:32" x14ac:dyDescent="0.3">
      <c r="B46" s="3" t="s">
        <v>51</v>
      </c>
      <c r="E46" s="3">
        <f>23+80</f>
        <v>103</v>
      </c>
      <c r="F46" s="3">
        <f>26+75</f>
        <v>101</v>
      </c>
      <c r="G46" s="3">
        <f>27+80</f>
        <v>107</v>
      </c>
      <c r="H46" s="3">
        <f>29+88</f>
        <v>117</v>
      </c>
      <c r="J46" s="3">
        <f>97+36</f>
        <v>133</v>
      </c>
      <c r="O46" s="3">
        <f>185+653</f>
        <v>838</v>
      </c>
      <c r="P46" s="3">
        <f>26+94</f>
        <v>120</v>
      </c>
      <c r="Q46" s="3">
        <f>26+94</f>
        <v>120</v>
      </c>
      <c r="X46" s="3">
        <f>38855</f>
        <v>38855</v>
      </c>
      <c r="Y46" s="3">
        <f>5429</f>
        <v>5429</v>
      </c>
      <c r="Z46" s="3">
        <f>7531</f>
        <v>7531</v>
      </c>
      <c r="AA46" s="11">
        <f>(Z46/Y46-1)*Z46+Z46</f>
        <v>10446.852274820409</v>
      </c>
      <c r="AB46" s="11">
        <f t="shared" ref="AB46" si="47">(AA46/Z46-1)*AA46+AA46</f>
        <v>14491.664115246362</v>
      </c>
      <c r="AC46" s="11">
        <f t="shared" ref="AC46" si="48">(AB46/AA46-1)*AB46+AB46</f>
        <v>20102.546040140056</v>
      </c>
      <c r="AD46" s="11">
        <f t="shared" ref="AD46" si="49">(AC46/AB46-1)*AC46+AC46</f>
        <v>27885.849001343671</v>
      </c>
      <c r="AE46" s="11">
        <f t="shared" ref="AE46" si="50">(AD46/AC46-1)*AD46+AD46</f>
        <v>38682.690887662407</v>
      </c>
      <c r="AF46" s="11">
        <f t="shared" ref="AF46" si="51">(AE46/AD46-1)*AE46+AE46</f>
        <v>53659.853578004346</v>
      </c>
    </row>
    <row r="47" spans="1:32" s="1" customFormat="1" x14ac:dyDescent="0.3">
      <c r="A47" s="1" t="s">
        <v>53</v>
      </c>
      <c r="E47" s="1">
        <f>SUM(E41:E46)</f>
        <v>2142</v>
      </c>
      <c r="F47" s="1">
        <f>SUM(F41:F46)</f>
        <v>2247</v>
      </c>
      <c r="G47" s="1">
        <f>SUM(G41:G46)</f>
        <v>2747</v>
      </c>
      <c r="H47" s="1">
        <f>SUM(H41:H46)</f>
        <v>2950</v>
      </c>
      <c r="J47" s="1">
        <f>SUM(J41:J46)</f>
        <v>3894</v>
      </c>
      <c r="O47" s="1">
        <f>SUM(O41:O46)</f>
        <v>8281</v>
      </c>
      <c r="P47" s="1">
        <f>SUM(P41:P46)</f>
        <v>2146</v>
      </c>
      <c r="Q47" s="1">
        <f>SUM(Q41:Q46)</f>
        <v>2953</v>
      </c>
      <c r="X47" s="3">
        <f>SUM(X42:X46)</f>
        <v>62055</v>
      </c>
      <c r="Y47" s="3">
        <f>SUM(Y42:Y46)</f>
        <v>8775</v>
      </c>
      <c r="Z47" s="3">
        <f>SUM(Z42:Z46)</f>
        <v>12670</v>
      </c>
      <c r="AA47" s="3">
        <f>Z47*AA48+Z47</f>
        <v>13556.9</v>
      </c>
      <c r="AB47" s="3">
        <f t="shared" ref="AB47" si="52">AA47*AB48+AA47</f>
        <v>14505.883</v>
      </c>
      <c r="AC47" s="3">
        <f t="shared" ref="AC47" si="53">AB47*AC48+AB47</f>
        <v>15521.294809999999</v>
      </c>
      <c r="AD47" s="3">
        <f t="shared" ref="AD47" si="54">AC47*AD48+AC47</f>
        <v>16607.7854467</v>
      </c>
      <c r="AE47" s="3">
        <f t="shared" ref="AE47" si="55">AD47*AE48+AD47</f>
        <v>17770.330427968998</v>
      </c>
      <c r="AF47" s="3">
        <f t="shared" ref="AF47" si="56">AE47*AF48+AE47</f>
        <v>19014.25355792683</v>
      </c>
    </row>
    <row r="48" spans="1:32" x14ac:dyDescent="0.3">
      <c r="B48" s="1" t="s">
        <v>54</v>
      </c>
      <c r="E48" s="3">
        <f>19596</f>
        <v>19596</v>
      </c>
      <c r="F48" s="3">
        <f>19736</f>
        <v>19736</v>
      </c>
      <c r="G48" s="3">
        <f>20019</f>
        <v>20019</v>
      </c>
      <c r="H48" s="3">
        <f>20646</f>
        <v>20646</v>
      </c>
      <c r="J48" s="3">
        <f>872+20446-7</f>
        <v>21311</v>
      </c>
      <c r="O48" s="3">
        <f>164989</f>
        <v>164989</v>
      </c>
      <c r="P48" s="3">
        <v>19453</v>
      </c>
      <c r="Q48" s="3">
        <f>20406</f>
        <v>20406</v>
      </c>
      <c r="Y48" s="10"/>
      <c r="Z48" s="10"/>
      <c r="AA48" s="10">
        <f>7%</f>
        <v>7.0000000000000007E-2</v>
      </c>
      <c r="AB48" s="10">
        <f>7%</f>
        <v>7.0000000000000007E-2</v>
      </c>
      <c r="AC48" s="10">
        <f>7%</f>
        <v>7.0000000000000007E-2</v>
      </c>
      <c r="AD48" s="10">
        <f>7%</f>
        <v>7.0000000000000007E-2</v>
      </c>
      <c r="AE48" s="10">
        <f>7%</f>
        <v>7.0000000000000007E-2</v>
      </c>
      <c r="AF48" s="10">
        <f>7%</f>
        <v>7.0000000000000007E-2</v>
      </c>
    </row>
    <row r="49" spans="1:32" s="1" customFormat="1" x14ac:dyDescent="0.3">
      <c r="A49" s="1" t="s">
        <v>55</v>
      </c>
      <c r="E49" s="1">
        <f>E39-E47-E48</f>
        <v>-1928</v>
      </c>
      <c r="F49" s="6">
        <f>F39-F47-F48</f>
        <v>108</v>
      </c>
      <c r="G49" s="6">
        <f>G39-G47-G48</f>
        <v>-111</v>
      </c>
      <c r="H49" s="1">
        <f>H39-H47-H48</f>
        <v>-560</v>
      </c>
      <c r="J49" s="1">
        <f>J39-J47-J48</f>
        <v>-596</v>
      </c>
      <c r="K49" s="7"/>
      <c r="O49" s="1">
        <f>O39-O47-O48</f>
        <v>-670</v>
      </c>
      <c r="P49" s="1">
        <f>P39-P47-P48</f>
        <v>-116</v>
      </c>
      <c r="Q49" s="1">
        <f>Q39-Q47-Q48</f>
        <v>-224</v>
      </c>
      <c r="X49" s="3">
        <f>2974</f>
        <v>2974</v>
      </c>
      <c r="Y49" s="3">
        <v>0</v>
      </c>
      <c r="Z49" s="3">
        <v>0</v>
      </c>
      <c r="AA49" s="3"/>
      <c r="AB49" s="3"/>
      <c r="AC49" s="3"/>
      <c r="AD49" s="3"/>
      <c r="AE49" s="3"/>
      <c r="AF49" s="3"/>
    </row>
    <row r="50" spans="1:32" x14ac:dyDescent="0.3">
      <c r="X50" s="10" t="e">
        <f>U50/V50</f>
        <v>#DIV/0!</v>
      </c>
      <c r="Y50" s="10" t="e" cm="1">
        <f t="array" ref="Y50">M</f>
        <v>#NAME?</v>
      </c>
      <c r="Z50" s="10">
        <f>Z43/Y43-1</f>
        <v>0.17335146159075454</v>
      </c>
      <c r="AA50" s="10">
        <f t="shared" ref="AA50:AA51" si="57">AA43/Z43-1</f>
        <v>0.17335146159075454</v>
      </c>
      <c r="AB50" s="10">
        <f t="shared" ref="AB50:AB51" si="58">AB43/AA43-1</f>
        <v>0.17335146159075454</v>
      </c>
      <c r="AC50" s="10">
        <f t="shared" ref="AC50:AC51" si="59">AC43/AB43-1</f>
        <v>0.17335146159075454</v>
      </c>
      <c r="AD50" s="10">
        <f t="shared" ref="AD50:AD51" si="60">AD43/AC43-1</f>
        <v>0.17335146159075454</v>
      </c>
      <c r="AE50" s="10">
        <f t="shared" ref="AE50:AE51" si="61">AE43/AD43-1</f>
        <v>0.17335146159075454</v>
      </c>
      <c r="AF50" s="10">
        <f t="shared" ref="AF50:AF51" si="62">AF43/AE43-1</f>
        <v>0.17335146159075454</v>
      </c>
    </row>
    <row r="51" spans="1:32" x14ac:dyDescent="0.3">
      <c r="B51" s="3" t="s">
        <v>56</v>
      </c>
      <c r="E51" s="3">
        <f>69</f>
        <v>69</v>
      </c>
      <c r="F51" s="3">
        <f>219</f>
        <v>219</v>
      </c>
      <c r="G51" s="3">
        <f>182</f>
        <v>182</v>
      </c>
      <c r="H51" s="3">
        <f>174</f>
        <v>174</v>
      </c>
      <c r="J51" s="3">
        <f>421</f>
        <v>421</v>
      </c>
      <c r="O51" s="3">
        <f>-6930</f>
        <v>-6930</v>
      </c>
      <c r="P51" s="3">
        <v>-844</v>
      </c>
      <c r="Q51" s="3">
        <f>646</f>
        <v>646</v>
      </c>
      <c r="X51" s="10" t="e">
        <f>U51/V51</f>
        <v>#DIV/0!</v>
      </c>
      <c r="Y51" s="10">
        <f>V51/Y44</f>
        <v>0</v>
      </c>
      <c r="Z51" s="10">
        <f>Z44/Y44-1</f>
        <v>0.20366132723112118</v>
      </c>
      <c r="AA51" s="10">
        <f t="shared" si="57"/>
        <v>0.20366132723112118</v>
      </c>
      <c r="AB51" s="10">
        <f t="shared" si="58"/>
        <v>0.20366132723112118</v>
      </c>
      <c r="AC51" s="10">
        <f t="shared" si="59"/>
        <v>0.20366132723112118</v>
      </c>
      <c r="AD51" s="10">
        <f t="shared" si="60"/>
        <v>0.20366132723112118</v>
      </c>
      <c r="AE51" s="10">
        <f t="shared" si="61"/>
        <v>0.20366132723112118</v>
      </c>
      <c r="AF51" s="10">
        <f t="shared" si="62"/>
        <v>0.20366132723112118</v>
      </c>
    </row>
    <row r="52" spans="1:32" x14ac:dyDescent="0.3">
      <c r="B52" s="3" t="s">
        <v>57</v>
      </c>
      <c r="E52" s="3">
        <f>37</f>
        <v>37</v>
      </c>
      <c r="F52" s="3">
        <f>-70</f>
        <v>-70</v>
      </c>
      <c r="G52" s="3">
        <f>-237</f>
        <v>-237</v>
      </c>
      <c r="H52" s="3">
        <f>-76</f>
        <v>-76</v>
      </c>
      <c r="J52" s="3">
        <f>-205</f>
        <v>-205</v>
      </c>
      <c r="O52" s="3">
        <f>-79378</f>
        <v>-79378</v>
      </c>
      <c r="P52" s="3">
        <f>457</f>
        <v>457</v>
      </c>
      <c r="Q52" s="3">
        <f>-347</f>
        <v>-347</v>
      </c>
      <c r="X52" s="1">
        <f>20</f>
        <v>20</v>
      </c>
      <c r="Y52" s="1">
        <f>-44</f>
        <v>-44</v>
      </c>
      <c r="Z52" s="1">
        <f>-60</f>
        <v>-60</v>
      </c>
      <c r="AA52" s="1">
        <f>200</f>
        <v>200</v>
      </c>
      <c r="AB52" s="1">
        <f>0.15*AA52+AA52</f>
        <v>230</v>
      </c>
      <c r="AC52" s="1">
        <f t="shared" ref="AC52" si="63">0.8*AB52+AB52</f>
        <v>414</v>
      </c>
      <c r="AD52" s="1">
        <f t="shared" ref="AD52" si="64">0.8*AC52+AC52</f>
        <v>745.2</v>
      </c>
      <c r="AE52" s="1">
        <f t="shared" ref="AE52" si="65">0.8*AD52+AD52</f>
        <v>1341.3600000000001</v>
      </c>
      <c r="AF52" s="1">
        <f t="shared" ref="AF52" si="66">0.8*AE52+AE52</f>
        <v>2414.4480000000003</v>
      </c>
    </row>
    <row r="53" spans="1:32" x14ac:dyDescent="0.3">
      <c r="B53" s="3" t="s">
        <v>58</v>
      </c>
      <c r="E53" s="3">
        <f>-83</f>
        <v>-83</v>
      </c>
      <c r="F53" s="3">
        <f>-37</f>
        <v>-37</v>
      </c>
      <c r="G53" s="3">
        <f>-38</f>
        <v>-38</v>
      </c>
      <c r="H53" s="3">
        <f>-48</f>
        <v>-48</v>
      </c>
      <c r="J53" s="3">
        <f>-150</f>
        <v>-150</v>
      </c>
      <c r="O53" s="3">
        <f>87498</f>
        <v>87498</v>
      </c>
      <c r="P53" s="3">
        <f>-127</f>
        <v>-127</v>
      </c>
      <c r="Q53" s="3">
        <f>-207</f>
        <v>-207</v>
      </c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3">
      <c r="A54" s="3" t="s">
        <v>60</v>
      </c>
      <c r="E54" s="3">
        <f>SUM(E51:E53)</f>
        <v>23</v>
      </c>
      <c r="F54" s="3">
        <f>SUM(F51:F53)</f>
        <v>112</v>
      </c>
      <c r="G54" s="3">
        <f>SUM(G51:G53)</f>
        <v>-93</v>
      </c>
      <c r="H54" s="3">
        <f>SUM(H51:H53)</f>
        <v>50</v>
      </c>
      <c r="J54" s="3">
        <f>SUM(J51:J53)</f>
        <v>66</v>
      </c>
      <c r="O54" s="3">
        <f>SUM(O51:O53)</f>
        <v>1190</v>
      </c>
      <c r="P54" s="3">
        <f>SUM(P51:P53)</f>
        <v>-514</v>
      </c>
      <c r="Q54" s="3">
        <f>SUM(Q51:Q53)</f>
        <v>92</v>
      </c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3">
      <c r="A55" s="1"/>
      <c r="B55" s="1" t="s">
        <v>59</v>
      </c>
      <c r="C55" s="1"/>
      <c r="D55" s="1"/>
      <c r="E55" s="1">
        <f>E51-E31</f>
        <v>-149</v>
      </c>
      <c r="F55" s="1">
        <f>F51-F31</f>
        <v>1</v>
      </c>
      <c r="G55" s="1">
        <f>G51-G31</f>
        <v>-74</v>
      </c>
      <c r="H55" s="1">
        <f>H51-H31</f>
        <v>-113</v>
      </c>
      <c r="I55" s="1"/>
      <c r="J55" s="1">
        <f>J51-J31</f>
        <v>-92</v>
      </c>
      <c r="K55" s="1"/>
      <c r="L55" s="1"/>
      <c r="M55" s="1"/>
      <c r="N55" s="1"/>
      <c r="O55" s="1">
        <f>O51-O31</f>
        <v>-7439</v>
      </c>
      <c r="P55" s="1">
        <f>P51-P31</f>
        <v>-1053</v>
      </c>
      <c r="Q55" s="1">
        <f>Q51-Q31</f>
        <v>359</v>
      </c>
      <c r="X55" s="3">
        <f>X40-X47+X44</f>
        <v>-13679</v>
      </c>
      <c r="Y55" s="3">
        <f>Y40-Y47+Y44</f>
        <v>-577</v>
      </c>
      <c r="Z55" s="3">
        <f>Z40-Z47+Z44</f>
        <v>817</v>
      </c>
      <c r="AA55" s="3">
        <f t="shared" ref="AA55:AF55" si="67">AA40-AA47+AA44</f>
        <v>1333.3258581235705</v>
      </c>
      <c r="AB55" s="3">
        <f t="shared" si="67"/>
        <v>3364.7061106933588</v>
      </c>
      <c r="AC55" s="3">
        <f t="shared" si="67"/>
        <v>5926.2023072190104</v>
      </c>
      <c r="AD55" s="3">
        <f t="shared" si="67"/>
        <v>9132.5695310052615</v>
      </c>
      <c r="AE55" s="3">
        <f t="shared" si="67"/>
        <v>13122.137966065251</v>
      </c>
      <c r="AF55" s="3">
        <f t="shared" si="67"/>
        <v>18061.574220485105</v>
      </c>
    </row>
    <row r="56" spans="1:32" x14ac:dyDescent="0.3">
      <c r="X56" s="3">
        <f>X55-X44</f>
        <v>-15182</v>
      </c>
      <c r="Y56" s="3">
        <f>Y55-Y44</f>
        <v>-1014</v>
      </c>
      <c r="Z56" s="3">
        <f>Z55-Z44</f>
        <v>291</v>
      </c>
      <c r="AA56" s="3">
        <f t="shared" ref="AA56:AF56" si="68">AA55-AA44</f>
        <v>700.20000000000073</v>
      </c>
      <c r="AB56" s="3">
        <f t="shared" si="68"/>
        <v>2602.6370000000006</v>
      </c>
      <c r="AC56" s="3">
        <f t="shared" si="68"/>
        <v>5008.9291900000026</v>
      </c>
      <c r="AD56" s="3">
        <f t="shared" si="68"/>
        <v>8028.4833533000028</v>
      </c>
      <c r="AE56" s="3">
        <f t="shared" si="68"/>
        <v>11793.192132031003</v>
      </c>
      <c r="AF56" s="3">
        <f t="shared" si="68"/>
        <v>16461.973514073172</v>
      </c>
    </row>
    <row r="57" spans="1:32" x14ac:dyDescent="0.3">
      <c r="X57" s="3">
        <f>X56-X52</f>
        <v>-15202</v>
      </c>
      <c r="Y57" s="3">
        <f>Y56-Y52</f>
        <v>-970</v>
      </c>
      <c r="Z57" s="3">
        <f>Z56-Z52</f>
        <v>351</v>
      </c>
      <c r="AA57" s="3">
        <f t="shared" ref="AA57:AF57" si="69">AA56-AA52</f>
        <v>500.20000000000073</v>
      </c>
      <c r="AB57" s="3">
        <f t="shared" si="69"/>
        <v>2372.6370000000006</v>
      </c>
      <c r="AC57" s="3">
        <f t="shared" si="69"/>
        <v>4594.9291900000026</v>
      </c>
      <c r="AD57" s="3">
        <f t="shared" si="69"/>
        <v>7283.283353300003</v>
      </c>
      <c r="AE57" s="3">
        <f t="shared" si="69"/>
        <v>10451.832132031002</v>
      </c>
      <c r="AF57" s="3">
        <f t="shared" si="69"/>
        <v>14047.525514073172</v>
      </c>
    </row>
    <row r="58" spans="1:32" x14ac:dyDescent="0.3">
      <c r="Y58" s="9">
        <f>Y57/X57</f>
        <v>6.3807393763978426E-2</v>
      </c>
      <c r="Z58" s="9">
        <f>Z57/Y57</f>
        <v>-0.36185567010309277</v>
      </c>
      <c r="AA58" s="9">
        <f>AA57/Z57-1</f>
        <v>0.42507122507122719</v>
      </c>
      <c r="AB58" s="9">
        <f t="shared" ref="AB58" si="70">AB57/AA57-1</f>
        <v>3.7433766493402585</v>
      </c>
      <c r="AC58" s="9">
        <f>AC57/AB57-1</f>
        <v>0.93663387614708915</v>
      </c>
      <c r="AD58" s="9">
        <f t="shared" ref="AD58" si="71">AD57/AC57-1</f>
        <v>0.58506976976940073</v>
      </c>
      <c r="AE58" s="9">
        <f t="shared" ref="AE58" si="72">AE57/AD57-1</f>
        <v>0.43504400763089257</v>
      </c>
      <c r="AF58" s="9">
        <f t="shared" ref="AF58" si="73">AF57/AE57-1</f>
        <v>0.34402517535874866</v>
      </c>
    </row>
    <row r="59" spans="1:32" x14ac:dyDescent="0.3">
      <c r="X59" s="5">
        <f>X57*1000000/Main!$D$9</f>
        <v>-1.7275</v>
      </c>
      <c r="Y59" s="5">
        <f>Y57*10000000/Main!$D$9</f>
        <v>-1.1022727272727273</v>
      </c>
      <c r="Z59" s="5">
        <f>Z57*10000000/Main!$D$9</f>
        <v>0.39886363636363636</v>
      </c>
      <c r="AA59" s="5">
        <f>AA57*10000000/Main!$D$9</f>
        <v>0.56840909090909175</v>
      </c>
      <c r="AB59" s="5">
        <f>AB57*10000000/Main!$D$9</f>
        <v>2.6961784090909098</v>
      </c>
      <c r="AC59" s="5">
        <f>AC57*10000000/Main!$D$9</f>
        <v>5.2215104431818204</v>
      </c>
      <c r="AD59" s="5">
        <f>AD57*10000000/Main!$D$9</f>
        <v>8.2764583560227312</v>
      </c>
      <c r="AE59" s="5">
        <f>AE57*10000000/Main!$D$9</f>
        <v>11.877081968217048</v>
      </c>
      <c r="AF59" s="5">
        <f>AF57*10000000/Main!$D$9</f>
        <v>15.963097175083149</v>
      </c>
    </row>
  </sheetData>
  <hyperlinks>
    <hyperlink ref="A1" location="Main!A1" display="Main" xr:uid="{B2AF571D-166F-4B84-81C1-247300144C7C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SRIKAR</dc:creator>
  <cp:lastModifiedBy>MANI SRIKAR</cp:lastModifiedBy>
  <dcterms:created xsi:type="dcterms:W3CDTF">2024-11-01T05:18:38Z</dcterms:created>
  <dcterms:modified xsi:type="dcterms:W3CDTF">2024-11-05T07:46:31Z</dcterms:modified>
</cp:coreProperties>
</file>