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trlProps/ctrlProp1.xml" ContentType="application/vnd.ms-excel.controlproperti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HP\Desktop\ForeVision-Financial Modelling\Project\"/>
    </mc:Choice>
  </mc:AlternateContent>
  <xr:revisionPtr revIDLastSave="0" documentId="13_ncr:1_{D9803246-2A12-4799-BAA4-B21B30F70E6A}" xr6:coauthVersionLast="45" xr6:coauthVersionMax="45" xr10:uidLastSave="{00000000-0000-0000-0000-000000000000}"/>
  <bookViews>
    <workbookView xWindow="-108" yWindow="-108" windowWidth="23256" windowHeight="12576" firstSheet="5" activeTab="11" xr2:uid="{00000000-000D-0000-FFFF-FFFF00000000}"/>
  </bookViews>
  <sheets>
    <sheet name="Company Overview" sheetId="1" r:id="rId1"/>
    <sheet name="Sector Overview" sheetId="17" r:id="rId2"/>
    <sheet name="Past Financials" sheetId="2" r:id="rId3"/>
    <sheet name="Drivers" sheetId="4" r:id="rId4"/>
    <sheet name="Revenue &amp; Expense Model" sheetId="5" r:id="rId5"/>
    <sheet name="Capex &amp; Loan Schedule" sheetId="7" r:id="rId6"/>
    <sheet name="Working Capital" sheetId="8" r:id="rId7"/>
    <sheet name="Projected Financials" sheetId="6" r:id="rId8"/>
    <sheet name="WACC" sheetId="9" r:id="rId9"/>
    <sheet name="Valuation" sheetId="10" r:id="rId10"/>
    <sheet name="Multiples" sheetId="11" r:id="rId11"/>
    <sheet name="Dashboard" sheetId="12" r:id="rId12"/>
  </sheets>
  <definedNames>
    <definedName name="_xlcn.WorksheetConnection_MarutiSuzuki.xlsxTable11" hidden="1">Table1</definedName>
    <definedName name="NetDebt">'Past Financials'!$D$105</definedName>
    <definedName name="shares">'Past Financials'!$D$103</definedName>
  </definedNames>
  <calcPr calcId="191029" iterate="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Maruti Suzuki.xlsx!Table1"/>
        </x15:modelTables>
      </x15:dataModel>
    </ext>
  </extLst>
</workbook>
</file>

<file path=xl/calcChain.xml><?xml version="1.0" encoding="utf-8"?>
<calcChain xmlns="http://schemas.openxmlformats.org/spreadsheetml/2006/main">
  <c r="E5" i="7" l="1"/>
  <c r="F7" i="4"/>
  <c r="F38" i="7" l="1"/>
  <c r="G38" i="7"/>
  <c r="E38" i="7"/>
  <c r="C86" i="6"/>
  <c r="D86" i="6"/>
  <c r="B86" i="6"/>
  <c r="F85" i="6"/>
  <c r="G85" i="6" s="1"/>
  <c r="E85" i="6"/>
  <c r="C85" i="6"/>
  <c r="D85" i="6"/>
  <c r="B85" i="6"/>
  <c r="D79" i="6"/>
  <c r="B79" i="6"/>
  <c r="C79" i="6"/>
  <c r="C10" i="8"/>
  <c r="D10" i="8"/>
  <c r="F9" i="8"/>
  <c r="G9" i="8" s="1"/>
  <c r="E9" i="8"/>
  <c r="C25" i="4"/>
  <c r="D25" i="4"/>
  <c r="B8" i="9" s="1"/>
  <c r="B25" i="4"/>
  <c r="K45" i="1" l="1"/>
  <c r="L45" i="1"/>
  <c r="M45" i="1"/>
  <c r="K44" i="1"/>
  <c r="L44" i="1"/>
  <c r="M44" i="1"/>
  <c r="J45" i="1"/>
  <c r="D47" i="12" l="1"/>
  <c r="D48" i="12"/>
  <c r="D49" i="12"/>
  <c r="D50" i="12"/>
  <c r="D46" i="12"/>
  <c r="B47" i="12"/>
  <c r="B48" i="12"/>
  <c r="B49" i="12"/>
  <c r="B50" i="12"/>
  <c r="B46" i="12"/>
  <c r="C45" i="12"/>
  <c r="B55" i="10"/>
  <c r="B44" i="10"/>
  <c r="B19" i="10"/>
  <c r="B33" i="10"/>
  <c r="B26" i="10"/>
  <c r="A38" i="12"/>
  <c r="A47" i="12" s="1"/>
  <c r="A39" i="12"/>
  <c r="A48" i="12" s="1"/>
  <c r="A40" i="12"/>
  <c r="A49" i="12" s="1"/>
  <c r="A41" i="12"/>
  <c r="A50" i="12" s="1"/>
  <c r="A37" i="12"/>
  <c r="A46" i="12" s="1"/>
  <c r="C50" i="12" l="1"/>
  <c r="C49" i="12"/>
  <c r="C47" i="12"/>
  <c r="C48" i="12"/>
  <c r="C46" i="12"/>
  <c r="E10" i="4" l="1"/>
  <c r="E69" i="10" l="1"/>
  <c r="E70" i="10"/>
  <c r="E71" i="10"/>
  <c r="E72" i="10"/>
  <c r="E68" i="10"/>
  <c r="C69" i="10"/>
  <c r="C70" i="10"/>
  <c r="C71" i="10"/>
  <c r="C72" i="10"/>
  <c r="C68" i="10"/>
  <c r="A70" i="10"/>
  <c r="H5" i="11"/>
  <c r="T5" i="11" s="1"/>
  <c r="B59" i="10"/>
  <c r="B49" i="10"/>
  <c r="B38" i="10"/>
  <c r="T6" i="11"/>
  <c r="T7" i="11"/>
  <c r="P6" i="11"/>
  <c r="P7" i="11"/>
  <c r="R6" i="11"/>
  <c r="R7" i="11"/>
  <c r="R5" i="11"/>
  <c r="S4" i="11"/>
  <c r="U4" i="11" s="1"/>
  <c r="T4" i="11"/>
  <c r="R4" i="11"/>
  <c r="P5" i="11"/>
  <c r="K5" i="11" l="1"/>
  <c r="J5" i="11"/>
  <c r="I5" i="11"/>
  <c r="I8" i="11" s="1"/>
  <c r="C5" i="11"/>
  <c r="B6" i="10" l="1"/>
  <c r="B7" i="10" s="1"/>
  <c r="G5"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152" i="9"/>
  <c r="M153" i="9"/>
  <c r="M154" i="9"/>
  <c r="M155" i="9"/>
  <c r="M156" i="9"/>
  <c r="M157" i="9"/>
  <c r="M158" i="9"/>
  <c r="M159" i="9"/>
  <c r="M160" i="9"/>
  <c r="M161" i="9"/>
  <c r="M162" i="9"/>
  <c r="M163" i="9"/>
  <c r="M164" i="9"/>
  <c r="M165" i="9"/>
  <c r="M166" i="9"/>
  <c r="M167" i="9"/>
  <c r="M168" i="9"/>
  <c r="M169" i="9"/>
  <c r="M170" i="9"/>
  <c r="M171" i="9"/>
  <c r="M172" i="9"/>
  <c r="M173" i="9"/>
  <c r="M174" i="9"/>
  <c r="M175" i="9"/>
  <c r="M176" i="9"/>
  <c r="M177" i="9"/>
  <c r="M178" i="9"/>
  <c r="M179" i="9"/>
  <c r="M180" i="9"/>
  <c r="M181" i="9"/>
  <c r="M182" i="9"/>
  <c r="M183" i="9"/>
  <c r="M184" i="9"/>
  <c r="M185" i="9"/>
  <c r="M186"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K242" i="9"/>
  <c r="K243" i="9"/>
  <c r="K244" i="9"/>
  <c r="K245" i="9"/>
  <c r="K98" i="9"/>
  <c r="K54" i="9"/>
  <c r="K199" i="9"/>
  <c r="K200" i="9"/>
  <c r="G4" i="9"/>
  <c r="C95" i="6"/>
  <c r="D95" i="6"/>
  <c r="E95" i="6" s="1"/>
  <c r="F95" i="6" s="1"/>
  <c r="G95" i="6" s="1"/>
  <c r="B95" i="6"/>
  <c r="C87" i="6"/>
  <c r="D87" i="6"/>
  <c r="E87" i="6" s="1"/>
  <c r="F87" i="6" s="1"/>
  <c r="G87" i="6" s="1"/>
  <c r="B87" i="6"/>
  <c r="C84" i="6"/>
  <c r="D84" i="6"/>
  <c r="E84" i="6" s="1"/>
  <c r="F84" i="6" s="1"/>
  <c r="G84" i="6" s="1"/>
  <c r="B84" i="6"/>
  <c r="C77" i="6"/>
  <c r="D77" i="6"/>
  <c r="E77" i="6" s="1"/>
  <c r="F77" i="6" s="1"/>
  <c r="G77" i="6" s="1"/>
  <c r="B77" i="6"/>
  <c r="C103" i="6"/>
  <c r="D103" i="6"/>
  <c r="E103" i="6" s="1"/>
  <c r="F103" i="6" s="1"/>
  <c r="G103" i="6" s="1"/>
  <c r="B103" i="6"/>
  <c r="C102" i="6"/>
  <c r="D102" i="6"/>
  <c r="E102" i="6" s="1"/>
  <c r="B102" i="6"/>
  <c r="C98" i="6"/>
  <c r="D98" i="6"/>
  <c r="E98" i="6" s="1"/>
  <c r="F98" i="6" s="1"/>
  <c r="G98" i="6" s="1"/>
  <c r="B98" i="6"/>
  <c r="C93" i="6"/>
  <c r="D93" i="6"/>
  <c r="E93" i="6" s="1"/>
  <c r="F93" i="6" s="1"/>
  <c r="G93" i="6" s="1"/>
  <c r="B93" i="6"/>
  <c r="C92" i="6"/>
  <c r="D92" i="6"/>
  <c r="B92" i="6"/>
  <c r="C28" i="6" l="1"/>
  <c r="C14" i="12" s="1"/>
  <c r="D28" i="6"/>
  <c r="D14" i="12" s="1"/>
  <c r="B28" i="6"/>
  <c r="B14" i="12" s="1"/>
  <c r="A28" i="6"/>
  <c r="C24" i="6"/>
  <c r="D24" i="6"/>
  <c r="B24" i="6"/>
  <c r="A24" i="6"/>
  <c r="C21" i="6"/>
  <c r="D21" i="6"/>
  <c r="B21" i="6"/>
  <c r="C19" i="6"/>
  <c r="D19" i="6"/>
  <c r="B19" i="6"/>
  <c r="C15" i="6"/>
  <c r="D15" i="6"/>
  <c r="B15" i="6"/>
  <c r="C14" i="6"/>
  <c r="D14" i="6"/>
  <c r="B14" i="6"/>
  <c r="C13" i="6"/>
  <c r="D13" i="6"/>
  <c r="B13" i="6"/>
  <c r="C12" i="6"/>
  <c r="D12" i="6"/>
  <c r="B12" i="6"/>
  <c r="A16" i="6"/>
  <c r="C8" i="6"/>
  <c r="D8" i="6"/>
  <c r="B8" i="6"/>
  <c r="A8" i="6"/>
  <c r="A7" i="6"/>
  <c r="C45" i="7"/>
  <c r="C44" i="7"/>
  <c r="C46" i="7" s="1"/>
  <c r="D45" i="7"/>
  <c r="D44" i="7"/>
  <c r="D33" i="7"/>
  <c r="E33" i="7" s="1"/>
  <c r="F33" i="7" s="1"/>
  <c r="G33" i="7" s="1"/>
  <c r="D32" i="7"/>
  <c r="D34" i="7" l="1"/>
  <c r="E29" i="7" s="1"/>
  <c r="D46" i="7"/>
  <c r="E31" i="7" s="1"/>
  <c r="E24" i="6"/>
  <c r="F24" i="6" s="1"/>
  <c r="G24" i="6" s="1"/>
  <c r="D16" i="6"/>
  <c r="B16" i="6"/>
  <c r="C16" i="6"/>
  <c r="E12" i="7" l="1"/>
  <c r="E18" i="7" s="1"/>
  <c r="D20" i="7" l="1"/>
  <c r="E17" i="7" s="1"/>
  <c r="D15" i="7"/>
  <c r="E11" i="7" s="1"/>
  <c r="E13" i="7" l="1"/>
  <c r="E28" i="7" l="1"/>
  <c r="E43" i="7" s="1"/>
  <c r="F28" i="7"/>
  <c r="F43" i="7" s="1"/>
  <c r="G28" i="7"/>
  <c r="G43" i="7" s="1"/>
  <c r="C5" i="7"/>
  <c r="D5" i="7"/>
  <c r="F5" i="7" s="1"/>
  <c r="G5" i="7" s="1"/>
  <c r="B5" i="7"/>
  <c r="C6" i="4" l="1"/>
  <c r="C5" i="6" s="1"/>
  <c r="D6" i="4"/>
  <c r="D5" i="6" s="1"/>
  <c r="B6" i="4"/>
  <c r="B5" i="6" s="1"/>
  <c r="B10" i="12" l="1"/>
  <c r="J10" i="12" s="1"/>
  <c r="B136" i="6"/>
  <c r="D10" i="12"/>
  <c r="J12" i="12" s="1"/>
  <c r="D136" i="6"/>
  <c r="C10" i="12"/>
  <c r="J11" i="12" s="1"/>
  <c r="C136" i="6"/>
  <c r="A6" i="5"/>
  <c r="L10" i="12" l="1"/>
  <c r="J45" i="17"/>
  <c r="J44" i="17"/>
  <c r="J43" i="17"/>
  <c r="J42" i="17"/>
  <c r="J41" i="17"/>
  <c r="C28" i="2"/>
  <c r="D28" i="2"/>
  <c r="B28" i="2"/>
  <c r="C123" i="2"/>
  <c r="D123" i="2"/>
  <c r="B123" i="2"/>
  <c r="H27" i="2"/>
  <c r="D22" i="4" s="1"/>
  <c r="G27" i="2"/>
  <c r="C22" i="4" s="1"/>
  <c r="F27" i="2"/>
  <c r="B22" i="4" s="1"/>
  <c r="A22" i="4"/>
  <c r="A15" i="5" s="1"/>
  <c r="A15" i="6" s="1"/>
  <c r="A21" i="4"/>
  <c r="A14" i="5" s="1"/>
  <c r="A14" i="6" s="1"/>
  <c r="H24" i="2"/>
  <c r="D19" i="4" s="1"/>
  <c r="G24" i="2"/>
  <c r="C19" i="4" s="1"/>
  <c r="F24" i="2"/>
  <c r="B19" i="4" s="1"/>
  <c r="A19" i="4"/>
  <c r="A12" i="5" s="1"/>
  <c r="A12" i="6" s="1"/>
  <c r="F10" i="4"/>
  <c r="G10" i="4" s="1"/>
  <c r="B7" i="4"/>
  <c r="E22" i="4" l="1"/>
  <c r="F22" i="4" s="1"/>
  <c r="G22" i="4" s="1"/>
  <c r="D7" i="4"/>
  <c r="C7" i="4"/>
  <c r="C5" i="4" l="1"/>
  <c r="C28" i="7" s="1"/>
  <c r="C43" i="7" s="1"/>
  <c r="D5" i="4"/>
  <c r="D28" i="7" s="1"/>
  <c r="D43" i="7" s="1"/>
  <c r="B5" i="4"/>
  <c r="B28" i="7" s="1"/>
  <c r="B43" i="7" s="1"/>
  <c r="M20" i="2" l="1"/>
  <c r="M26" i="2"/>
  <c r="M31" i="2"/>
  <c r="M33" i="2"/>
  <c r="M35" i="2"/>
  <c r="M36" i="2"/>
  <c r="M38" i="2"/>
  <c r="M19" i="2"/>
  <c r="H26" i="2"/>
  <c r="D21" i="4" s="1"/>
  <c r="H31" i="2"/>
  <c r="H33" i="2"/>
  <c r="H35" i="2"/>
  <c r="H36" i="2"/>
  <c r="H38" i="2"/>
  <c r="H20" i="2"/>
  <c r="D12" i="4" s="1"/>
  <c r="E12" i="4" s="1"/>
  <c r="F12" i="4" s="1"/>
  <c r="G12" i="4" s="1"/>
  <c r="H19" i="2"/>
  <c r="G26" i="2"/>
  <c r="C21" i="4" s="1"/>
  <c r="G31" i="2"/>
  <c r="G33" i="2"/>
  <c r="G35" i="2"/>
  <c r="G36" i="2"/>
  <c r="G38" i="2"/>
  <c r="G20" i="2"/>
  <c r="C12" i="4" s="1"/>
  <c r="G19" i="2"/>
  <c r="F25" i="2"/>
  <c r="F26" i="2"/>
  <c r="B21" i="4" s="1"/>
  <c r="F31" i="2"/>
  <c r="F33" i="2"/>
  <c r="F35" i="2"/>
  <c r="F36" i="2"/>
  <c r="F38" i="2"/>
  <c r="F20" i="2"/>
  <c r="B12" i="4" s="1"/>
  <c r="F19" i="2"/>
  <c r="K20" i="2"/>
  <c r="K26" i="2"/>
  <c r="K31" i="2"/>
  <c r="K33" i="2"/>
  <c r="K35" i="2"/>
  <c r="K36" i="2"/>
  <c r="K38" i="2"/>
  <c r="J25" i="2"/>
  <c r="J26" i="2"/>
  <c r="J31" i="2"/>
  <c r="J33" i="2"/>
  <c r="J35" i="2"/>
  <c r="J36" i="2"/>
  <c r="J38" i="2"/>
  <c r="J20" i="2"/>
  <c r="K19" i="2"/>
  <c r="J19" i="2"/>
  <c r="E21" i="4" l="1"/>
  <c r="C83" i="2"/>
  <c r="D83" i="2"/>
  <c r="B83" i="2"/>
  <c r="G21" i="4" l="1"/>
  <c r="F21" i="4"/>
  <c r="C51" i="2"/>
  <c r="D51" i="2"/>
  <c r="E41" i="1" s="1"/>
  <c r="C59" i="2"/>
  <c r="D59" i="2"/>
  <c r="C69" i="2"/>
  <c r="D69" i="2"/>
  <c r="C95" i="2"/>
  <c r="D95" i="2"/>
  <c r="B95" i="2"/>
  <c r="B96" i="2" s="1"/>
  <c r="B69" i="2"/>
  <c r="B59" i="2"/>
  <c r="B51" i="2"/>
  <c r="F28" i="2"/>
  <c r="C21" i="2"/>
  <c r="D21" i="2"/>
  <c r="B21" i="2"/>
  <c r="F21" i="2" s="1"/>
  <c r="M28" i="2" l="1"/>
  <c r="H28" i="2"/>
  <c r="K28" i="2"/>
  <c r="J28" i="2"/>
  <c r="G28" i="2"/>
  <c r="M21" i="2"/>
  <c r="H21" i="2"/>
  <c r="K21" i="2"/>
  <c r="J21" i="2"/>
  <c r="G21" i="2"/>
  <c r="C30" i="2"/>
  <c r="D96" i="2"/>
  <c r="B70" i="2"/>
  <c r="D30" i="2"/>
  <c r="C96" i="2"/>
  <c r="D70" i="2"/>
  <c r="C70" i="2"/>
  <c r="B30" i="2"/>
  <c r="D42" i="1"/>
  <c r="D41" i="1"/>
  <c r="C8" i="2"/>
  <c r="C9" i="2" s="1"/>
  <c r="D8" i="2"/>
  <c r="D9" i="2" s="1"/>
  <c r="B8" i="2"/>
  <c r="B9" i="2" s="1"/>
  <c r="B4" i="2"/>
  <c r="B136" i="2" l="1"/>
  <c r="C136" i="2"/>
  <c r="D136" i="2"/>
  <c r="B135" i="2"/>
  <c r="D135" i="2"/>
  <c r="C135" i="2"/>
  <c r="D32" i="2"/>
  <c r="M30" i="2"/>
  <c r="H30" i="2"/>
  <c r="D137" i="2"/>
  <c r="K30" i="2"/>
  <c r="C32" i="2"/>
  <c r="J30" i="2"/>
  <c r="G30" i="2"/>
  <c r="C137" i="2"/>
  <c r="B32" i="2"/>
  <c r="B137" i="2"/>
  <c r="F30" i="2"/>
  <c r="D23" i="17"/>
  <c r="V7" i="17"/>
  <c r="V6" i="17"/>
  <c r="V5" i="17"/>
  <c r="K3" i="17"/>
  <c r="J5" i="17"/>
  <c r="J6" i="17"/>
  <c r="J4" i="17"/>
  <c r="C9" i="4" l="1"/>
  <c r="C6" i="6" s="1"/>
  <c r="C7" i="6" s="1"/>
  <c r="C7" i="2"/>
  <c r="C20" i="4" s="1"/>
  <c r="D9" i="4"/>
  <c r="D6" i="6" s="1"/>
  <c r="D7" i="6" s="1"/>
  <c r="D7" i="2"/>
  <c r="D20" i="4" s="1"/>
  <c r="E20" i="4" s="1"/>
  <c r="F20" i="4" s="1"/>
  <c r="G20" i="4" s="1"/>
  <c r="B9" i="4"/>
  <c r="B6" i="6" s="1"/>
  <c r="B7" i="6" s="1"/>
  <c r="B7" i="2"/>
  <c r="B20" i="4" s="1"/>
  <c r="D34" i="2"/>
  <c r="M32" i="2"/>
  <c r="K32" i="2"/>
  <c r="H32" i="2"/>
  <c r="B34" i="2"/>
  <c r="F32" i="2"/>
  <c r="C34" i="2"/>
  <c r="G32" i="2"/>
  <c r="J32" i="2"/>
  <c r="L42" i="1"/>
  <c r="J41" i="1"/>
  <c r="J43" i="1"/>
  <c r="K43" i="1"/>
  <c r="M43" i="1"/>
  <c r="L43" i="1"/>
  <c r="K42" i="1"/>
  <c r="J42" i="1"/>
  <c r="M42" i="1"/>
  <c r="B9" i="6" l="1"/>
  <c r="B135" i="6"/>
  <c r="D9" i="6"/>
  <c r="D135" i="6"/>
  <c r="C9" i="6"/>
  <c r="C135" i="6"/>
  <c r="C10" i="4"/>
  <c r="D10" i="4"/>
  <c r="E9" i="4"/>
  <c r="C37" i="2"/>
  <c r="J34" i="2"/>
  <c r="G34" i="2"/>
  <c r="B37" i="2"/>
  <c r="F34" i="2"/>
  <c r="D37" i="2"/>
  <c r="M34" i="2"/>
  <c r="K34" i="2"/>
  <c r="H34" i="2"/>
  <c r="G25" i="1"/>
  <c r="F26" i="1"/>
  <c r="G26" i="1" s="1"/>
  <c r="B11" i="12" l="1"/>
  <c r="B18" i="6"/>
  <c r="C11" i="12"/>
  <c r="C18" i="6"/>
  <c r="D11" i="12"/>
  <c r="D18" i="6"/>
  <c r="E6" i="5"/>
  <c r="E6" i="6"/>
  <c r="F9" i="4"/>
  <c r="D39" i="2"/>
  <c r="K41" i="1" s="1"/>
  <c r="M37" i="2"/>
  <c r="K37" i="2"/>
  <c r="H37" i="2"/>
  <c r="B39" i="2"/>
  <c r="F37" i="2"/>
  <c r="C39" i="2"/>
  <c r="J37" i="2"/>
  <c r="G37" i="2"/>
  <c r="C18" i="1"/>
  <c r="C12" i="12" l="1"/>
  <c r="C13" i="12" s="1"/>
  <c r="C137" i="6"/>
  <c r="D12" i="12"/>
  <c r="D13" i="12" s="1"/>
  <c r="D137" i="6"/>
  <c r="B12" i="12"/>
  <c r="B13" i="12" s="1"/>
  <c r="B137" i="6"/>
  <c r="F6" i="5"/>
  <c r="F6" i="6"/>
  <c r="G9" i="4"/>
  <c r="B40" i="2"/>
  <c r="F39" i="2"/>
  <c r="C40" i="2"/>
  <c r="G39" i="2"/>
  <c r="J39" i="2"/>
  <c r="D40" i="2"/>
  <c r="K39" i="2"/>
  <c r="H39" i="2"/>
  <c r="M39" i="2"/>
  <c r="G6" i="5" l="1"/>
  <c r="G6" i="6"/>
  <c r="B5" i="12"/>
  <c r="E19" i="4" s="1"/>
  <c r="F19" i="4" s="1"/>
  <c r="G19" i="4" s="1"/>
  <c r="B4" i="12"/>
  <c r="E7" i="4" s="1"/>
  <c r="G7" i="4" s="1"/>
  <c r="G29" i="12" l="1"/>
  <c r="D16" i="12" l="1"/>
  <c r="C16" i="12"/>
  <c r="B16" i="12"/>
  <c r="G6" i="9" l="1"/>
  <c r="B5" i="9" s="1"/>
  <c r="K5" i="9"/>
  <c r="B129" i="2" l="1"/>
  <c r="B121" i="2" l="1"/>
  <c r="C121" i="2"/>
  <c r="D121" i="2"/>
  <c r="B104" i="2"/>
  <c r="B116" i="2" l="1"/>
  <c r="B9" i="10"/>
  <c r="X6" i="17" l="1"/>
  <c r="X5" i="17"/>
  <c r="D4" i="2" l="1"/>
  <c r="C4" i="2"/>
  <c r="A19" i="10" l="1"/>
  <c r="X7" i="17" l="1"/>
  <c r="X8" i="17" l="1"/>
  <c r="E5" i="5" l="1"/>
  <c r="F5" i="5" s="1"/>
  <c r="G5" i="5" s="1"/>
  <c r="E6" i="4" l="1"/>
  <c r="F6" i="4" l="1"/>
  <c r="E5" i="6"/>
  <c r="E7" i="5"/>
  <c r="E5" i="11"/>
  <c r="E10" i="12" l="1"/>
  <c r="J13" i="12" s="1"/>
  <c r="E7" i="6"/>
  <c r="E4" i="7"/>
  <c r="E7" i="7" s="1"/>
  <c r="G6" i="4"/>
  <c r="G5" i="6" s="1"/>
  <c r="F5" i="6"/>
  <c r="E14" i="5"/>
  <c r="E14" i="6" s="1"/>
  <c r="E15" i="5"/>
  <c r="E15" i="6" s="1"/>
  <c r="E13" i="5"/>
  <c r="E13" i="6" s="1"/>
  <c r="E8" i="5"/>
  <c r="E12" i="5"/>
  <c r="G7" i="5"/>
  <c r="F7" i="5"/>
  <c r="F12" i="7" l="1"/>
  <c r="E19" i="7"/>
  <c r="E20" i="7" s="1"/>
  <c r="F17" i="7" s="1"/>
  <c r="E9" i="5"/>
  <c r="E8" i="6"/>
  <c r="E9" i="6" s="1"/>
  <c r="E11" i="12" s="1"/>
  <c r="F4" i="7"/>
  <c r="F7" i="7" s="1"/>
  <c r="G10" i="12"/>
  <c r="G7" i="6"/>
  <c r="E16" i="5"/>
  <c r="E12" i="6"/>
  <c r="F10" i="12"/>
  <c r="J14" i="12" s="1"/>
  <c r="F7" i="6"/>
  <c r="B45" i="10"/>
  <c r="B46" i="10" s="1"/>
  <c r="B47" i="10" s="1"/>
  <c r="B48" i="10" s="1"/>
  <c r="B50" i="10" s="1"/>
  <c r="B71" i="10" s="1"/>
  <c r="D71" i="10" s="1"/>
  <c r="F71" i="10" s="1"/>
  <c r="G71" i="10" s="1"/>
  <c r="B40" i="12" s="1"/>
  <c r="B20" i="10"/>
  <c r="B21" i="10" s="1"/>
  <c r="B68" i="10" s="1"/>
  <c r="D68" i="10" s="1"/>
  <c r="F68" i="10" s="1"/>
  <c r="G68" i="10" s="1"/>
  <c r="B37" i="12" s="1"/>
  <c r="E135" i="6"/>
  <c r="G4" i="7"/>
  <c r="G19" i="7" s="1"/>
  <c r="E8" i="7"/>
  <c r="E30" i="7"/>
  <c r="E32" i="7" s="1"/>
  <c r="G13" i="5"/>
  <c r="G13" i="6" s="1"/>
  <c r="G8" i="5"/>
  <c r="G15" i="5"/>
  <c r="G15" i="6" s="1"/>
  <c r="G14" i="5"/>
  <c r="G14" i="6" s="1"/>
  <c r="G12" i="5"/>
  <c r="G12" i="6" s="1"/>
  <c r="F13" i="5"/>
  <c r="F13" i="6" s="1"/>
  <c r="F8" i="5"/>
  <c r="F15" i="5"/>
  <c r="F15" i="6" s="1"/>
  <c r="F14" i="5"/>
  <c r="F14" i="6" s="1"/>
  <c r="F12" i="5"/>
  <c r="F12" i="6" s="1"/>
  <c r="J15" i="12" l="1"/>
  <c r="L13" i="12" s="1"/>
  <c r="F18" i="7"/>
  <c r="E18" i="5"/>
  <c r="E36" i="7"/>
  <c r="G12" i="7"/>
  <c r="G18" i="7" s="1"/>
  <c r="F19" i="7"/>
  <c r="G135" i="6"/>
  <c r="F9" i="5"/>
  <c r="F8" i="6"/>
  <c r="F9" i="6" s="1"/>
  <c r="F135" i="6"/>
  <c r="F31" i="7"/>
  <c r="F136" i="6"/>
  <c r="F16" i="6"/>
  <c r="G9" i="5"/>
  <c r="G8" i="6"/>
  <c r="G9" i="6" s="1"/>
  <c r="G136" i="6"/>
  <c r="G16" i="6"/>
  <c r="G7" i="7"/>
  <c r="G8" i="7" s="1"/>
  <c r="E136" i="6"/>
  <c r="E16" i="6"/>
  <c r="E18" i="6" s="1"/>
  <c r="F8" i="7"/>
  <c r="F30" i="7"/>
  <c r="G16" i="5"/>
  <c r="F16" i="5"/>
  <c r="D94" i="6"/>
  <c r="C94" i="6"/>
  <c r="B94" i="6"/>
  <c r="A93" i="6"/>
  <c r="D23" i="6"/>
  <c r="C23" i="6"/>
  <c r="B23" i="6"/>
  <c r="D26" i="6"/>
  <c r="C26" i="6"/>
  <c r="B26" i="6"/>
  <c r="D29" i="6"/>
  <c r="D15" i="12" s="1"/>
  <c r="C29" i="6"/>
  <c r="C15" i="12" s="1"/>
  <c r="B29" i="6"/>
  <c r="B15" i="12" s="1"/>
  <c r="A29" i="6"/>
  <c r="A27" i="6"/>
  <c r="A26" i="6"/>
  <c r="A25" i="6"/>
  <c r="A23" i="6"/>
  <c r="A22" i="6"/>
  <c r="A21" i="6"/>
  <c r="A20" i="6"/>
  <c r="A19" i="6"/>
  <c r="A18" i="6"/>
  <c r="A11" i="6"/>
  <c r="A9" i="6"/>
  <c r="E94" i="6" l="1"/>
  <c r="F94" i="6" s="1"/>
  <c r="G94" i="6" s="1"/>
  <c r="D96" i="6"/>
  <c r="F20" i="7"/>
  <c r="G17" i="7" s="1"/>
  <c r="G20" i="7" s="1"/>
  <c r="G36" i="7" s="1"/>
  <c r="E19" i="5"/>
  <c r="G18" i="5"/>
  <c r="G19" i="5" s="1"/>
  <c r="F18" i="5"/>
  <c r="F19" i="5" s="1"/>
  <c r="G11" i="12"/>
  <c r="G18" i="6"/>
  <c r="G30" i="7"/>
  <c r="F11" i="12"/>
  <c r="F18" i="6"/>
  <c r="E12" i="12"/>
  <c r="E13" i="12" s="1"/>
  <c r="B27" i="10"/>
  <c r="B28" i="10" s="1"/>
  <c r="B69" i="10" s="1"/>
  <c r="D69" i="10" s="1"/>
  <c r="F69" i="10" s="1"/>
  <c r="G69" i="10" s="1"/>
  <c r="B38" i="12" s="1"/>
  <c r="E137" i="6"/>
  <c r="E23" i="6"/>
  <c r="F23" i="6" s="1"/>
  <c r="G23" i="6" s="1"/>
  <c r="E79" i="6"/>
  <c r="F79" i="6" s="1"/>
  <c r="G79" i="6" s="1"/>
  <c r="K241" i="9"/>
  <c r="K240" i="9"/>
  <c r="K239" i="9"/>
  <c r="K238" i="9"/>
  <c r="K237" i="9"/>
  <c r="K236" i="9"/>
  <c r="K235" i="9"/>
  <c r="K234" i="9"/>
  <c r="F36" i="7" l="1"/>
  <c r="F12" i="12"/>
  <c r="F13" i="12" s="1"/>
  <c r="F137" i="6"/>
  <c r="G12" i="12"/>
  <c r="G13" i="12" s="1"/>
  <c r="G137" i="6"/>
  <c r="F102" i="6"/>
  <c r="G102" i="6" s="1"/>
  <c r="D100" i="6"/>
  <c r="D123" i="6" s="1"/>
  <c r="C100" i="6"/>
  <c r="C123" i="6" s="1"/>
  <c r="B100" i="6"/>
  <c r="B123" i="6" s="1"/>
  <c r="D99" i="6"/>
  <c r="C99" i="6"/>
  <c r="B99" i="6"/>
  <c r="D83" i="6"/>
  <c r="C83" i="6"/>
  <c r="B83" i="6"/>
  <c r="D82" i="6"/>
  <c r="C82" i="6"/>
  <c r="B82" i="6"/>
  <c r="A88" i="6"/>
  <c r="A86" i="6"/>
  <c r="A83" i="6"/>
  <c r="A45" i="6" s="1"/>
  <c r="A82" i="6"/>
  <c r="A81" i="6"/>
  <c r="A80" i="6"/>
  <c r="D76" i="6"/>
  <c r="C76" i="6"/>
  <c r="B76" i="6"/>
  <c r="A76" i="6"/>
  <c r="D78" i="6"/>
  <c r="E78" i="6" s="1"/>
  <c r="F78" i="6" s="1"/>
  <c r="G78" i="6" s="1"/>
  <c r="C78" i="6"/>
  <c r="B78" i="6"/>
  <c r="A79" i="6"/>
  <c r="A43" i="6" s="1"/>
  <c r="A78" i="6"/>
  <c r="A42" i="6" s="1"/>
  <c r="A75" i="6"/>
  <c r="A74" i="6"/>
  <c r="A73" i="6"/>
  <c r="A34" i="6"/>
  <c r="D74" i="6"/>
  <c r="E74" i="6" s="1"/>
  <c r="F74" i="6" s="1"/>
  <c r="G74" i="6" s="1"/>
  <c r="C74" i="6"/>
  <c r="B74" i="6"/>
  <c r="D106" i="2"/>
  <c r="D124" i="2" s="1"/>
  <c r="C106" i="2"/>
  <c r="B106" i="2"/>
  <c r="C24" i="4" s="1"/>
  <c r="B107" i="2"/>
  <c r="O4" i="11"/>
  <c r="Q4" i="11" s="1"/>
  <c r="N4" i="11"/>
  <c r="P4" i="11" s="1"/>
  <c r="D24" i="4" l="1"/>
  <c r="B124" i="2"/>
  <c r="C124" i="2"/>
  <c r="D109" i="6"/>
  <c r="B73" i="6"/>
  <c r="B109" i="6"/>
  <c r="C109" i="6"/>
  <c r="E24" i="4" l="1"/>
  <c r="B118" i="6"/>
  <c r="B18" i="12" s="1"/>
  <c r="A6" i="6"/>
  <c r="F24" i="4" l="1"/>
  <c r="G24" i="4" s="1"/>
  <c r="E14" i="7"/>
  <c r="D29" i="12"/>
  <c r="A29" i="12"/>
  <c r="A15" i="12"/>
  <c r="A14" i="12"/>
  <c r="A12" i="12"/>
  <c r="A9" i="12"/>
  <c r="E21" i="5" l="1"/>
  <c r="E15" i="7"/>
  <c r="F11" i="7" s="1"/>
  <c r="F13" i="7" s="1"/>
  <c r="D7" i="11"/>
  <c r="G7" i="11" s="1"/>
  <c r="D6" i="11"/>
  <c r="G6" i="11" s="1"/>
  <c r="F14" i="7" l="1"/>
  <c r="F21" i="5" s="1"/>
  <c r="E19" i="6"/>
  <c r="E22" i="5"/>
  <c r="N6" i="11"/>
  <c r="L6" i="11"/>
  <c r="N7" i="11"/>
  <c r="L7" i="11"/>
  <c r="A33" i="10"/>
  <c r="D32" i="10" s="1"/>
  <c r="A26" i="10"/>
  <c r="K233" i="9"/>
  <c r="K232" i="9"/>
  <c r="K231" i="9"/>
  <c r="K230" i="9"/>
  <c r="K229" i="9"/>
  <c r="K228" i="9"/>
  <c r="K227" i="9"/>
  <c r="K226" i="9"/>
  <c r="K225" i="9"/>
  <c r="K224" i="9"/>
  <c r="K223" i="9"/>
  <c r="K222" i="9"/>
  <c r="K221" i="9"/>
  <c r="K220" i="9"/>
  <c r="K219" i="9"/>
  <c r="K218" i="9"/>
  <c r="K217" i="9"/>
  <c r="K216" i="9"/>
  <c r="K215" i="9"/>
  <c r="K214" i="9"/>
  <c r="K213" i="9"/>
  <c r="K212" i="9"/>
  <c r="K211" i="9"/>
  <c r="K210" i="9"/>
  <c r="K209" i="9"/>
  <c r="K208" i="9"/>
  <c r="K207" i="9"/>
  <c r="K206" i="9"/>
  <c r="K205" i="9"/>
  <c r="K204" i="9"/>
  <c r="K203" i="9"/>
  <c r="K202" i="9"/>
  <c r="K201" i="9"/>
  <c r="K198" i="9"/>
  <c r="K197" i="9"/>
  <c r="K196" i="9"/>
  <c r="K195" i="9"/>
  <c r="K194" i="9"/>
  <c r="K193" i="9"/>
  <c r="K192" i="9"/>
  <c r="K191" i="9"/>
  <c r="K190" i="9"/>
  <c r="K189" i="9"/>
  <c r="K188" i="9"/>
  <c r="K187" i="9"/>
  <c r="K186" i="9"/>
  <c r="K185" i="9"/>
  <c r="K184" i="9"/>
  <c r="K183" i="9"/>
  <c r="K182" i="9"/>
  <c r="K181" i="9"/>
  <c r="K180" i="9"/>
  <c r="K179" i="9"/>
  <c r="K178" i="9"/>
  <c r="K177" i="9"/>
  <c r="K176" i="9"/>
  <c r="K175" i="9"/>
  <c r="K174" i="9"/>
  <c r="K173" i="9"/>
  <c r="K172" i="9"/>
  <c r="K171" i="9"/>
  <c r="K170" i="9"/>
  <c r="K169" i="9"/>
  <c r="K168" i="9"/>
  <c r="K167" i="9"/>
  <c r="K166" i="9"/>
  <c r="K165" i="9"/>
  <c r="K164" i="9"/>
  <c r="K163" i="9"/>
  <c r="K162" i="9"/>
  <c r="K161" i="9"/>
  <c r="K160" i="9"/>
  <c r="K159" i="9"/>
  <c r="K158" i="9"/>
  <c r="K157" i="9"/>
  <c r="K156" i="9"/>
  <c r="K155" i="9"/>
  <c r="K154" i="9"/>
  <c r="K153" i="9"/>
  <c r="K152" i="9"/>
  <c r="K151" i="9"/>
  <c r="K150" i="9"/>
  <c r="K149" i="9"/>
  <c r="K148" i="9"/>
  <c r="K147" i="9"/>
  <c r="K146" i="9"/>
  <c r="K145" i="9"/>
  <c r="K144" i="9"/>
  <c r="K143" i="9"/>
  <c r="K142" i="9"/>
  <c r="K141" i="9"/>
  <c r="K140" i="9"/>
  <c r="K139" i="9"/>
  <c r="K138" i="9"/>
  <c r="K137" i="9"/>
  <c r="K136" i="9"/>
  <c r="K135" i="9"/>
  <c r="K134" i="9"/>
  <c r="K133" i="9"/>
  <c r="K132" i="9"/>
  <c r="K131" i="9"/>
  <c r="K130" i="9"/>
  <c r="K129" i="9"/>
  <c r="K128" i="9"/>
  <c r="K127" i="9"/>
  <c r="K126" i="9"/>
  <c r="K125" i="9"/>
  <c r="K124" i="9"/>
  <c r="K123" i="9"/>
  <c r="K122" i="9"/>
  <c r="K121" i="9"/>
  <c r="K120" i="9"/>
  <c r="K119" i="9"/>
  <c r="K118" i="9"/>
  <c r="K117" i="9"/>
  <c r="K116" i="9"/>
  <c r="K115" i="9"/>
  <c r="K114" i="9"/>
  <c r="K113" i="9"/>
  <c r="K112" i="9"/>
  <c r="K111" i="9"/>
  <c r="K110" i="9"/>
  <c r="K109" i="9"/>
  <c r="K108" i="9"/>
  <c r="K107" i="9"/>
  <c r="K106" i="9"/>
  <c r="K105" i="9"/>
  <c r="K104" i="9"/>
  <c r="K103" i="9"/>
  <c r="K102" i="9"/>
  <c r="K101" i="9"/>
  <c r="K100" i="9"/>
  <c r="K99" i="9"/>
  <c r="K97" i="9"/>
  <c r="K96" i="9"/>
  <c r="K95" i="9"/>
  <c r="K94" i="9"/>
  <c r="K93" i="9"/>
  <c r="K92" i="9"/>
  <c r="K91" i="9"/>
  <c r="K90" i="9"/>
  <c r="K89" i="9"/>
  <c r="K88" i="9"/>
  <c r="K87" i="9"/>
  <c r="K86" i="9"/>
  <c r="K85" i="9"/>
  <c r="K84" i="9"/>
  <c r="K83" i="9"/>
  <c r="K82" i="9"/>
  <c r="K81" i="9"/>
  <c r="K80" i="9"/>
  <c r="K79" i="9"/>
  <c r="K78" i="9"/>
  <c r="K77" i="9"/>
  <c r="K76" i="9"/>
  <c r="K75" i="9"/>
  <c r="K74" i="9"/>
  <c r="K73" i="9"/>
  <c r="K72" i="9"/>
  <c r="K71" i="9"/>
  <c r="K70" i="9"/>
  <c r="K69" i="9"/>
  <c r="K68" i="9"/>
  <c r="K67" i="9"/>
  <c r="K66" i="9"/>
  <c r="K65" i="9"/>
  <c r="K64" i="9"/>
  <c r="K63" i="9"/>
  <c r="K62" i="9"/>
  <c r="K61" i="9"/>
  <c r="K60" i="9"/>
  <c r="K59" i="9"/>
  <c r="K58" i="9"/>
  <c r="K57" i="9"/>
  <c r="K56" i="9"/>
  <c r="K55" i="9"/>
  <c r="M53" i="9"/>
  <c r="K53" i="9"/>
  <c r="M52" i="9"/>
  <c r="K52" i="9"/>
  <c r="M51" i="9"/>
  <c r="K51" i="9"/>
  <c r="M50" i="9"/>
  <c r="K50" i="9"/>
  <c r="M49" i="9"/>
  <c r="K49" i="9"/>
  <c r="M48" i="9"/>
  <c r="K48" i="9"/>
  <c r="M47" i="9"/>
  <c r="K47" i="9"/>
  <c r="M46" i="9"/>
  <c r="K46" i="9"/>
  <c r="M45" i="9"/>
  <c r="K45" i="9"/>
  <c r="M44" i="9"/>
  <c r="K44" i="9"/>
  <c r="M43" i="9"/>
  <c r="K43" i="9"/>
  <c r="M42" i="9"/>
  <c r="K42" i="9"/>
  <c r="M41" i="9"/>
  <c r="K41" i="9"/>
  <c r="M40" i="9"/>
  <c r="K40" i="9"/>
  <c r="M39" i="9"/>
  <c r="K39" i="9"/>
  <c r="M38" i="9"/>
  <c r="K38" i="9"/>
  <c r="M37" i="9"/>
  <c r="K37" i="9"/>
  <c r="M36" i="9"/>
  <c r="K36" i="9"/>
  <c r="M35" i="9"/>
  <c r="K35" i="9"/>
  <c r="M34" i="9"/>
  <c r="K34" i="9"/>
  <c r="M33" i="9"/>
  <c r="K33" i="9"/>
  <c r="M32" i="9"/>
  <c r="K32" i="9"/>
  <c r="M31" i="9"/>
  <c r="K31" i="9"/>
  <c r="M30" i="9"/>
  <c r="K30" i="9"/>
  <c r="M29" i="9"/>
  <c r="K29" i="9"/>
  <c r="M28" i="9"/>
  <c r="K28" i="9"/>
  <c r="M27" i="9"/>
  <c r="K27" i="9"/>
  <c r="M26" i="9"/>
  <c r="K26" i="9"/>
  <c r="M25" i="9"/>
  <c r="K25" i="9"/>
  <c r="M24" i="9"/>
  <c r="K24" i="9"/>
  <c r="M23" i="9"/>
  <c r="K23" i="9"/>
  <c r="M22" i="9"/>
  <c r="K22" i="9"/>
  <c r="M21" i="9"/>
  <c r="K21" i="9"/>
  <c r="M20" i="9"/>
  <c r="K20" i="9"/>
  <c r="M19" i="9"/>
  <c r="K19" i="9"/>
  <c r="M18" i="9"/>
  <c r="K18" i="9"/>
  <c r="M17" i="9"/>
  <c r="K17" i="9"/>
  <c r="M16" i="9"/>
  <c r="K16" i="9"/>
  <c r="M15" i="9"/>
  <c r="K15" i="9"/>
  <c r="M14" i="9"/>
  <c r="K14" i="9"/>
  <c r="M13" i="9"/>
  <c r="K13" i="9"/>
  <c r="M12" i="9"/>
  <c r="K12" i="9"/>
  <c r="M11" i="9"/>
  <c r="K11" i="9"/>
  <c r="M10" i="9"/>
  <c r="K10" i="9"/>
  <c r="M9" i="9"/>
  <c r="K9" i="9"/>
  <c r="M8" i="9"/>
  <c r="K8" i="9"/>
  <c r="M7" i="9"/>
  <c r="K7" i="9"/>
  <c r="M6" i="9"/>
  <c r="K6" i="9"/>
  <c r="J2" i="9" s="1"/>
  <c r="M5" i="9"/>
  <c r="D9" i="8"/>
  <c r="C9" i="8"/>
  <c r="B9" i="8"/>
  <c r="D6" i="8"/>
  <c r="C6" i="8"/>
  <c r="B6" i="8"/>
  <c r="D5" i="8"/>
  <c r="D4" i="8"/>
  <c r="C5" i="8"/>
  <c r="C4" i="8"/>
  <c r="B5" i="8"/>
  <c r="B4" i="8"/>
  <c r="A45" i="4"/>
  <c r="A44" i="4"/>
  <c r="A43" i="4"/>
  <c r="B9" i="9"/>
  <c r="F15" i="7" l="1"/>
  <c r="G11" i="7" s="1"/>
  <c r="G13" i="7" s="1"/>
  <c r="F19" i="6"/>
  <c r="F22" i="5"/>
  <c r="B4" i="9"/>
  <c r="B6" i="9" s="1"/>
  <c r="C73" i="6"/>
  <c r="C118" i="6" s="1"/>
  <c r="C18" i="12" s="1"/>
  <c r="B12" i="9"/>
  <c r="C8" i="8"/>
  <c r="B8" i="8"/>
  <c r="B10" i="8" s="1"/>
  <c r="D8" i="8"/>
  <c r="G14" i="7" l="1"/>
  <c r="G21" i="5" s="1"/>
  <c r="D73" i="6"/>
  <c r="G15" i="7" l="1"/>
  <c r="G19" i="6"/>
  <c r="G22" i="5"/>
  <c r="D118" i="6"/>
  <c r="D18" i="12" s="1"/>
  <c r="B10" i="9"/>
  <c r="D107" i="2"/>
  <c r="C107" i="2"/>
  <c r="D125" i="6"/>
  <c r="C125" i="6"/>
  <c r="D17" i="12"/>
  <c r="C96" i="6"/>
  <c r="B96" i="6"/>
  <c r="D80" i="6"/>
  <c r="C80" i="6"/>
  <c r="B80" i="6"/>
  <c r="A71" i="6"/>
  <c r="D124" i="6"/>
  <c r="C124" i="6"/>
  <c r="C17" i="12" l="1"/>
  <c r="B17" i="12"/>
  <c r="A20" i="4" l="1"/>
  <c r="A13" i="5" s="1"/>
  <c r="A13" i="6" s="1"/>
  <c r="E37" i="6" l="1"/>
  <c r="E55" i="6"/>
  <c r="D45" i="4"/>
  <c r="E45" i="4" s="1"/>
  <c r="F45" i="4" s="1"/>
  <c r="G45" i="4" s="1"/>
  <c r="C45" i="4"/>
  <c r="D43" i="4"/>
  <c r="E43" i="4" s="1"/>
  <c r="C43" i="4"/>
  <c r="B43" i="4"/>
  <c r="D104" i="2"/>
  <c r="E25" i="4" s="1"/>
  <c r="F25" i="4" s="1"/>
  <c r="G25" i="4" s="1"/>
  <c r="C104" i="2"/>
  <c r="F43" i="4" l="1"/>
  <c r="E4" i="8"/>
  <c r="F40" i="6"/>
  <c r="F55" i="6"/>
  <c r="E40" i="6"/>
  <c r="D116" i="2"/>
  <c r="B13" i="9"/>
  <c r="C116" i="2"/>
  <c r="E92" i="6"/>
  <c r="B18" i="4"/>
  <c r="B4" i="5"/>
  <c r="B4" i="6" s="1"/>
  <c r="B34" i="6" s="1"/>
  <c r="B3" i="7"/>
  <c r="C88" i="6"/>
  <c r="C103" i="2"/>
  <c r="C129" i="2" s="1"/>
  <c r="F18" i="2"/>
  <c r="A47" i="2"/>
  <c r="B47" i="2"/>
  <c r="G43" i="4" l="1"/>
  <c r="G4" i="8" s="1"/>
  <c r="F4" i="8"/>
  <c r="E16" i="12"/>
  <c r="E96" i="6"/>
  <c r="B42" i="4"/>
  <c r="G40" i="6"/>
  <c r="G55" i="6"/>
  <c r="B14" i="9"/>
  <c r="B17" i="9" s="1"/>
  <c r="C122" i="2"/>
  <c r="D122" i="2"/>
  <c r="D44" i="4" s="1"/>
  <c r="E44" i="4" s="1"/>
  <c r="F44" i="4" s="1"/>
  <c r="G44" i="4" s="1"/>
  <c r="B45" i="4"/>
  <c r="D103" i="2"/>
  <c r="D129" i="2" s="1"/>
  <c r="B3" i="8"/>
  <c r="C120" i="2"/>
  <c r="B105" i="2"/>
  <c r="B101" i="6"/>
  <c r="B104" i="6" s="1"/>
  <c r="B88" i="6"/>
  <c r="D101" i="6"/>
  <c r="D104" i="6" s="1"/>
  <c r="C89" i="6"/>
  <c r="C101" i="6"/>
  <c r="C104" i="6" s="1"/>
  <c r="C44" i="4"/>
  <c r="C47" i="2"/>
  <c r="B71" i="6"/>
  <c r="B9" i="12"/>
  <c r="D105" i="2"/>
  <c r="C105" i="2"/>
  <c r="G18" i="2"/>
  <c r="J18" i="2" s="1"/>
  <c r="E86" i="6" l="1"/>
  <c r="F86" i="6" s="1"/>
  <c r="G86" i="6" s="1"/>
  <c r="D88" i="6"/>
  <c r="L41" i="1"/>
  <c r="M41" i="1"/>
  <c r="B120" i="2"/>
  <c r="B122" i="2"/>
  <c r="B44" i="4" s="1"/>
  <c r="R9" i="11"/>
  <c r="B16" i="9"/>
  <c r="B20" i="9" s="1"/>
  <c r="D120" i="2"/>
  <c r="F6" i="8"/>
  <c r="D118" i="2"/>
  <c r="D113" i="2"/>
  <c r="C118" i="2"/>
  <c r="C113" i="2"/>
  <c r="C117" i="2"/>
  <c r="D117" i="2"/>
  <c r="B10" i="10"/>
  <c r="D5" i="11"/>
  <c r="B89" i="6"/>
  <c r="D110" i="6"/>
  <c r="B110" i="6"/>
  <c r="C110" i="6"/>
  <c r="B125" i="6"/>
  <c r="D47" i="2"/>
  <c r="F5" i="11"/>
  <c r="H18" i="2"/>
  <c r="K18" i="2" s="1"/>
  <c r="B117" i="2" l="1"/>
  <c r="F37" i="6"/>
  <c r="F92" i="6" s="1"/>
  <c r="R10" i="11"/>
  <c r="R8" i="11"/>
  <c r="B11" i="10"/>
  <c r="G5" i="11"/>
  <c r="B118" i="2"/>
  <c r="B113" i="2"/>
  <c r="G61" i="6"/>
  <c r="C18" i="4"/>
  <c r="C4" i="5"/>
  <c r="C4" i="6" s="1"/>
  <c r="C34" i="6" s="1"/>
  <c r="C3" i="7"/>
  <c r="B105" i="6"/>
  <c r="B107" i="6" s="1"/>
  <c r="B122" i="6"/>
  <c r="D122" i="6"/>
  <c r="D105" i="6"/>
  <c r="D89" i="6"/>
  <c r="C122" i="6"/>
  <c r="C105" i="6"/>
  <c r="C107" i="6" s="1"/>
  <c r="C115" i="6"/>
  <c r="C20" i="6"/>
  <c r="C120" i="6"/>
  <c r="C119" i="6"/>
  <c r="D119" i="6"/>
  <c r="D120" i="6"/>
  <c r="D20" i="6"/>
  <c r="D115" i="6"/>
  <c r="B124" i="6"/>
  <c r="F16" i="12" l="1"/>
  <c r="F96" i="6"/>
  <c r="L5" i="11"/>
  <c r="N5" i="11"/>
  <c r="C42" i="4"/>
  <c r="E6" i="8"/>
  <c r="G6" i="8"/>
  <c r="G45" i="6" s="1"/>
  <c r="C3" i="8"/>
  <c r="D18" i="4"/>
  <c r="C71" i="6"/>
  <c r="C9" i="12"/>
  <c r="C22" i="6"/>
  <c r="C25" i="6" s="1"/>
  <c r="D22" i="6"/>
  <c r="D25" i="6" s="1"/>
  <c r="D107" i="6"/>
  <c r="B115" i="6"/>
  <c r="B120" i="6"/>
  <c r="B119" i="6"/>
  <c r="B20" i="6"/>
  <c r="D3" i="7"/>
  <c r="D4" i="5"/>
  <c r="D4" i="6" s="1"/>
  <c r="D34" i="6" s="1"/>
  <c r="J44" i="1"/>
  <c r="D42" i="4" l="1"/>
  <c r="L9" i="11"/>
  <c r="L10" i="11"/>
  <c r="L8" i="11"/>
  <c r="N9" i="11"/>
  <c r="N8" i="11"/>
  <c r="N10" i="11"/>
  <c r="E20" i="6"/>
  <c r="E45" i="6"/>
  <c r="E83" i="6" s="1"/>
  <c r="F45" i="6"/>
  <c r="F20" i="6"/>
  <c r="F5" i="8"/>
  <c r="E18" i="4"/>
  <c r="E42" i="4" s="1"/>
  <c r="C27" i="6"/>
  <c r="B22" i="6"/>
  <c r="B25" i="6" s="1"/>
  <c r="D27" i="6"/>
  <c r="E4" i="5"/>
  <c r="E4" i="6" s="1"/>
  <c r="E3" i="7"/>
  <c r="D71" i="6"/>
  <c r="D9" i="12"/>
  <c r="D3" i="8"/>
  <c r="G37" i="6" l="1"/>
  <c r="G92" i="6" s="1"/>
  <c r="F83" i="6"/>
  <c r="G83" i="6" s="1"/>
  <c r="F8" i="8"/>
  <c r="F10" i="8" s="1"/>
  <c r="G20" i="6"/>
  <c r="G5" i="8"/>
  <c r="F18" i="4"/>
  <c r="F42" i="4" s="1"/>
  <c r="C116" i="6"/>
  <c r="C128" i="6"/>
  <c r="C127" i="6"/>
  <c r="D128" i="6"/>
  <c r="D127" i="6"/>
  <c r="C129" i="6"/>
  <c r="B27" i="6"/>
  <c r="D129" i="6"/>
  <c r="D116" i="6"/>
  <c r="E71" i="6"/>
  <c r="E34" i="6"/>
  <c r="F4" i="5"/>
  <c r="F4" i="6" s="1"/>
  <c r="F3" i="7"/>
  <c r="E3" i="8"/>
  <c r="E9" i="12"/>
  <c r="F115" i="6"/>
  <c r="D130" i="6" l="1"/>
  <c r="G16" i="12"/>
  <c r="G96" i="6"/>
  <c r="C127" i="2"/>
  <c r="B127" i="2"/>
  <c r="D127" i="2"/>
  <c r="G8" i="8"/>
  <c r="G10" i="8" s="1"/>
  <c r="G60" i="6"/>
  <c r="C114" i="2"/>
  <c r="B114" i="2"/>
  <c r="D114" i="2"/>
  <c r="G18" i="4"/>
  <c r="G42" i="4" s="1"/>
  <c r="B128" i="6"/>
  <c r="C130" i="6" s="1"/>
  <c r="B127" i="6"/>
  <c r="B129" i="6"/>
  <c r="B116" i="6"/>
  <c r="F71" i="6"/>
  <c r="F34" i="6"/>
  <c r="F3" i="8"/>
  <c r="F9" i="12"/>
  <c r="G4" i="5"/>
  <c r="G4" i="6" s="1"/>
  <c r="G3" i="7"/>
  <c r="P8" i="11" l="1"/>
  <c r="P10" i="11"/>
  <c r="P9" i="11"/>
  <c r="E32" i="10" s="1"/>
  <c r="D128" i="2"/>
  <c r="D126" i="2"/>
  <c r="D130" i="2"/>
  <c r="D27" i="4" s="1"/>
  <c r="E27" i="4" s="1"/>
  <c r="F27" i="4" s="1"/>
  <c r="G27" i="4" s="1"/>
  <c r="B126" i="2"/>
  <c r="B130" i="2"/>
  <c r="B27" i="4" s="1"/>
  <c r="B128" i="2"/>
  <c r="C130" i="2"/>
  <c r="C27" i="4" s="1"/>
  <c r="C126" i="2"/>
  <c r="C128" i="2"/>
  <c r="G71" i="6"/>
  <c r="G34" i="6"/>
  <c r="G9" i="12"/>
  <c r="G3" i="8"/>
  <c r="G115" i="6"/>
  <c r="G44" i="6" l="1"/>
  <c r="E54" i="6" l="1"/>
  <c r="E76" i="6" s="1"/>
  <c r="F54" i="6" l="1"/>
  <c r="F76" i="6" s="1"/>
  <c r="E80" i="6"/>
  <c r="B101" i="2"/>
  <c r="D101" i="2"/>
  <c r="C101" i="2"/>
  <c r="T10" i="11" l="1"/>
  <c r="T9" i="11"/>
  <c r="T8" i="11"/>
  <c r="F80" i="6"/>
  <c r="E61" i="6" l="1"/>
  <c r="E100" i="6" s="1"/>
  <c r="E123" i="6" s="1"/>
  <c r="F61" i="6"/>
  <c r="F100" i="6" l="1"/>
  <c r="E5" i="8"/>
  <c r="G100" i="6" l="1"/>
  <c r="G123" i="6" s="1"/>
  <c r="F123" i="6"/>
  <c r="E8" i="8"/>
  <c r="E10" i="8" s="1"/>
  <c r="E60" i="6"/>
  <c r="E99" i="6" s="1"/>
  <c r="F60" i="6"/>
  <c r="E34" i="7" l="1"/>
  <c r="F99" i="6"/>
  <c r="E115" i="6"/>
  <c r="E125" i="6"/>
  <c r="F29" i="7" l="1"/>
  <c r="F32" i="7" s="1"/>
  <c r="E37" i="7"/>
  <c r="E39" i="7" s="1"/>
  <c r="G99" i="6"/>
  <c r="E44" i="6"/>
  <c r="F44" i="6"/>
  <c r="E124" i="6"/>
  <c r="F125" i="6"/>
  <c r="E21" i="6" l="1"/>
  <c r="G31" i="7"/>
  <c r="G54" i="6" s="1"/>
  <c r="G76" i="6" s="1"/>
  <c r="G80" i="6" s="1"/>
  <c r="F34" i="7"/>
  <c r="E82" i="6"/>
  <c r="G125" i="6"/>
  <c r="F124" i="6"/>
  <c r="G29" i="7" l="1"/>
  <c r="G32" i="7" s="1"/>
  <c r="G34" i="7" s="1"/>
  <c r="G37" i="7" s="1"/>
  <c r="G39" i="7" s="1"/>
  <c r="F37" i="7"/>
  <c r="F82" i="6"/>
  <c r="E88" i="6"/>
  <c r="G124" i="6"/>
  <c r="E109" i="6"/>
  <c r="F39" i="7" l="1"/>
  <c r="F21" i="6" s="1"/>
  <c r="G21" i="6"/>
  <c r="G22" i="6" s="1"/>
  <c r="G25" i="6" s="1"/>
  <c r="G82" i="6"/>
  <c r="G88" i="6" s="1"/>
  <c r="F88" i="6"/>
  <c r="E17" i="12"/>
  <c r="F109" i="6"/>
  <c r="G120" i="6" l="1"/>
  <c r="G26" i="6"/>
  <c r="G27" i="6" s="1"/>
  <c r="F17" i="12"/>
  <c r="G109" i="6"/>
  <c r="G28" i="6" l="1"/>
  <c r="G128" i="6"/>
  <c r="G116" i="6"/>
  <c r="G17" i="12"/>
  <c r="G29" i="6" l="1"/>
  <c r="G14" i="12"/>
  <c r="G36" i="6"/>
  <c r="G50" i="6" s="1"/>
  <c r="E120" i="6"/>
  <c r="E22" i="6"/>
  <c r="F22" i="6"/>
  <c r="F25" i="6" s="1"/>
  <c r="F26" i="6" s="1"/>
  <c r="F120" i="6"/>
  <c r="G15" i="12" l="1"/>
  <c r="G53" i="6"/>
  <c r="G65" i="6" s="1"/>
  <c r="G66" i="6" s="1"/>
  <c r="G129" i="6"/>
  <c r="E25" i="6"/>
  <c r="E26" i="6" s="1"/>
  <c r="F27" i="6"/>
  <c r="F28" i="6" s="1"/>
  <c r="F29" i="6" l="1"/>
  <c r="F15" i="12" s="1"/>
  <c r="F14" i="12"/>
  <c r="E27" i="6"/>
  <c r="E28" i="6" s="1"/>
  <c r="F128" i="6"/>
  <c r="F116" i="6"/>
  <c r="G130" i="6" l="1"/>
  <c r="E29" i="6"/>
  <c r="E15" i="12" s="1"/>
  <c r="E14" i="12"/>
  <c r="B34" i="10"/>
  <c r="B35" i="10" s="1"/>
  <c r="B36" i="10" s="1"/>
  <c r="B37" i="10" s="1"/>
  <c r="B39" i="10" s="1"/>
  <c r="B70" i="10" s="1"/>
  <c r="D70" i="10" s="1"/>
  <c r="F70" i="10" s="1"/>
  <c r="G70" i="10" s="1"/>
  <c r="B39" i="12" s="1"/>
  <c r="E128" i="6"/>
  <c r="E116" i="6"/>
  <c r="F36" i="6"/>
  <c r="F50" i="6" s="1"/>
  <c r="F53" i="6"/>
  <c r="F65" i="6" s="1"/>
  <c r="E130" i="6" l="1"/>
  <c r="E33" i="10" s="1"/>
  <c r="E34" i="10" s="1"/>
  <c r="F130" i="6"/>
  <c r="E36" i="6"/>
  <c r="F66" i="6"/>
  <c r="F129" i="6"/>
  <c r="E50" i="6" l="1"/>
  <c r="E53" i="6"/>
  <c r="E65" i="6" s="1"/>
  <c r="E129" i="6"/>
  <c r="E66" i="6" l="1"/>
  <c r="E101" i="6" s="1"/>
  <c r="E73" i="6"/>
  <c r="B56" i="10" s="1"/>
  <c r="B57" i="10" s="1"/>
  <c r="B58" i="10" s="1"/>
  <c r="B60" i="10" s="1"/>
  <c r="B72" i="10" s="1"/>
  <c r="D72" i="10" s="1"/>
  <c r="F72" i="10" s="1"/>
  <c r="G72" i="10" s="1"/>
  <c r="B41" i="12" s="1"/>
  <c r="F101" i="6" l="1"/>
  <c r="F110" i="6" s="1"/>
  <c r="F119" i="6" s="1"/>
  <c r="E104" i="6"/>
  <c r="E110" i="6"/>
  <c r="E119" i="6" s="1"/>
  <c r="F73" i="6"/>
  <c r="E89" i="6"/>
  <c r="E118" i="6"/>
  <c r="E18" i="12" s="1"/>
  <c r="E127" i="6"/>
  <c r="F73" i="10"/>
  <c r="B19" i="12" s="1"/>
  <c r="G73" i="10"/>
  <c r="B20" i="12" s="1"/>
  <c r="G101" i="6" l="1"/>
  <c r="F104" i="6"/>
  <c r="E122" i="6"/>
  <c r="E105" i="6"/>
  <c r="E107" i="6" s="1"/>
  <c r="G73" i="6"/>
  <c r="F118" i="6"/>
  <c r="F18" i="12" s="1"/>
  <c r="F89" i="6"/>
  <c r="F127" i="6"/>
  <c r="B27" i="12"/>
  <c r="E27" i="12"/>
  <c r="F122" i="6" l="1"/>
  <c r="F105" i="6"/>
  <c r="F107" i="6" s="1"/>
  <c r="G104" i="6"/>
  <c r="G110" i="6"/>
  <c r="G119" i="6" s="1"/>
  <c r="G89" i="6"/>
  <c r="G118" i="6"/>
  <c r="G18" i="12" s="1"/>
  <c r="G127" i="6"/>
  <c r="H27" i="12"/>
  <c r="G122" i="6" l="1"/>
  <c r="G105" i="6"/>
  <c r="G107"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0D6579-3163-423A-8E2E-C0400255102F}"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152177C-D4EA-4B62-8B7B-D1E4ECE2E2B4}" name="WorksheetConnection_Maruti Suzuki.xlsx!Table1" type="102" refreshedVersion="6" minRefreshableVersion="5">
    <extLst>
      <ext xmlns:x15="http://schemas.microsoft.com/office/spreadsheetml/2010/11/main" uri="{DE250136-89BD-433C-8126-D09CA5730AF9}">
        <x15:connection id="Table1" autoDelete="1">
          <x15:rangePr sourceName="_xlcn.WorksheetConnection_MarutiSuzuki.xlsxTable11"/>
        </x15:connection>
      </ext>
    </extLst>
  </connection>
</connections>
</file>

<file path=xl/sharedStrings.xml><?xml version="1.0" encoding="utf-8"?>
<sst xmlns="http://schemas.openxmlformats.org/spreadsheetml/2006/main" count="496" uniqueCount="334">
  <si>
    <t>Total</t>
  </si>
  <si>
    <t>Income Statement</t>
  </si>
  <si>
    <t>Revenue from Operations</t>
  </si>
  <si>
    <t>Other Income</t>
  </si>
  <si>
    <t>Total Income</t>
  </si>
  <si>
    <t>Expenses</t>
  </si>
  <si>
    <t>Total Expenses</t>
  </si>
  <si>
    <t>EBITDA</t>
  </si>
  <si>
    <t>Depreciation &amp; Amortization</t>
  </si>
  <si>
    <t>Finance Expenses</t>
  </si>
  <si>
    <t>PBT</t>
  </si>
  <si>
    <t>EBIT</t>
  </si>
  <si>
    <t>Add: Share of Profits of JVs</t>
  </si>
  <si>
    <t>Tax</t>
  </si>
  <si>
    <t>PAT</t>
  </si>
  <si>
    <t>Particulars</t>
  </si>
  <si>
    <t>Common Size</t>
  </si>
  <si>
    <t>Balance Sheet</t>
  </si>
  <si>
    <t>Equity &amp; Liabilities</t>
  </si>
  <si>
    <t>Equity</t>
  </si>
  <si>
    <t>Total Equity</t>
  </si>
  <si>
    <t>Non-Current Liabilities</t>
  </si>
  <si>
    <t>Borrowings</t>
  </si>
  <si>
    <t>Trade Payable</t>
  </si>
  <si>
    <t>Trade Payables</t>
  </si>
  <si>
    <t>Other Financial Liabilities</t>
  </si>
  <si>
    <t>Total Non-Current Liabilities</t>
  </si>
  <si>
    <t>Current Liabilities</t>
  </si>
  <si>
    <t>Total Current Liabilities</t>
  </si>
  <si>
    <t>TOTAL EQUITIES &amp; LIABILITIES</t>
  </si>
  <si>
    <t>Assets</t>
  </si>
  <si>
    <t>Non-Current Assets</t>
  </si>
  <si>
    <t>Property, Plant &amp; Equipment</t>
  </si>
  <si>
    <t>Intangible Assets</t>
  </si>
  <si>
    <t>Capital-Work in Progress</t>
  </si>
  <si>
    <t>Trade Receivables</t>
  </si>
  <si>
    <t>Other Non-Current Assets</t>
  </si>
  <si>
    <t>Total Non-Current Assets</t>
  </si>
  <si>
    <t>Current Assets</t>
  </si>
  <si>
    <t>Inventories</t>
  </si>
  <si>
    <t>Other Current Assets</t>
  </si>
  <si>
    <t>Total Current Assets</t>
  </si>
  <si>
    <t>TOTAL ASSETS</t>
  </si>
  <si>
    <t>Check</t>
  </si>
  <si>
    <t>Other Current Liabilities</t>
  </si>
  <si>
    <t>Other Non-Current Liabilities</t>
  </si>
  <si>
    <t>Ratios</t>
  </si>
  <si>
    <t>EBITDA Margin</t>
  </si>
  <si>
    <t>PAT Margin</t>
  </si>
  <si>
    <t>Profitability Ratios</t>
  </si>
  <si>
    <t>Net Debt / EBITDA</t>
  </si>
  <si>
    <t>Interest Service Coverage Ratio</t>
  </si>
  <si>
    <t>Current Ratio</t>
  </si>
  <si>
    <t>Liquidity &amp; Turnover Ratio</t>
  </si>
  <si>
    <t>Trade Receivable Days</t>
  </si>
  <si>
    <t>Inventory Days</t>
  </si>
  <si>
    <t>Trade Payable Days</t>
  </si>
  <si>
    <t>ROE</t>
  </si>
  <si>
    <t>EPS</t>
  </si>
  <si>
    <t>Dividend Payout Ratio</t>
  </si>
  <si>
    <t>Dividend</t>
  </si>
  <si>
    <t>Total Debt</t>
  </si>
  <si>
    <t>Net Debt</t>
  </si>
  <si>
    <t>Debt / Equity</t>
  </si>
  <si>
    <t>MW</t>
  </si>
  <si>
    <t>Revenue Model</t>
  </si>
  <si>
    <t>Growth</t>
  </si>
  <si>
    <t>Sales Turnover</t>
  </si>
  <si>
    <t>Cash Flow Statement</t>
  </si>
  <si>
    <t>Depreciation</t>
  </si>
  <si>
    <t>Trade Receivable</t>
  </si>
  <si>
    <t>Inventory</t>
  </si>
  <si>
    <t>Fixed Asset Turnover Ratio</t>
  </si>
  <si>
    <t>Net Fixed Assets (incl CWIP)</t>
  </si>
  <si>
    <t>Depreciation Schedule</t>
  </si>
  <si>
    <t>Opening FA</t>
  </si>
  <si>
    <t>Closing FA</t>
  </si>
  <si>
    <t>Loan Schedule</t>
  </si>
  <si>
    <t>Funding</t>
  </si>
  <si>
    <t xml:space="preserve"> - Debt</t>
  </si>
  <si>
    <t xml:space="preserve"> - Equity</t>
  </si>
  <si>
    <t>Capex Funding @ D/E</t>
  </si>
  <si>
    <t>Finance Cost</t>
  </si>
  <si>
    <t>Effective Corporate Tax Rate</t>
  </si>
  <si>
    <t>Opening Balance</t>
  </si>
  <si>
    <t>New Loan</t>
  </si>
  <si>
    <t>Repayment</t>
  </si>
  <si>
    <t>Closing Balance - LTB</t>
  </si>
  <si>
    <t>STB</t>
  </si>
  <si>
    <t>Working Capital Schedule</t>
  </si>
  <si>
    <t>Net Working Capital</t>
  </si>
  <si>
    <t>Short Term Borrowings</t>
  </si>
  <si>
    <t>STB / NWC</t>
  </si>
  <si>
    <t>Weighted Average Cost of Capital</t>
  </si>
  <si>
    <t>Risk Free Rate (Rf)</t>
  </si>
  <si>
    <t>10-year Govt. Bond Yield, RBI</t>
  </si>
  <si>
    <t>BSE Sensex</t>
  </si>
  <si>
    <t>BETA</t>
  </si>
  <si>
    <t>Beta</t>
  </si>
  <si>
    <t>Date</t>
  </si>
  <si>
    <t>% Change</t>
  </si>
  <si>
    <t>Expected Market Return (Rm)</t>
  </si>
  <si>
    <t>Cost of Equity (Rf+Beta*(Rm-Rf))</t>
  </si>
  <si>
    <t>Tax Rate</t>
  </si>
  <si>
    <t>1 yr Market Return</t>
  </si>
  <si>
    <t>Post-Tax Cost of Debt</t>
  </si>
  <si>
    <t>Debt</t>
  </si>
  <si>
    <t>Total Capital</t>
  </si>
  <si>
    <t>Weight of Debt</t>
  </si>
  <si>
    <t>Weight of Equity</t>
  </si>
  <si>
    <t>Amount</t>
  </si>
  <si>
    <t>Common Equity</t>
  </si>
  <si>
    <t>Preference Shares</t>
  </si>
  <si>
    <t>EV</t>
  </si>
  <si>
    <t>EV/EBITDA Multiple</t>
  </si>
  <si>
    <t>Enterprise Value</t>
  </si>
  <si>
    <t>P/E Multiple</t>
  </si>
  <si>
    <t>Price per share</t>
  </si>
  <si>
    <t>Equity Value</t>
  </si>
  <si>
    <t>Add: Net Debt</t>
  </si>
  <si>
    <t>Valuation - Summary</t>
  </si>
  <si>
    <t>Valuation Methods</t>
  </si>
  <si>
    <t>Weight</t>
  </si>
  <si>
    <t>A</t>
  </si>
  <si>
    <t>B</t>
  </si>
  <si>
    <t>W.Avg</t>
  </si>
  <si>
    <t>EV/EBITDA</t>
  </si>
  <si>
    <t>EV/Sales</t>
  </si>
  <si>
    <t>P/E</t>
  </si>
  <si>
    <t>Consolidated Financials</t>
  </si>
  <si>
    <t>Price</t>
  </si>
  <si>
    <t>Mean</t>
  </si>
  <si>
    <t>Median</t>
  </si>
  <si>
    <t>Dividend (Payout Ratio)</t>
  </si>
  <si>
    <t>Equity Share Capital</t>
  </si>
  <si>
    <t>Other Equity</t>
  </si>
  <si>
    <t>Non-Controlling Interest</t>
  </si>
  <si>
    <t>Market Return</t>
  </si>
  <si>
    <t>Business Scenario</t>
  </si>
  <si>
    <t>Gravity Analysis</t>
  </si>
  <si>
    <t>D/E</t>
  </si>
  <si>
    <t>Share Price</t>
  </si>
  <si>
    <t>Valuation Method</t>
  </si>
  <si>
    <t>Max</t>
  </si>
  <si>
    <t>Min</t>
  </si>
  <si>
    <t xml:space="preserve">Football Field Analysis </t>
  </si>
  <si>
    <t>Base</t>
  </si>
  <si>
    <t>P/B Multiple</t>
  </si>
  <si>
    <t>Book Value</t>
  </si>
  <si>
    <t>P/S</t>
  </si>
  <si>
    <t>Net Worth</t>
  </si>
  <si>
    <t>Share of Installed Capacity</t>
  </si>
  <si>
    <t>NTPC 50498 MW</t>
  </si>
  <si>
    <t>Rest of India 273650 MW</t>
  </si>
  <si>
    <t>ND / EBITDA</t>
  </si>
  <si>
    <t>Competitor Analysis</t>
  </si>
  <si>
    <t>Industry Average (Simple)</t>
  </si>
  <si>
    <t>Industry Average (Weighted)</t>
  </si>
  <si>
    <t>Commercial</t>
  </si>
  <si>
    <t>Capex Plans - Yearly</t>
  </si>
  <si>
    <t>CWIP Moving to FA</t>
  </si>
  <si>
    <t>Total FA</t>
  </si>
  <si>
    <t>Opening CWIP</t>
  </si>
  <si>
    <t>Additions to CWIP</t>
  </si>
  <si>
    <t>Closing CWIP</t>
  </si>
  <si>
    <t>Net Fixed Assets</t>
  </si>
  <si>
    <t xml:space="preserve">Deferred Tax Liabilities </t>
  </si>
  <si>
    <t xml:space="preserve"> - Current Maturities' of LTB</t>
  </si>
  <si>
    <t>Investment in Joint Ventures</t>
  </si>
  <si>
    <t>Inflow</t>
  </si>
  <si>
    <t>Outflow</t>
  </si>
  <si>
    <t>Capex (Inc in CWIP)</t>
  </si>
  <si>
    <t>ASSETS</t>
  </si>
  <si>
    <t>EQUITY &amp; LIABILITIES</t>
  </si>
  <si>
    <t>Inc in Short Term Borrowings</t>
  </si>
  <si>
    <t>New Long Term Borrowings</t>
  </si>
  <si>
    <t>Equity Infusion</t>
  </si>
  <si>
    <t>Inc in Non-Controlling Interest</t>
  </si>
  <si>
    <t>TOTAL OUTFLOW</t>
  </si>
  <si>
    <t>NET CASH MOVEMENT</t>
  </si>
  <si>
    <t>TOTAL INFLOW</t>
  </si>
  <si>
    <t>PBT before profits of JVs</t>
  </si>
  <si>
    <t>Financial Assets</t>
  </si>
  <si>
    <t>FY17</t>
  </si>
  <si>
    <t>China</t>
  </si>
  <si>
    <t>US</t>
  </si>
  <si>
    <t>India</t>
  </si>
  <si>
    <t>Russia</t>
  </si>
  <si>
    <t>Japan</t>
  </si>
  <si>
    <t>Germany</t>
  </si>
  <si>
    <t>Non Controlling Interest</t>
  </si>
  <si>
    <t>C = A - B</t>
  </si>
  <si>
    <t>Minority Interest</t>
  </si>
  <si>
    <t>Adj. Equity Value</t>
  </si>
  <si>
    <t>D</t>
  </si>
  <si>
    <t>E = C - D</t>
  </si>
  <si>
    <t>Equity Valuation</t>
  </si>
  <si>
    <t>ND /
Equity</t>
  </si>
  <si>
    <t>Interest Cost</t>
  </si>
  <si>
    <t>LT Debt for CWIP</t>
  </si>
  <si>
    <t>Debt for Int Calc (LTB + STB)</t>
  </si>
  <si>
    <t>PAT for Equity Shareholders</t>
  </si>
  <si>
    <t>Trend</t>
  </si>
  <si>
    <t>Share Value</t>
  </si>
  <si>
    <t>F = E/No. of shares</t>
  </si>
  <si>
    <t>Fixed Asset (incl CWIP)</t>
  </si>
  <si>
    <t>Cash, Bank &amp; Cash Equivalents</t>
  </si>
  <si>
    <t>DPS</t>
  </si>
  <si>
    <t>Trading Comparables</t>
  </si>
  <si>
    <t>Working Capital</t>
  </si>
  <si>
    <t>Repayment Schedule</t>
  </si>
  <si>
    <t xml:space="preserve">Capex </t>
  </si>
  <si>
    <t>STB as % of NWC</t>
  </si>
  <si>
    <t>52W High-Low</t>
  </si>
  <si>
    <t xml:space="preserve">Min </t>
  </si>
  <si>
    <t>TTM</t>
  </si>
  <si>
    <t>12m 
Fwd</t>
  </si>
  <si>
    <t>Revenue Assumptions</t>
  </si>
  <si>
    <t>Expense Assumptions</t>
  </si>
  <si>
    <t xml:space="preserve">Current Market Price per share </t>
  </si>
  <si>
    <t xml:space="preserve">Enterprise Value - Current </t>
  </si>
  <si>
    <t xml:space="preserve">Multiples / Comparables </t>
  </si>
  <si>
    <t>Sensex</t>
  </si>
  <si>
    <t>Leverage &amp; Coverage Ratios</t>
  </si>
  <si>
    <t>Return &amp; Shareholders Ratios</t>
  </si>
  <si>
    <t>EPS Growth Rate</t>
  </si>
  <si>
    <t>EV/Sales Multiple</t>
  </si>
  <si>
    <t>No of Shares</t>
  </si>
  <si>
    <t>FY 1 to FY 3</t>
  </si>
  <si>
    <t>Unit Analysis</t>
  </si>
  <si>
    <t>Avg Selling Price / Unit</t>
  </si>
  <si>
    <t>Raw Material</t>
  </si>
  <si>
    <t>Avg RM Cost / Unit</t>
  </si>
  <si>
    <t>EBITDA / Unit</t>
  </si>
  <si>
    <t>Production Performance</t>
  </si>
  <si>
    <t>Repayments of Long Term Borrowings</t>
  </si>
  <si>
    <t>Football Field Chart</t>
  </si>
  <si>
    <t>Difference</t>
  </si>
  <si>
    <t>Year</t>
  </si>
  <si>
    <t>Pre-Tax Cost of Debt</t>
  </si>
  <si>
    <t>ROA</t>
  </si>
  <si>
    <t>P/B</t>
  </si>
  <si>
    <t>* TTM - Trailing Twelve Months</t>
  </si>
  <si>
    <t>P/S Multiple</t>
  </si>
  <si>
    <t>Sales (1yr Fwd)</t>
  </si>
  <si>
    <t>EBITDA (1yr Fwd)</t>
  </si>
  <si>
    <t>PAT (1yr Fwd)</t>
  </si>
  <si>
    <t>EPS (1yr Fwd)</t>
  </si>
  <si>
    <t>Sales per share</t>
  </si>
  <si>
    <t>CAGR</t>
  </si>
  <si>
    <t>Fixed Assets &amp; Intangibles (incl CWIP)</t>
  </si>
  <si>
    <t>Selling Price</t>
  </si>
  <si>
    <t>Best</t>
  </si>
  <si>
    <t>Worst</t>
  </si>
  <si>
    <t>CU</t>
  </si>
  <si>
    <t>RM</t>
  </si>
  <si>
    <t>PEG</t>
  </si>
  <si>
    <t>Maruti Suzuki</t>
  </si>
  <si>
    <t xml:space="preserve">Maruti Suzuki was established in 1981. A joint venture agreement was signed between the Government of India
and Suzuki Motor Corporation (SMC), Japan in 1982. The Company became a subsidiary of SMC in 2002. It is a public limited company and its shares are traded at the National Stock Exchange (NSE) and the Bombay Stock Exchange (BSE).
Maruti is market leader in Passenger Vehicle segment in India. Company was awarded as Best Company of the Year in 2018 by Business Standard. </t>
  </si>
  <si>
    <t>Manufacturing Plant</t>
  </si>
  <si>
    <t>Gurugram and Manesar</t>
  </si>
  <si>
    <t>Gujarat</t>
  </si>
  <si>
    <t>Current Prodcution Capacity</t>
  </si>
  <si>
    <t>Total in India</t>
  </si>
  <si>
    <t>Maruti</t>
  </si>
  <si>
    <t>Rest of India</t>
  </si>
  <si>
    <t>TATA Motors</t>
  </si>
  <si>
    <t>Mahindra</t>
  </si>
  <si>
    <t>Number of Plants</t>
  </si>
  <si>
    <t>FY18</t>
  </si>
  <si>
    <t>FY19</t>
  </si>
  <si>
    <t>FY 21</t>
  </si>
  <si>
    <t>FY20</t>
  </si>
  <si>
    <t>Passenger</t>
  </si>
  <si>
    <t>Three Wheelers</t>
  </si>
  <si>
    <t>Two Wheelers</t>
  </si>
  <si>
    <t>South Korea</t>
  </si>
  <si>
    <t>Spain</t>
  </si>
  <si>
    <t>Brazil</t>
  </si>
  <si>
    <t>France</t>
  </si>
  <si>
    <t>Total Units Sold</t>
  </si>
  <si>
    <t>Exported Units</t>
  </si>
  <si>
    <t>Domestic Sold Units</t>
  </si>
  <si>
    <t>Production Capacity (Lakhs Units)</t>
  </si>
  <si>
    <t>Production Capacity       (Lakhs units)</t>
  </si>
  <si>
    <t>Excise duty</t>
  </si>
  <si>
    <t>Employee benefits expense</t>
  </si>
  <si>
    <t>Other expenses</t>
  </si>
  <si>
    <t>Add: Share of Profits of Associates</t>
  </si>
  <si>
    <t>Provisions</t>
  </si>
  <si>
    <t>Short Term Provisions</t>
  </si>
  <si>
    <t>Current Tax Liabilities</t>
  </si>
  <si>
    <t xml:space="preserve"> - Investments</t>
  </si>
  <si>
    <t xml:space="preserve"> - Loans</t>
  </si>
  <si>
    <t xml:space="preserve"> - Other Financial Assets</t>
  </si>
  <si>
    <t>Current Tax Assets</t>
  </si>
  <si>
    <t>No of Shares (in millions)</t>
  </si>
  <si>
    <t>Total Units Sold(in millions)</t>
  </si>
  <si>
    <t>Income Statement ( in Rs million)</t>
  </si>
  <si>
    <t>Right-of-Use Assets</t>
  </si>
  <si>
    <t>-</t>
  </si>
  <si>
    <t>FY21</t>
  </si>
  <si>
    <t>FY22</t>
  </si>
  <si>
    <t>FY23</t>
  </si>
  <si>
    <t>Average Selling Price</t>
  </si>
  <si>
    <t>Exported Sales</t>
  </si>
  <si>
    <t>FY16</t>
  </si>
  <si>
    <t>Units Sold</t>
  </si>
  <si>
    <t>Units Sold (millions)</t>
  </si>
  <si>
    <t>Capex (in Rs millions)</t>
  </si>
  <si>
    <t>Capex (% of sales)</t>
  </si>
  <si>
    <t>Current maturities of Long-Term Debt</t>
  </si>
  <si>
    <t>Total LTB</t>
  </si>
  <si>
    <t>current maturities in terms of % of LTB</t>
  </si>
  <si>
    <t>Average Units Sold</t>
  </si>
  <si>
    <t>Current Financial Assets</t>
  </si>
  <si>
    <t>Long Term Provisions</t>
  </si>
  <si>
    <t>Short Term Provisons</t>
  </si>
  <si>
    <t>Rights-of-Use Assets</t>
  </si>
  <si>
    <t>Amount (Rs million)</t>
  </si>
  <si>
    <t>Sales
(Rs million)</t>
  </si>
  <si>
    <t>EV
(Rs million)</t>
  </si>
  <si>
    <t>EBITDA
(Rs million)</t>
  </si>
  <si>
    <t>PAT
(Rs million)</t>
  </si>
  <si>
    <t>MarketCap
(Rs million)</t>
  </si>
  <si>
    <t>No of Shares 
(million)</t>
  </si>
  <si>
    <t>Net Debt     (Rs Million)</t>
  </si>
  <si>
    <t>Pref Shares + Minority Interest     (Rs Million)</t>
  </si>
  <si>
    <t>Sales Growth Rate</t>
  </si>
  <si>
    <t>Raw Material Cost</t>
  </si>
  <si>
    <t>Raw Materials Cost</t>
  </si>
  <si>
    <t>CAGR-1</t>
  </si>
  <si>
    <t>CAGR-2</t>
  </si>
  <si>
    <t>Net Debt          (Rs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</si>
</sst>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 #,##0.00_ ;_ * \-#,##0.00_ ;_ * &quot;-&quot;??_ ;_ @_ "/>
    <numFmt numFmtId="164" formatCode="_(* #,##0.00_);_(* \(#,##0.00\);_(* &quot;-&quot;??_);_(@_)"/>
    <numFmt numFmtId="165" formatCode="_(* #,##0.0_);_(* \(#,##0.0\);_(* &quot;-&quot;??_);_(@_)"/>
    <numFmt numFmtId="166" formatCode="_(* #,##0_);_(* \(#,##0\);_(* &quot;-&quot;??_);_(@_)"/>
    <numFmt numFmtId="167" formatCode="0.0%"/>
    <numFmt numFmtId="168" formatCode="[$-409]mmm\-yy;@"/>
    <numFmt numFmtId="169" formatCode="_ * #,##0_ ;_ * \-#,##0_ ;_ * &quot;-&quot;??_ ;_ @_ "/>
    <numFmt numFmtId="170" formatCode="0.0\x"/>
    <numFmt numFmtId="171" formatCode="_(* #,##0.0_);_(* \(#,##0.0\);_(* &quot;-&quot;?_);_(@_)"/>
    <numFmt numFmtId="172" formatCode="[$-409]d\-mmm;@"/>
    <numFmt numFmtId="173" formatCode="0.0000%"/>
    <numFmt numFmtId="174" formatCode="0.000%"/>
    <numFmt numFmtId="175" formatCode="#,##0.0"/>
    <numFmt numFmtId="176" formatCode="_(* #,##0.000_);_(* \(#,##0.000\);_(* &quot;-&quot;??_);_(@_)"/>
    <numFmt numFmtId="177" formatCode="_(* #,##0.0000_);_(* \(#,##0.0000\);_(* &quot;-&quot;??_);_(@_)"/>
    <numFmt numFmtId="178" formatCode="_(* #,##0.00_);_(* \(#,##0.00\);_(* &quot;-&quot;?_);_(@_)"/>
    <numFmt numFmtId="179" formatCode="_(* #,##0.000_);_(* \(#,##0.000\);_(* &quot;-&quot;?_);_(@_)"/>
    <numFmt numFmtId="180" formatCode="_(* #,##0_);_(* \(#,##0\);_(* &quot;-&quot;?_);_(@_)"/>
  </numFmts>
  <fonts count="19" x14ac:knownFonts="1">
    <font>
      <sz val="11"/>
      <color theme="1"/>
      <name val="Calibri"/>
      <family val="2"/>
      <scheme val="minor"/>
    </font>
    <font>
      <sz val="11"/>
      <color theme="1"/>
      <name val="Calibri"/>
      <family val="2"/>
      <scheme val="minor"/>
    </font>
    <font>
      <b/>
      <sz val="10"/>
      <name val="Book Antiqua"/>
      <family val="1"/>
    </font>
    <font>
      <sz val="10"/>
      <name val="Book Antiqua"/>
      <family val="1"/>
    </font>
    <font>
      <sz val="10"/>
      <color theme="1"/>
      <name val="Book Antiqua"/>
      <family val="1"/>
    </font>
    <font>
      <b/>
      <sz val="10"/>
      <color theme="0"/>
      <name val="Book Antiqua"/>
      <family val="1"/>
    </font>
    <font>
      <b/>
      <sz val="11"/>
      <color theme="0"/>
      <name val="Book Antiqua"/>
      <family val="1"/>
    </font>
    <font>
      <b/>
      <sz val="10"/>
      <color theme="1"/>
      <name val="Book Antiqua"/>
      <family val="1"/>
    </font>
    <font>
      <b/>
      <u/>
      <sz val="10"/>
      <color theme="1"/>
      <name val="Book Antiqua"/>
      <family val="1"/>
    </font>
    <font>
      <sz val="10"/>
      <color rgb="FF0000FF"/>
      <name val="Book Antiqua"/>
      <family val="1"/>
    </font>
    <font>
      <i/>
      <sz val="10"/>
      <color theme="1"/>
      <name val="Book Antiqua"/>
      <family val="1"/>
    </font>
    <font>
      <b/>
      <i/>
      <sz val="10"/>
      <color theme="1"/>
      <name val="Book Antiqua"/>
      <family val="1"/>
    </font>
    <font>
      <b/>
      <sz val="12"/>
      <color theme="1"/>
      <name val="Book Antiqua"/>
      <family val="1"/>
    </font>
    <font>
      <sz val="10"/>
      <color rgb="FFFF0000"/>
      <name val="Book Antiqua"/>
      <family val="1"/>
    </font>
    <font>
      <b/>
      <u/>
      <sz val="10"/>
      <name val="Book Antiqua"/>
      <family val="1"/>
    </font>
    <font>
      <u/>
      <sz val="11"/>
      <color theme="10"/>
      <name val="Calibri"/>
      <family val="2"/>
    </font>
    <font>
      <sz val="10"/>
      <color theme="8"/>
      <name val="Book Antiqua"/>
      <family val="1"/>
    </font>
    <font>
      <sz val="8"/>
      <name val="Calibri"/>
      <family val="2"/>
      <scheme val="minor"/>
    </font>
    <font>
      <b/>
      <sz val="22"/>
      <color rgb="FF000000"/>
      <name val="Arial"/>
      <family val="2"/>
    </font>
  </fonts>
  <fills count="14">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
      <patternFill patternType="solid">
        <fgColor theme="3" tint="0.79998168889431442"/>
        <bgColor indexed="64"/>
      </patternFill>
    </fill>
    <fill>
      <patternFill patternType="solid">
        <fgColor theme="0"/>
        <bgColor indexed="64"/>
      </patternFill>
    </fill>
    <fill>
      <patternFill patternType="solid">
        <fgColor theme="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tint="-0.249977111117893"/>
        <bgColor indexed="64"/>
      </patternFill>
    </fill>
    <fill>
      <patternFill patternType="solid">
        <fgColor theme="4"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alignment vertical="top"/>
      <protection locked="0"/>
    </xf>
  </cellStyleXfs>
  <cellXfs count="280">
    <xf numFmtId="0" fontId="0" fillId="0" borderId="0" xfId="0"/>
    <xf numFmtId="0" fontId="3" fillId="0" borderId="1" xfId="0" applyFont="1" applyFill="1" applyBorder="1" applyAlignment="1">
      <alignment vertical="top"/>
    </xf>
    <xf numFmtId="0" fontId="2" fillId="0" borderId="1" xfId="0" applyFont="1" applyFill="1" applyBorder="1" applyAlignment="1">
      <alignment vertical="top"/>
    </xf>
    <xf numFmtId="0" fontId="4" fillId="0" borderId="0" xfId="0" applyFont="1"/>
    <xf numFmtId="0" fontId="5" fillId="3" borderId="0" xfId="0" applyFont="1" applyFill="1"/>
    <xf numFmtId="0" fontId="6" fillId="3" borderId="0" xfId="0" applyFont="1" applyFill="1"/>
    <xf numFmtId="0" fontId="7" fillId="2" borderId="1" xfId="0" applyFont="1" applyFill="1" applyBorder="1"/>
    <xf numFmtId="0" fontId="7" fillId="2" borderId="1" xfId="0" applyFont="1" applyFill="1" applyBorder="1" applyAlignment="1">
      <alignment horizontal="center"/>
    </xf>
    <xf numFmtId="0" fontId="4" fillId="0" borderId="1" xfId="0" applyFont="1" applyBorder="1"/>
    <xf numFmtId="166" fontId="4" fillId="0" borderId="1" xfId="1" applyNumberFormat="1" applyFont="1" applyBorder="1"/>
    <xf numFmtId="0" fontId="7" fillId="0" borderId="1" xfId="0" applyFont="1" applyBorder="1"/>
    <xf numFmtId="166" fontId="7" fillId="0" borderId="1" xfId="1" applyNumberFormat="1" applyFont="1" applyBorder="1"/>
    <xf numFmtId="0" fontId="8" fillId="0" borderId="1" xfId="0" applyFont="1" applyBorder="1"/>
    <xf numFmtId="166" fontId="7" fillId="0" borderId="1" xfId="0" applyNumberFormat="1" applyFont="1" applyBorder="1"/>
    <xf numFmtId="9" fontId="4" fillId="0" borderId="0" xfId="2" applyFont="1"/>
    <xf numFmtId="167" fontId="4" fillId="0" borderId="0" xfId="2" applyNumberFormat="1" applyFont="1"/>
    <xf numFmtId="164" fontId="4" fillId="0" borderId="1" xfId="1" applyFont="1" applyBorder="1"/>
    <xf numFmtId="164" fontId="4" fillId="0" borderId="0" xfId="1" applyFont="1"/>
    <xf numFmtId="165" fontId="4" fillId="0" borderId="1" xfId="1" applyNumberFormat="1" applyFont="1" applyBorder="1"/>
    <xf numFmtId="165" fontId="4" fillId="0" borderId="0" xfId="1" applyNumberFormat="1" applyFont="1"/>
    <xf numFmtId="166" fontId="4" fillId="0" borderId="0" xfId="1" applyNumberFormat="1" applyFont="1"/>
    <xf numFmtId="168" fontId="7" fillId="2" borderId="1" xfId="0" applyNumberFormat="1" applyFont="1" applyFill="1" applyBorder="1" applyAlignment="1">
      <alignment horizontal="center"/>
    </xf>
    <xf numFmtId="168" fontId="4" fillId="0" borderId="0" xfId="0" applyNumberFormat="1" applyFont="1"/>
    <xf numFmtId="0" fontId="7" fillId="0" borderId="0" xfId="0" applyFont="1"/>
    <xf numFmtId="0" fontId="4" fillId="0" borderId="1" xfId="0" quotePrefix="1" applyFont="1" applyBorder="1"/>
    <xf numFmtId="166" fontId="4" fillId="0" borderId="0" xfId="0" applyNumberFormat="1" applyFont="1"/>
    <xf numFmtId="164" fontId="4" fillId="0" borderId="0" xfId="0" applyNumberFormat="1" applyFont="1"/>
    <xf numFmtId="9" fontId="4" fillId="0" borderId="1" xfId="2" applyFont="1" applyBorder="1"/>
    <xf numFmtId="166" fontId="4" fillId="0" borderId="1" xfId="0" applyNumberFormat="1" applyFont="1" applyBorder="1"/>
    <xf numFmtId="164" fontId="4" fillId="0" borderId="1" xfId="0" applyNumberFormat="1" applyFont="1" applyBorder="1"/>
    <xf numFmtId="167" fontId="4" fillId="0" borderId="1" xfId="2" applyNumberFormat="1" applyFont="1" applyBorder="1"/>
    <xf numFmtId="168" fontId="7" fillId="2" borderId="4" xfId="0" applyNumberFormat="1" applyFont="1" applyFill="1" applyBorder="1" applyAlignment="1">
      <alignment horizontal="center"/>
    </xf>
    <xf numFmtId="9" fontId="4" fillId="0" borderId="1" xfId="0" applyNumberFormat="1" applyFont="1" applyBorder="1"/>
    <xf numFmtId="9" fontId="9" fillId="0" borderId="1" xfId="0" applyNumberFormat="1" applyFont="1" applyBorder="1"/>
    <xf numFmtId="164" fontId="4" fillId="0" borderId="1" xfId="1" applyNumberFormat="1" applyFont="1" applyBorder="1"/>
    <xf numFmtId="4" fontId="11" fillId="0" borderId="1" xfId="0" applyNumberFormat="1" applyFont="1" applyBorder="1"/>
    <xf numFmtId="0" fontId="3" fillId="0" borderId="0" xfId="0" applyFont="1"/>
    <xf numFmtId="0" fontId="3" fillId="0" borderId="1" xfId="0" applyFont="1" applyBorder="1"/>
    <xf numFmtId="169" fontId="3" fillId="0" borderId="1" xfId="1" quotePrefix="1" applyNumberFormat="1" applyFont="1" applyBorder="1"/>
    <xf numFmtId="169" fontId="3" fillId="0" borderId="1" xfId="1" applyNumberFormat="1" applyFont="1" applyFill="1" applyBorder="1"/>
    <xf numFmtId="0" fontId="2" fillId="0" borderId="1" xfId="0" applyFont="1" applyBorder="1"/>
    <xf numFmtId="0" fontId="4" fillId="0" borderId="0" xfId="0" quotePrefix="1" applyFont="1"/>
    <xf numFmtId="0" fontId="4" fillId="0" borderId="6" xfId="0" applyFont="1" applyBorder="1" applyAlignment="1"/>
    <xf numFmtId="0" fontId="4" fillId="0" borderId="5" xfId="0" applyFont="1" applyBorder="1" applyAlignment="1"/>
    <xf numFmtId="10" fontId="4" fillId="0" borderId="0" xfId="2" applyNumberFormat="1" applyFont="1"/>
    <xf numFmtId="166" fontId="9" fillId="0" borderId="1" xfId="1" applyNumberFormat="1" applyFont="1" applyBorder="1"/>
    <xf numFmtId="0" fontId="10" fillId="0" borderId="0" xfId="0" applyFont="1"/>
    <xf numFmtId="0" fontId="4" fillId="0" borderId="0" xfId="0" applyFont="1" applyAlignment="1">
      <alignment vertical="center"/>
    </xf>
    <xf numFmtId="169" fontId="9" fillId="0" borderId="1" xfId="3" applyNumberFormat="1" applyFont="1" applyBorder="1" applyAlignment="1">
      <alignment horizontal="right" vertical="center"/>
    </xf>
    <xf numFmtId="43" fontId="4" fillId="0" borderId="0" xfId="0" applyNumberFormat="1" applyFont="1" applyAlignment="1">
      <alignment vertical="center"/>
    </xf>
    <xf numFmtId="43" fontId="4" fillId="0" borderId="0" xfId="3" applyFont="1" applyAlignment="1">
      <alignment vertical="center"/>
    </xf>
    <xf numFmtId="43" fontId="4" fillId="0" borderId="0" xfId="3" applyFont="1"/>
    <xf numFmtId="164" fontId="4" fillId="0" borderId="0" xfId="0" applyNumberFormat="1" applyFont="1" applyAlignment="1">
      <alignment vertical="center"/>
    </xf>
    <xf numFmtId="10" fontId="4" fillId="0" borderId="0" xfId="2" applyNumberFormat="1" applyFont="1" applyAlignment="1">
      <alignment vertical="center"/>
    </xf>
    <xf numFmtId="10" fontId="4" fillId="0" borderId="0" xfId="2" applyNumberFormat="1" applyFont="1" applyBorder="1"/>
    <xf numFmtId="0" fontId="7" fillId="0" borderId="1" xfId="0" applyFont="1" applyBorder="1" applyAlignment="1">
      <alignment vertical="center"/>
    </xf>
    <xf numFmtId="168" fontId="7" fillId="2" borderId="4" xfId="0" applyNumberFormat="1" applyFont="1" applyFill="1" applyBorder="1" applyAlignment="1">
      <alignment horizontal="left"/>
    </xf>
    <xf numFmtId="0" fontId="4" fillId="0" borderId="2" xfId="0" applyFont="1" applyBorder="1" applyAlignment="1"/>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0" borderId="8" xfId="0" applyFont="1" applyBorder="1"/>
    <xf numFmtId="0" fontId="7" fillId="0" borderId="9" xfId="0" applyFont="1" applyBorder="1"/>
    <xf numFmtId="17" fontId="2" fillId="2" borderId="1" xfId="0" applyNumberFormat="1" applyFont="1" applyFill="1" applyBorder="1" applyAlignment="1">
      <alignment horizontal="center" vertical="center"/>
    </xf>
    <xf numFmtId="169" fontId="3" fillId="0" borderId="1" xfId="3" applyNumberFormat="1" applyFont="1" applyFill="1" applyBorder="1" applyAlignment="1">
      <alignment vertical="center"/>
    </xf>
    <xf numFmtId="9" fontId="9" fillId="0" borderId="1" xfId="2" applyFont="1" applyFill="1" applyBorder="1" applyAlignment="1">
      <alignment vertical="center"/>
    </xf>
    <xf numFmtId="0" fontId="3" fillId="0" borderId="1" xfId="0"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vertical="center" wrapText="1"/>
    </xf>
    <xf numFmtId="169" fontId="3" fillId="0" borderId="1" xfId="3" applyNumberFormat="1" applyFont="1" applyBorder="1" applyAlignment="1">
      <alignment vertical="center"/>
    </xf>
    <xf numFmtId="0" fontId="3" fillId="0" borderId="1" xfId="0" applyFont="1" applyBorder="1" applyAlignment="1">
      <alignment vertical="center"/>
    </xf>
    <xf numFmtId="17" fontId="3" fillId="0" borderId="1" xfId="0" applyNumberFormat="1" applyFont="1" applyFill="1" applyBorder="1" applyAlignment="1">
      <alignment vertical="center"/>
    </xf>
    <xf numFmtId="0" fontId="3" fillId="5" borderId="1" xfId="0" applyNumberFormat="1" applyFont="1" applyFill="1" applyBorder="1" applyAlignment="1">
      <alignment horizontal="left" vertical="center"/>
    </xf>
    <xf numFmtId="167" fontId="9" fillId="5" borderId="1" xfId="2" applyNumberFormat="1" applyFont="1" applyFill="1" applyBorder="1" applyAlignment="1">
      <alignment horizontal="right" vertical="center"/>
    </xf>
    <xf numFmtId="0" fontId="3" fillId="5" borderId="1" xfId="0" applyFont="1" applyFill="1" applyBorder="1" applyAlignment="1">
      <alignment horizontal="left" vertical="center"/>
    </xf>
    <xf numFmtId="166" fontId="9" fillId="0" borderId="1" xfId="0" applyNumberFormat="1" applyFont="1" applyBorder="1"/>
    <xf numFmtId="10" fontId="9" fillId="0" borderId="13" xfId="2" applyNumberFormat="1" applyFont="1" applyBorder="1"/>
    <xf numFmtId="10" fontId="3" fillId="0" borderId="2" xfId="0" applyNumberFormat="1" applyFont="1" applyBorder="1" applyAlignment="1">
      <alignment vertical="center"/>
    </xf>
    <xf numFmtId="10" fontId="7" fillId="0" borderId="2" xfId="0" applyNumberFormat="1" applyFont="1" applyBorder="1" applyAlignment="1">
      <alignment vertical="center"/>
    </xf>
    <xf numFmtId="10" fontId="4" fillId="0" borderId="2" xfId="2" applyNumberFormat="1" applyFont="1" applyFill="1" applyBorder="1" applyAlignment="1">
      <alignment vertical="center"/>
    </xf>
    <xf numFmtId="167" fontId="4" fillId="0" borderId="2" xfId="2" applyNumberFormat="1" applyFont="1" applyFill="1" applyBorder="1" applyAlignment="1">
      <alignment vertical="center"/>
    </xf>
    <xf numFmtId="169" fontId="4" fillId="0" borderId="2" xfId="3" applyNumberFormat="1" applyFont="1" applyFill="1" applyBorder="1" applyAlignment="1">
      <alignment vertical="center"/>
    </xf>
    <xf numFmtId="0" fontId="4" fillId="0" borderId="2" xfId="0" applyFont="1" applyFill="1" applyBorder="1" applyAlignment="1">
      <alignment vertical="center"/>
    </xf>
    <xf numFmtId="10" fontId="7" fillId="4" borderId="7" xfId="2" applyNumberFormat="1" applyFont="1" applyFill="1" applyBorder="1" applyAlignment="1">
      <alignment vertical="center"/>
    </xf>
    <xf numFmtId="0" fontId="4" fillId="0" borderId="4" xfId="0" applyFont="1" applyBorder="1" applyAlignment="1">
      <alignment vertical="center"/>
    </xf>
    <xf numFmtId="0" fontId="4" fillId="0" borderId="11" xfId="0" applyFont="1" applyBorder="1" applyAlignment="1">
      <alignment vertical="center"/>
    </xf>
    <xf numFmtId="0" fontId="7" fillId="0" borderId="11" xfId="0" applyFont="1" applyBorder="1" applyAlignment="1">
      <alignment vertical="center"/>
    </xf>
    <xf numFmtId="43" fontId="4" fillId="0" borderId="11" xfId="3" applyFont="1" applyBorder="1" applyAlignment="1">
      <alignment vertical="center"/>
    </xf>
    <xf numFmtId="0" fontId="2" fillId="6" borderId="6" xfId="0" applyFont="1" applyFill="1" applyBorder="1"/>
    <xf numFmtId="9" fontId="4" fillId="0" borderId="0" xfId="0" applyNumberFormat="1" applyFont="1" applyAlignment="1">
      <alignment horizontal="center"/>
    </xf>
    <xf numFmtId="170" fontId="4" fillId="0" borderId="0" xfId="1" applyNumberFormat="1" applyFont="1" applyAlignment="1">
      <alignment horizontal="center"/>
    </xf>
    <xf numFmtId="0" fontId="4" fillId="0" borderId="0" xfId="0" quotePrefix="1" applyFont="1" applyAlignment="1">
      <alignment horizontal="center"/>
    </xf>
    <xf numFmtId="164" fontId="4" fillId="0" borderId="0" xfId="1" applyFont="1" applyBorder="1"/>
    <xf numFmtId="166" fontId="4" fillId="0" borderId="0" xfId="1" applyNumberFormat="1" applyFont="1" applyBorder="1"/>
    <xf numFmtId="0" fontId="4" fillId="0" borderId="2" xfId="0" applyFont="1" applyBorder="1"/>
    <xf numFmtId="0" fontId="3" fillId="5" borderId="0" xfId="0" applyNumberFormat="1" applyFont="1" applyFill="1" applyBorder="1" applyAlignment="1">
      <alignment horizontal="left" vertical="center"/>
    </xf>
    <xf numFmtId="167" fontId="3" fillId="5" borderId="0" xfId="2" applyNumberFormat="1" applyFont="1" applyFill="1" applyBorder="1" applyAlignment="1">
      <alignment horizontal="right" vertical="center"/>
    </xf>
    <xf numFmtId="164" fontId="7" fillId="0" borderId="11" xfId="1" applyFont="1" applyBorder="1"/>
    <xf numFmtId="164" fontId="7" fillId="0" borderId="0" xfId="1" applyFont="1" applyBorder="1"/>
    <xf numFmtId="164" fontId="7" fillId="0" borderId="12" xfId="1" applyFont="1" applyBorder="1"/>
    <xf numFmtId="164" fontId="7" fillId="0" borderId="3" xfId="1" applyFont="1" applyBorder="1"/>
    <xf numFmtId="9" fontId="7" fillId="0" borderId="1" xfId="2" applyFont="1" applyBorder="1"/>
    <xf numFmtId="0" fontId="7" fillId="0" borderId="15" xfId="0" applyFont="1" applyBorder="1"/>
    <xf numFmtId="164" fontId="7" fillId="0" borderId="4" xfId="1" applyFont="1" applyBorder="1"/>
    <xf numFmtId="164" fontId="7" fillId="0" borderId="14" xfId="1" applyFont="1" applyBorder="1"/>
    <xf numFmtId="164" fontId="4" fillId="0" borderId="14" xfId="1" applyFont="1" applyBorder="1"/>
    <xf numFmtId="164" fontId="4" fillId="0" borderId="13" xfId="1" applyFont="1" applyBorder="1"/>
    <xf numFmtId="164" fontId="4" fillId="0" borderId="2" xfId="1" applyFont="1" applyBorder="1"/>
    <xf numFmtId="164" fontId="4" fillId="0" borderId="3" xfId="1" applyFont="1" applyBorder="1"/>
    <xf numFmtId="164" fontId="4" fillId="0" borderId="10" xfId="1" applyFont="1" applyBorder="1"/>
    <xf numFmtId="9" fontId="7" fillId="0" borderId="1" xfId="0" applyNumberFormat="1" applyFont="1" applyBorder="1"/>
    <xf numFmtId="9" fontId="4" fillId="0" borderId="0" xfId="0" applyNumberFormat="1" applyFont="1"/>
    <xf numFmtId="171" fontId="4" fillId="0" borderId="0" xfId="0" applyNumberFormat="1" applyFont="1"/>
    <xf numFmtId="169" fontId="2" fillId="0" borderId="1" xfId="1" applyNumberFormat="1" applyFont="1" applyBorder="1"/>
    <xf numFmtId="0" fontId="3" fillId="0" borderId="0" xfId="0" applyFont="1" applyAlignment="1">
      <alignment vertical="center"/>
    </xf>
    <xf numFmtId="0" fontId="3" fillId="0" borderId="0" xfId="0" applyFont="1" applyAlignment="1">
      <alignment horizontal="left" vertical="center"/>
    </xf>
    <xf numFmtId="0" fontId="3" fillId="0" borderId="0" xfId="0" applyFont="1" applyBorder="1" applyAlignment="1">
      <alignment vertical="center"/>
    </xf>
    <xf numFmtId="43" fontId="3" fillId="0" borderId="0" xfId="0" applyNumberFormat="1" applyFont="1" applyAlignment="1">
      <alignment horizontal="left" vertical="center"/>
    </xf>
    <xf numFmtId="43" fontId="13" fillId="0" borderId="0" xfId="0" applyNumberFormat="1" applyFont="1" applyAlignment="1">
      <alignment vertical="center"/>
    </xf>
    <xf numFmtId="43" fontId="3" fillId="0" borderId="0" xfId="0" applyNumberFormat="1" applyFont="1" applyAlignment="1">
      <alignment vertical="center"/>
    </xf>
    <xf numFmtId="169" fontId="3" fillId="0" borderId="0" xfId="3" applyNumberFormat="1" applyFont="1" applyBorder="1" applyAlignment="1">
      <alignment vertical="center"/>
    </xf>
    <xf numFmtId="43" fontId="3" fillId="0" borderId="0" xfId="0" applyNumberFormat="1" applyFont="1" applyBorder="1" applyAlignment="1">
      <alignment vertical="center"/>
    </xf>
    <xf numFmtId="0" fontId="3" fillId="0" borderId="0" xfId="0" applyFont="1" applyFill="1" applyBorder="1" applyAlignment="1">
      <alignment vertical="center"/>
    </xf>
    <xf numFmtId="43" fontId="3" fillId="0" borderId="1" xfId="0" applyNumberFormat="1" applyFont="1" applyBorder="1" applyAlignment="1">
      <alignment vertical="center"/>
    </xf>
    <xf numFmtId="164" fontId="3" fillId="0" borderId="1" xfId="0" applyNumberFormat="1" applyFont="1" applyBorder="1" applyAlignment="1">
      <alignment vertical="center"/>
    </xf>
    <xf numFmtId="166" fontId="3" fillId="0" borderId="1" xfId="1" applyNumberFormat="1" applyFont="1" applyBorder="1" applyAlignment="1">
      <alignment vertical="center"/>
    </xf>
    <xf numFmtId="9" fontId="3" fillId="0" borderId="0" xfId="0" applyNumberFormat="1" applyFont="1" applyAlignment="1">
      <alignment vertical="center"/>
    </xf>
    <xf numFmtId="169" fontId="2" fillId="6" borderId="1" xfId="0" applyNumberFormat="1" applyFont="1" applyFill="1" applyBorder="1" applyAlignment="1">
      <alignment vertical="center"/>
    </xf>
    <xf numFmtId="166" fontId="4" fillId="0" borderId="1" xfId="1" applyNumberFormat="1" applyFont="1" applyFill="1" applyBorder="1"/>
    <xf numFmtId="0" fontId="7" fillId="6" borderId="1" xfId="0" applyFont="1" applyFill="1" applyBorder="1"/>
    <xf numFmtId="166" fontId="7" fillId="6" borderId="1" xfId="1" applyNumberFormat="1" applyFont="1" applyFill="1" applyBorder="1"/>
    <xf numFmtId="0" fontId="2" fillId="2" borderId="1" xfId="0" applyFont="1" applyFill="1" applyBorder="1"/>
    <xf numFmtId="0" fontId="14" fillId="0" borderId="1" xfId="0" applyFont="1" applyFill="1" applyBorder="1"/>
    <xf numFmtId="0" fontId="7" fillId="7" borderId="1" xfId="0" applyFont="1" applyFill="1" applyBorder="1"/>
    <xf numFmtId="166" fontId="7" fillId="7" borderId="1" xfId="1" applyNumberFormat="1" applyFont="1" applyFill="1" applyBorder="1"/>
    <xf numFmtId="169" fontId="3" fillId="0" borderId="1" xfId="0" applyNumberFormat="1" applyFont="1" applyBorder="1" applyAlignment="1">
      <alignment vertical="center"/>
    </xf>
    <xf numFmtId="15" fontId="4" fillId="0" borderId="0" xfId="0" applyNumberFormat="1" applyFont="1" applyBorder="1"/>
    <xf numFmtId="0" fontId="7" fillId="0" borderId="1" xfId="0" applyFont="1" applyBorder="1" applyAlignment="1">
      <alignment horizontal="left" vertical="center"/>
    </xf>
    <xf numFmtId="10" fontId="7" fillId="0" borderId="1" xfId="2" applyNumberFormat="1" applyFont="1" applyBorder="1"/>
    <xf numFmtId="166" fontId="8" fillId="0" borderId="1" xfId="1" applyNumberFormat="1" applyFont="1" applyBorder="1"/>
    <xf numFmtId="10" fontId="9" fillId="0" borderId="1" xfId="0" applyNumberFormat="1" applyFont="1" applyFill="1" applyBorder="1"/>
    <xf numFmtId="167" fontId="9" fillId="0" borderId="1" xfId="2" applyNumberFormat="1" applyFont="1" applyBorder="1"/>
    <xf numFmtId="0" fontId="2" fillId="6" borderId="1" xfId="0" applyFont="1" applyFill="1" applyBorder="1" applyAlignment="1">
      <alignment vertical="center"/>
    </xf>
    <xf numFmtId="169" fontId="2" fillId="6" borderId="1" xfId="3" applyNumberFormat="1" applyFont="1" applyFill="1" applyBorder="1" applyAlignment="1">
      <alignment vertical="center"/>
    </xf>
    <xf numFmtId="169" fontId="3" fillId="0" borderId="1" xfId="0" applyNumberFormat="1" applyFont="1" applyFill="1" applyBorder="1" applyAlignment="1">
      <alignment horizontal="right" vertical="center"/>
    </xf>
    <xf numFmtId="0" fontId="4" fillId="0" borderId="3" xfId="0" applyFont="1" applyBorder="1"/>
    <xf numFmtId="10" fontId="4" fillId="0" borderId="1" xfId="0" applyNumberFormat="1" applyFont="1" applyBorder="1"/>
    <xf numFmtId="0" fontId="4" fillId="0" borderId="15" xfId="0" applyFont="1" applyBorder="1" applyAlignment="1"/>
    <xf numFmtId="0" fontId="4" fillId="0" borderId="14" xfId="0" applyFont="1" applyBorder="1" applyAlignment="1"/>
    <xf numFmtId="0" fontId="4" fillId="0" borderId="0" xfId="0" applyFont="1" applyBorder="1" applyAlignment="1"/>
    <xf numFmtId="0" fontId="4" fillId="0" borderId="1" xfId="0" applyFont="1" applyBorder="1" applyAlignment="1"/>
    <xf numFmtId="166" fontId="4" fillId="0" borderId="1" xfId="1" applyNumberFormat="1" applyFont="1" applyBorder="1" applyAlignment="1"/>
    <xf numFmtId="166" fontId="4" fillId="0" borderId="1" xfId="0" applyNumberFormat="1" applyFont="1" applyBorder="1" applyAlignment="1"/>
    <xf numFmtId="0" fontId="7" fillId="6" borderId="1" xfId="0" applyFont="1" applyFill="1" applyBorder="1" applyAlignment="1"/>
    <xf numFmtId="0" fontId="2" fillId="6" borderId="1" xfId="0" applyFont="1" applyFill="1" applyBorder="1"/>
    <xf numFmtId="0" fontId="3" fillId="6" borderId="1" xfId="0" applyFont="1" applyFill="1" applyBorder="1"/>
    <xf numFmtId="169" fontId="2" fillId="6" borderId="1" xfId="1" applyNumberFormat="1" applyFont="1" applyFill="1" applyBorder="1"/>
    <xf numFmtId="0" fontId="2" fillId="6" borderId="6" xfId="0" applyFont="1" applyFill="1" applyBorder="1" applyAlignment="1">
      <alignment vertical="center"/>
    </xf>
    <xf numFmtId="0" fontId="2" fillId="6" borderId="5" xfId="0" applyFont="1" applyFill="1" applyBorder="1" applyAlignment="1">
      <alignment vertical="center"/>
    </xf>
    <xf numFmtId="0" fontId="2" fillId="6" borderId="7" xfId="0" applyFont="1" applyFill="1" applyBorder="1" applyAlignment="1">
      <alignment vertical="center"/>
    </xf>
    <xf numFmtId="167" fontId="4" fillId="0" borderId="1" xfId="0" applyNumberFormat="1" applyFont="1" applyBorder="1"/>
    <xf numFmtId="166" fontId="2" fillId="6" borderId="1" xfId="1" applyNumberFormat="1" applyFont="1" applyFill="1" applyBorder="1" applyAlignment="1">
      <alignment vertical="center"/>
    </xf>
    <xf numFmtId="0" fontId="6" fillId="6" borderId="0" xfId="0" applyFont="1" applyFill="1"/>
    <xf numFmtId="0" fontId="4" fillId="6" borderId="0" xfId="0" applyFont="1" applyFill="1"/>
    <xf numFmtId="9" fontId="9" fillId="0" borderId="1" xfId="2" applyFont="1" applyBorder="1"/>
    <xf numFmtId="172" fontId="9" fillId="0" borderId="1" xfId="0" applyNumberFormat="1" applyFont="1" applyBorder="1" applyAlignment="1">
      <alignment horizontal="left" vertical="center"/>
    </xf>
    <xf numFmtId="0" fontId="6" fillId="0" borderId="0" xfId="0" applyFont="1" applyFill="1"/>
    <xf numFmtId="0" fontId="4" fillId="0" borderId="0" xfId="0" applyFont="1" applyFill="1"/>
    <xf numFmtId="15" fontId="4" fillId="0" borderId="0" xfId="0" applyNumberFormat="1" applyFont="1"/>
    <xf numFmtId="169" fontId="7" fillId="0" borderId="2" xfId="3" applyNumberFormat="1" applyFont="1" applyFill="1" applyBorder="1" applyAlignment="1">
      <alignment vertical="center"/>
    </xf>
    <xf numFmtId="10" fontId="7" fillId="0" borderId="2" xfId="2" applyNumberFormat="1" applyFont="1" applyFill="1" applyBorder="1" applyAlignment="1">
      <alignment vertical="center"/>
    </xf>
    <xf numFmtId="168" fontId="7" fillId="9" borderId="4" xfId="0" applyNumberFormat="1" applyFont="1" applyFill="1" applyBorder="1" applyAlignment="1">
      <alignment horizontal="center"/>
    </xf>
    <xf numFmtId="168" fontId="7" fillId="9" borderId="1" xfId="0" applyNumberFormat="1" applyFont="1" applyFill="1" applyBorder="1" applyAlignment="1">
      <alignment horizontal="center"/>
    </xf>
    <xf numFmtId="10" fontId="4" fillId="0" borderId="1" xfId="2" applyNumberFormat="1" applyFont="1" applyBorder="1"/>
    <xf numFmtId="15" fontId="4" fillId="0" borderId="1" xfId="0" applyNumberFormat="1" applyFont="1" applyBorder="1"/>
    <xf numFmtId="0" fontId="7" fillId="10" borderId="1" xfId="0" applyFont="1" applyFill="1" applyBorder="1"/>
    <xf numFmtId="167" fontId="7" fillId="6" borderId="1" xfId="2" applyNumberFormat="1" applyFont="1" applyFill="1" applyBorder="1"/>
    <xf numFmtId="173" fontId="4" fillId="0" borderId="0" xfId="0" applyNumberFormat="1" applyFont="1"/>
    <xf numFmtId="174" fontId="4" fillId="0" borderId="0" xfId="0" applyNumberFormat="1" applyFont="1"/>
    <xf numFmtId="164" fontId="3" fillId="0" borderId="2" xfId="1" applyFont="1" applyBorder="1" applyAlignment="1">
      <alignment vertical="center"/>
    </xf>
    <xf numFmtId="167" fontId="4" fillId="0" borderId="0" xfId="0" applyNumberFormat="1" applyFont="1"/>
    <xf numFmtId="0" fontId="10" fillId="0" borderId="0" xfId="0" applyFont="1" applyBorder="1"/>
    <xf numFmtId="164" fontId="4" fillId="0" borderId="4" xfId="1" applyFont="1" applyBorder="1"/>
    <xf numFmtId="164" fontId="4" fillId="0" borderId="11" xfId="1" applyFont="1" applyBorder="1"/>
    <xf numFmtId="164" fontId="4" fillId="0" borderId="12" xfId="1" applyFont="1" applyBorder="1"/>
    <xf numFmtId="0" fontId="7" fillId="2" borderId="1" xfId="0" applyFont="1" applyFill="1" applyBorder="1" applyAlignment="1">
      <alignment horizontal="center"/>
    </xf>
    <xf numFmtId="0" fontId="6" fillId="3" borderId="3" xfId="0" applyFont="1" applyFill="1" applyBorder="1" applyAlignment="1">
      <alignment horizontal="center"/>
    </xf>
    <xf numFmtId="9" fontId="16" fillId="8" borderId="1" xfId="0" applyNumberFormat="1" applyFont="1" applyFill="1" applyBorder="1"/>
    <xf numFmtId="166" fontId="7" fillId="6" borderId="1" xfId="1" applyNumberFormat="1" applyFont="1" applyFill="1" applyBorder="1" applyAlignment="1"/>
    <xf numFmtId="17" fontId="3" fillId="0" borderId="1" xfId="0" applyNumberFormat="1" applyFont="1" applyBorder="1" applyAlignment="1">
      <alignment vertical="center"/>
    </xf>
    <xf numFmtId="9" fontId="3" fillId="0" borderId="1" xfId="2" applyFont="1" applyBorder="1" applyAlignment="1">
      <alignment vertical="center"/>
    </xf>
    <xf numFmtId="0" fontId="4" fillId="0" borderId="6"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2" fillId="2" borderId="1" xfId="0" applyFont="1" applyFill="1" applyBorder="1" applyAlignment="1">
      <alignment horizontal="center" vertical="center" wrapText="1"/>
    </xf>
    <xf numFmtId="175" fontId="3" fillId="0" borderId="1" xfId="0" applyNumberFormat="1" applyFont="1" applyFill="1" applyBorder="1" applyAlignment="1">
      <alignment horizontal="right" vertical="top"/>
    </xf>
    <xf numFmtId="175" fontId="2" fillId="0" borderId="1" xfId="0" applyNumberFormat="1" applyFont="1" applyFill="1" applyBorder="1" applyAlignment="1">
      <alignment horizontal="right" vertical="top"/>
    </xf>
    <xf numFmtId="9" fontId="4" fillId="0" borderId="1" xfId="2" applyFont="1" applyBorder="1" applyAlignment="1">
      <alignment horizontal="center"/>
    </xf>
    <xf numFmtId="0" fontId="4" fillId="0" borderId="0" xfId="0" applyFont="1" applyAlignment="1"/>
    <xf numFmtId="164" fontId="4" fillId="0" borderId="0" xfId="1" applyNumberFormat="1" applyFont="1"/>
    <xf numFmtId="10" fontId="4" fillId="0" borderId="0" xfId="0" applyNumberFormat="1" applyFont="1"/>
    <xf numFmtId="166" fontId="7" fillId="0" borderId="1" xfId="2" applyNumberFormat="1" applyFont="1" applyBorder="1"/>
    <xf numFmtId="176" fontId="7" fillId="0" borderId="1" xfId="2" applyNumberFormat="1" applyFont="1" applyBorder="1"/>
    <xf numFmtId="0" fontId="4" fillId="0" borderId="1" xfId="2" applyNumberFormat="1" applyFont="1" applyBorder="1" applyAlignment="1">
      <alignment horizontal="center" vertical="center"/>
    </xf>
    <xf numFmtId="174" fontId="4" fillId="0" borderId="1" xfId="2" applyNumberFormat="1" applyFont="1" applyBorder="1" applyAlignment="1">
      <alignment horizontal="center" vertical="center"/>
    </xf>
    <xf numFmtId="9" fontId="4" fillId="0" borderId="1" xfId="2" applyFont="1" applyBorder="1" applyAlignment="1">
      <alignment horizontal="center" vertical="center"/>
    </xf>
    <xf numFmtId="173" fontId="4" fillId="0" borderId="1" xfId="2" applyNumberFormat="1" applyFont="1" applyBorder="1"/>
    <xf numFmtId="167" fontId="4" fillId="0" borderId="1" xfId="2" applyNumberFormat="1" applyFont="1" applyBorder="1" applyAlignment="1">
      <alignment horizontal="center" vertical="center"/>
    </xf>
    <xf numFmtId="176" fontId="4" fillId="0" borderId="1" xfId="1" applyNumberFormat="1" applyFont="1" applyBorder="1"/>
    <xf numFmtId="177" fontId="4" fillId="0" borderId="1" xfId="1" applyNumberFormat="1" applyFont="1" applyBorder="1"/>
    <xf numFmtId="176" fontId="4" fillId="0" borderId="1" xfId="1" applyNumberFormat="1" applyFont="1" applyBorder="1" applyAlignment="1">
      <alignment horizontal="right" vertical="center"/>
    </xf>
    <xf numFmtId="176" fontId="4" fillId="0" borderId="1" xfId="0" applyNumberFormat="1" applyFont="1" applyBorder="1" applyAlignment="1">
      <alignment horizontal="right" vertical="center"/>
    </xf>
    <xf numFmtId="1" fontId="4" fillId="0" borderId="1" xfId="0" applyNumberFormat="1" applyFont="1" applyBorder="1"/>
    <xf numFmtId="1" fontId="9" fillId="0" borderId="1" xfId="0" applyNumberFormat="1" applyFont="1" applyBorder="1"/>
    <xf numFmtId="9" fontId="9" fillId="0" borderId="1" xfId="2" applyNumberFormat="1" applyFont="1" applyBorder="1"/>
    <xf numFmtId="0" fontId="9" fillId="0" borderId="1" xfId="0" applyFont="1" applyBorder="1"/>
    <xf numFmtId="169" fontId="4" fillId="0" borderId="1" xfId="0" applyNumberFormat="1" applyFont="1" applyBorder="1"/>
    <xf numFmtId="178" fontId="4" fillId="0" borderId="1" xfId="0" applyNumberFormat="1" applyFont="1" applyBorder="1"/>
    <xf numFmtId="179" fontId="4" fillId="0" borderId="1" xfId="0" applyNumberFormat="1" applyFont="1" applyBorder="1"/>
    <xf numFmtId="3" fontId="4" fillId="0" borderId="0" xfId="0" applyNumberFormat="1" applyFont="1"/>
    <xf numFmtId="169" fontId="7" fillId="0" borderId="1" xfId="0" applyNumberFormat="1" applyFont="1" applyBorder="1"/>
    <xf numFmtId="9" fontId="9" fillId="0" borderId="1" xfId="2" applyNumberFormat="1" applyFont="1" applyFill="1" applyBorder="1"/>
    <xf numFmtId="9" fontId="4" fillId="0" borderId="1" xfId="0" applyNumberFormat="1" applyFont="1" applyBorder="1" applyAlignment="1"/>
    <xf numFmtId="9" fontId="4" fillId="0" borderId="5" xfId="0" applyNumberFormat="1" applyFont="1" applyBorder="1" applyAlignment="1"/>
    <xf numFmtId="168" fontId="7" fillId="11" borderId="4" xfId="0" applyNumberFormat="1" applyFont="1" applyFill="1" applyBorder="1" applyAlignment="1">
      <alignment horizontal="center"/>
    </xf>
    <xf numFmtId="180" fontId="4" fillId="0" borderId="1" xfId="0" applyNumberFormat="1" applyFont="1" applyBorder="1"/>
    <xf numFmtId="180" fontId="9" fillId="0" borderId="1" xfId="2" applyNumberFormat="1" applyFont="1" applyBorder="1"/>
    <xf numFmtId="10" fontId="9" fillId="0" borderId="1" xfId="2" applyNumberFormat="1" applyFont="1" applyBorder="1"/>
    <xf numFmtId="169" fontId="9" fillId="0" borderId="1" xfId="1" applyNumberFormat="1" applyFont="1" applyBorder="1"/>
    <xf numFmtId="166" fontId="9" fillId="0" borderId="1" xfId="1" applyNumberFormat="1" applyFont="1" applyFill="1" applyBorder="1"/>
    <xf numFmtId="169" fontId="7" fillId="0" borderId="1" xfId="1" applyNumberFormat="1" applyFont="1" applyBorder="1"/>
    <xf numFmtId="169" fontId="7" fillId="6" borderId="1" xfId="1" applyNumberFormat="1" applyFont="1" applyFill="1" applyBorder="1"/>
    <xf numFmtId="0" fontId="7" fillId="2" borderId="1" xfId="0" applyFont="1" applyFill="1" applyBorder="1" applyAlignment="1">
      <alignment horizontal="center"/>
    </xf>
    <xf numFmtId="0" fontId="6" fillId="3" borderId="6" xfId="0" applyFont="1" applyFill="1" applyBorder="1"/>
    <xf numFmtId="168" fontId="7" fillId="12" borderId="5" xfId="0" applyNumberFormat="1" applyFont="1" applyFill="1" applyBorder="1"/>
    <xf numFmtId="168" fontId="7" fillId="11" borderId="5" xfId="0" applyNumberFormat="1" applyFont="1" applyFill="1" applyBorder="1"/>
    <xf numFmtId="168" fontId="7" fillId="11" borderId="7" xfId="0" applyNumberFormat="1" applyFont="1" applyFill="1" applyBorder="1"/>
    <xf numFmtId="14" fontId="0" fillId="0" borderId="1" xfId="0" applyNumberFormat="1" applyBorder="1"/>
    <xf numFmtId="180" fontId="0" fillId="0" borderId="1" xfId="0" applyNumberFormat="1" applyBorder="1"/>
    <xf numFmtId="180" fontId="7" fillId="2" borderId="1" xfId="0" applyNumberFormat="1" applyFont="1" applyFill="1" applyBorder="1" applyAlignment="1">
      <alignment horizontal="center"/>
    </xf>
    <xf numFmtId="180" fontId="4" fillId="0" borderId="0" xfId="0" applyNumberFormat="1" applyFont="1"/>
    <xf numFmtId="180" fontId="4" fillId="0" borderId="0" xfId="0" applyNumberFormat="1" applyFont="1" applyBorder="1"/>
    <xf numFmtId="180" fontId="4" fillId="0" borderId="0" xfId="0" applyNumberFormat="1" applyFont="1" applyFill="1" applyBorder="1"/>
    <xf numFmtId="0" fontId="7" fillId="2" borderId="12" xfId="0" applyFont="1" applyFill="1" applyBorder="1" applyAlignment="1">
      <alignment horizontal="center"/>
    </xf>
    <xf numFmtId="180" fontId="7" fillId="2" borderId="12" xfId="0" applyNumberFormat="1" applyFont="1" applyFill="1" applyBorder="1" applyAlignment="1">
      <alignment horizontal="center"/>
    </xf>
    <xf numFmtId="0" fontId="5" fillId="3" borderId="17" xfId="0" applyFont="1" applyFill="1" applyBorder="1"/>
    <xf numFmtId="178" fontId="7" fillId="13" borderId="16" xfId="1" applyNumberFormat="1" applyFont="1" applyFill="1" applyBorder="1"/>
    <xf numFmtId="4" fontId="18" fillId="0" borderId="0" xfId="0" applyNumberFormat="1" applyFont="1"/>
    <xf numFmtId="2" fontId="4" fillId="0" borderId="1" xfId="2" applyNumberFormat="1" applyFont="1" applyBorder="1"/>
    <xf numFmtId="43" fontId="9" fillId="0" borderId="1" xfId="0" applyNumberFormat="1" applyFont="1" applyBorder="1" applyAlignment="1">
      <alignment vertical="center"/>
    </xf>
    <xf numFmtId="169" fontId="3" fillId="0" borderId="0" xfId="0" applyNumberFormat="1" applyFont="1" applyBorder="1" applyAlignment="1">
      <alignment vertical="center"/>
    </xf>
    <xf numFmtId="169" fontId="2" fillId="2" borderId="1" xfId="0" applyNumberFormat="1" applyFont="1" applyFill="1" applyBorder="1" applyAlignment="1">
      <alignment horizontal="center" vertical="center"/>
    </xf>
    <xf numFmtId="169" fontId="3" fillId="0" borderId="1" xfId="1" applyNumberFormat="1" applyFont="1" applyBorder="1" applyAlignment="1">
      <alignment vertical="center"/>
    </xf>
    <xf numFmtId="169" fontId="3" fillId="0" borderId="1" xfId="1" applyNumberFormat="1" applyFont="1" applyFill="1" applyBorder="1" applyAlignment="1">
      <alignment vertical="center"/>
    </xf>
    <xf numFmtId="43" fontId="9" fillId="0" borderId="1" xfId="3" applyNumberFormat="1" applyFont="1" applyFill="1" applyBorder="1" applyAlignment="1">
      <alignment horizontal="center" vertical="center"/>
    </xf>
    <xf numFmtId="0" fontId="7" fillId="2" borderId="0" xfId="0" applyFont="1" applyFill="1"/>
    <xf numFmtId="0" fontId="7" fillId="2" borderId="0" xfId="0" applyFont="1" applyFill="1" applyAlignment="1">
      <alignment horizontal="center"/>
    </xf>
    <xf numFmtId="0" fontId="4" fillId="0" borderId="0" xfId="0" applyFont="1" applyBorder="1"/>
    <xf numFmtId="9" fontId="4" fillId="0" borderId="0" xfId="2" applyNumberFormat="1" applyFont="1"/>
    <xf numFmtId="177" fontId="4" fillId="0" borderId="1" xfId="0" applyNumberFormat="1" applyFont="1" applyBorder="1"/>
    <xf numFmtId="2" fontId="7" fillId="0" borderId="1" xfId="0" applyNumberFormat="1" applyFont="1" applyBorder="1"/>
    <xf numFmtId="2" fontId="7" fillId="0" borderId="1" xfId="2" applyNumberFormat="1" applyFont="1" applyBorder="1"/>
    <xf numFmtId="0" fontId="4" fillId="0" borderId="6"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4" fillId="0" borderId="0" xfId="0" applyFont="1" applyAlignment="1">
      <alignment horizontal="left" vertical="center" wrapText="1"/>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0" borderId="1" xfId="0" applyFont="1" applyBorder="1" applyAlignment="1">
      <alignment horizontal="center"/>
    </xf>
    <xf numFmtId="0" fontId="6" fillId="3" borderId="3" xfId="0" applyFont="1" applyFill="1" applyBorder="1" applyAlignment="1">
      <alignment horizontal="center"/>
    </xf>
    <xf numFmtId="0" fontId="2" fillId="2" borderId="1" xfId="0" applyFont="1" applyFill="1" applyBorder="1" applyAlignment="1">
      <alignment horizontal="left" vertical="center"/>
    </xf>
    <xf numFmtId="0" fontId="7" fillId="2" borderId="1" xfId="0" applyFont="1" applyFill="1" applyBorder="1" applyAlignment="1">
      <alignment horizontal="center"/>
    </xf>
    <xf numFmtId="0" fontId="7" fillId="2" borderId="6" xfId="0" applyFont="1" applyFill="1" applyBorder="1" applyAlignment="1">
      <alignment horizontal="center"/>
    </xf>
    <xf numFmtId="0" fontId="7" fillId="2" borderId="7" xfId="0" applyFont="1" applyFill="1" applyBorder="1" applyAlignment="1">
      <alignment horizontal="center"/>
    </xf>
    <xf numFmtId="0" fontId="7" fillId="0" borderId="3" xfId="0" applyFont="1" applyBorder="1" applyAlignment="1">
      <alignment horizontal="center"/>
    </xf>
    <xf numFmtId="9" fontId="4" fillId="0" borderId="1" xfId="1" applyNumberFormat="1" applyFont="1" applyBorder="1"/>
    <xf numFmtId="9" fontId="9" fillId="0" borderId="1" xfId="1" applyNumberFormat="1" applyFont="1" applyBorder="1"/>
    <xf numFmtId="10" fontId="9" fillId="0" borderId="1" xfId="0" applyNumberFormat="1" applyFont="1" applyBorder="1"/>
  </cellXfs>
  <cellStyles count="5">
    <cellStyle name="Comma" xfId="1" builtinId="3"/>
    <cellStyle name="Comma 2" xfId="3" xr:uid="{00000000-0005-0000-0000-000001000000}"/>
    <cellStyle name="Hyperlink 2" xfId="4" xr:uid="{00000000-0005-0000-0000-000002000000}"/>
    <cellStyle name="Normal" xfId="0" builtinId="0"/>
    <cellStyle name="Percent" xfId="2" builtinId="5"/>
  </cellStyles>
  <dxfs count="1">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85150955021564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5641375696799449"/>
          <c:y val="0.17635221607714111"/>
          <c:w val="0.27050402433522058"/>
          <c:h val="0.68384395033043865"/>
        </c:manualLayout>
      </c:layout>
      <c:pieChart>
        <c:varyColors val="1"/>
        <c:ser>
          <c:idx val="1"/>
          <c:order val="0"/>
          <c:tx>
            <c:strRef>
              <c:f>'Company Overview'!$C$15</c:f>
              <c:strCache>
                <c:ptCount val="1"/>
                <c:pt idx="0">
                  <c:v>Production Capacity (Lakhs Units)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2E-46F1-BE66-EA3B08FDDC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2E-46F1-BE66-EA3B08FDDC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'Company Overview'!$B$16:$B$18</c15:sqref>
                  </c15:fullRef>
                </c:ext>
              </c:extLst>
              <c:f>'Company Overview'!$B$16:$B$17</c:f>
              <c:strCache>
                <c:ptCount val="2"/>
                <c:pt idx="0">
                  <c:v>Gurugram and Manesar</c:v>
                </c:pt>
                <c:pt idx="1">
                  <c:v>Gujarat</c:v>
                </c:pt>
              </c:strCache>
            </c:strRef>
          </c:cat>
          <c:val>
            <c:numRef>
              <c:extLst>
                <c:ext xmlns:c15="http://schemas.microsoft.com/office/drawing/2012/chart" uri="{02D57815-91ED-43cb-92C2-25804820EDAC}">
                  <c15:fullRef>
                    <c15:sqref>'Company Overview'!$C$16:$C$18</c15:sqref>
                  </c15:fullRef>
                </c:ext>
              </c:extLst>
              <c:f>'Company Overview'!$C$16:$C$17</c:f>
              <c:numCache>
                <c:formatCode>#,##0.0</c:formatCode>
                <c:ptCount val="2"/>
                <c:pt idx="0">
                  <c:v>15</c:v>
                </c:pt>
                <c:pt idx="1">
                  <c:v>7.5</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1-144A-4BFA-8140-9E1F996AD805}"/>
            </c:ext>
          </c:extLst>
        </c:ser>
        <c:dLbls>
          <c:showLegendKey val="0"/>
          <c:showVal val="0"/>
          <c:showCatName val="0"/>
          <c:showSerName val="0"/>
          <c:showPercent val="1"/>
          <c:showBubbleSize val="0"/>
          <c:showLeaderLines val="1"/>
        </c:dLbls>
        <c:firstSliceAng val="0"/>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Share</a:t>
            </a:r>
            <a:r>
              <a:rPr lang="en-IN" baseline="0"/>
              <a:t> of Total Production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242377515310586"/>
          <c:y val="0.16850746005742567"/>
          <c:w val="0.34319116360454943"/>
          <c:h val="0.6909889200091599"/>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53-4486-9CC9-ECA9F66EA0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53-4486-9CC9-ECA9F66EA0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'Company Overview'!$E$25:$E$26</c:f>
              <c:strCache>
                <c:ptCount val="2"/>
                <c:pt idx="0">
                  <c:v>Maruti</c:v>
                </c:pt>
                <c:pt idx="1">
                  <c:v>Rest of India</c:v>
                </c:pt>
              </c:strCache>
            </c:strRef>
          </c:cat>
          <c:val>
            <c:numRef>
              <c:f>'Company Overview'!$G$25:$G$26</c:f>
              <c:numCache>
                <c:formatCode>0%</c:formatCode>
                <c:ptCount val="2"/>
                <c:pt idx="0">
                  <c:v>0.82507288629737618</c:v>
                </c:pt>
                <c:pt idx="1">
                  <c:v>0.17492711370262382</c:v>
                </c:pt>
              </c:numCache>
            </c:numRef>
          </c:val>
          <c:extLst>
            <c:ext xmlns:c16="http://schemas.microsoft.com/office/drawing/2014/chart" uri="{C3380CC4-5D6E-409C-BE32-E72D297353CC}">
              <c16:uniqueId val="{00000000-D885-48A9-A9F5-3C7B12B6258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2762214070422209E-2"/>
          <c:y val="0.28802876480541456"/>
          <c:w val="0.95003699463383084"/>
          <c:h val="0.61383981507387719"/>
        </c:manualLayout>
      </c:layout>
      <c:barChart>
        <c:barDir val="col"/>
        <c:grouping val="clustered"/>
        <c:varyColors val="0"/>
        <c:ser>
          <c:idx val="0"/>
          <c:order val="0"/>
          <c:tx>
            <c:strRef>
              <c:f>'Sector Overview'!$I$2</c:f>
              <c:strCache>
                <c:ptCount val="1"/>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'Sector Overview'!$H$3:$H$6</c:f>
              <c:strCache>
                <c:ptCount val="4"/>
                <c:pt idx="0">
                  <c:v>FY17</c:v>
                </c:pt>
                <c:pt idx="1">
                  <c:v>FY18</c:v>
                </c:pt>
                <c:pt idx="2">
                  <c:v>FY19</c:v>
                </c:pt>
                <c:pt idx="3">
                  <c:v>FY20</c:v>
                </c:pt>
              </c:strCache>
            </c:strRef>
          </c:cat>
          <c:val>
            <c:numRef>
              <c:f>'Sector Overview'!$I$3:$I$6</c:f>
              <c:numCache>
                <c:formatCode>_(* #,##0.00_);_(* \(#,##0.00\);_(* "-"??_);_(@_)</c:formatCode>
                <c:ptCount val="4"/>
                <c:pt idx="0">
                  <c:v>25.33</c:v>
                </c:pt>
                <c:pt idx="1">
                  <c:v>29.07</c:v>
                </c:pt>
                <c:pt idx="2">
                  <c:v>30.92</c:v>
                </c:pt>
                <c:pt idx="3">
                  <c:v>26.36</c:v>
                </c:pt>
              </c:numCache>
            </c:numRef>
          </c:val>
          <c:extLst>
            <c:ext xmlns:c16="http://schemas.microsoft.com/office/drawing/2014/chart" uri="{C3380CC4-5D6E-409C-BE32-E72D297353CC}">
              <c16:uniqueId val="{00000000-AFC5-4BC4-8F3F-43657CAACBC2}"/>
            </c:ext>
          </c:extLst>
        </c:ser>
        <c:dLbls>
          <c:dLblPos val="outEnd"/>
          <c:showLegendKey val="0"/>
          <c:showVal val="1"/>
          <c:showCatName val="0"/>
          <c:showSerName val="0"/>
          <c:showPercent val="0"/>
          <c:showBubbleSize val="0"/>
        </c:dLbls>
        <c:gapWidth val="219"/>
        <c:overlap val="-27"/>
        <c:axId val="566315576"/>
        <c:axId val="566314592"/>
      </c:barChart>
      <c:catAx>
        <c:axId val="566315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66314592"/>
        <c:crosses val="autoZero"/>
        <c:auto val="1"/>
        <c:lblAlgn val="ctr"/>
        <c:lblOffset val="100"/>
        <c:noMultiLvlLbl val="0"/>
      </c:catAx>
      <c:valAx>
        <c:axId val="566314592"/>
        <c:scaling>
          <c:orientation val="minMax"/>
        </c:scaling>
        <c:delete val="1"/>
        <c:axPos val="l"/>
        <c:numFmt formatCode="_(* #,##0.00_);_(* \(#,##0.00\);_(* &quot;-&quot;??_);_(@_)" sourceLinked="1"/>
        <c:majorTickMark val="out"/>
        <c:minorTickMark val="none"/>
        <c:tickLblPos val="nextTo"/>
        <c:crossAx val="566315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Sector Composition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3E-4025-A4C2-EF0AAC06CB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3E-4025-A4C2-EF0AAC06CB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3E-4025-A4C2-EF0AAC06CB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13E-4025-A4C2-EF0AAC06CB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Overview'!$C$23:$C$26</c:f>
              <c:strCache>
                <c:ptCount val="4"/>
                <c:pt idx="0">
                  <c:v>Passenger</c:v>
                </c:pt>
                <c:pt idx="1">
                  <c:v>Commercial</c:v>
                </c:pt>
                <c:pt idx="2">
                  <c:v>Three Wheelers</c:v>
                </c:pt>
                <c:pt idx="3">
                  <c:v>Two Wheelers</c:v>
                </c:pt>
              </c:strCache>
            </c:strRef>
          </c:cat>
          <c:val>
            <c:numRef>
              <c:f>'Sector Overview'!$D$23:$D$26</c:f>
              <c:numCache>
                <c:formatCode>General</c:formatCode>
                <c:ptCount val="4"/>
                <c:pt idx="0">
                  <c:v>12.9</c:v>
                </c:pt>
                <c:pt idx="1">
                  <c:v>3.3</c:v>
                </c:pt>
                <c:pt idx="2">
                  <c:v>3</c:v>
                </c:pt>
                <c:pt idx="3">
                  <c:v>80.8</c:v>
                </c:pt>
              </c:numCache>
            </c:numRef>
          </c:val>
          <c:extLst>
            <c:ext xmlns:c16="http://schemas.microsoft.com/office/drawing/2014/chart" uri="{C3380CC4-5D6E-409C-BE32-E72D297353CC}">
              <c16:uniqueId val="{00000000-340F-47BB-B677-2A717ACF725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World's</a:t>
            </a:r>
            <a:r>
              <a:rPr lang="en-IN" b="1" baseline="0">
                <a:solidFill>
                  <a:schemeClr val="tx1"/>
                </a:solidFill>
              </a:rPr>
              <a:t> Leading Passenger Vehicle Manufacturers </a:t>
            </a:r>
          </a:p>
          <a:p>
            <a:pPr>
              <a:defRPr/>
            </a:pPr>
            <a:r>
              <a:rPr lang="en-IN" b="1" baseline="0">
                <a:solidFill>
                  <a:schemeClr val="tx1"/>
                </a:solidFill>
              </a:rPr>
              <a:t>(in millions units)</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610441767068273E-2"/>
          <c:y val="0.20241935483870968"/>
          <c:w val="0.94477911646586343"/>
          <c:h val="0.6623507747015493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'Sector Overview'!$B$3:$B$12</c:f>
              <c:strCache>
                <c:ptCount val="10"/>
                <c:pt idx="0">
                  <c:v>China</c:v>
                </c:pt>
                <c:pt idx="1">
                  <c:v>Japan</c:v>
                </c:pt>
                <c:pt idx="2">
                  <c:v>Germany</c:v>
                </c:pt>
                <c:pt idx="3">
                  <c:v>India</c:v>
                </c:pt>
                <c:pt idx="4">
                  <c:v>South Korea</c:v>
                </c:pt>
                <c:pt idx="5">
                  <c:v>US</c:v>
                </c:pt>
                <c:pt idx="6">
                  <c:v>Spain</c:v>
                </c:pt>
                <c:pt idx="7">
                  <c:v>Brazil</c:v>
                </c:pt>
                <c:pt idx="8">
                  <c:v>France</c:v>
                </c:pt>
                <c:pt idx="9">
                  <c:v>Russia</c:v>
                </c:pt>
              </c:strCache>
            </c:strRef>
          </c:cat>
          <c:val>
            <c:numRef>
              <c:f>'Sector Overview'!$C$3:$C$12</c:f>
              <c:numCache>
                <c:formatCode>General</c:formatCode>
                <c:ptCount val="10"/>
                <c:pt idx="0">
                  <c:v>21.36</c:v>
                </c:pt>
                <c:pt idx="1">
                  <c:v>8.33</c:v>
                </c:pt>
                <c:pt idx="2">
                  <c:v>4.66</c:v>
                </c:pt>
                <c:pt idx="3">
                  <c:v>3.62</c:v>
                </c:pt>
                <c:pt idx="4">
                  <c:v>3.61</c:v>
                </c:pt>
                <c:pt idx="5">
                  <c:v>2.5099999999999998</c:v>
                </c:pt>
                <c:pt idx="6">
                  <c:v>2.48</c:v>
                </c:pt>
                <c:pt idx="7">
                  <c:v>2.4500000000000002</c:v>
                </c:pt>
                <c:pt idx="8">
                  <c:v>1.68</c:v>
                </c:pt>
                <c:pt idx="9">
                  <c:v>1.52</c:v>
                </c:pt>
              </c:numCache>
            </c:numRef>
          </c:val>
          <c:extLst>
            <c:ext xmlns:c16="http://schemas.microsoft.com/office/drawing/2014/chart" uri="{C3380CC4-5D6E-409C-BE32-E72D297353CC}">
              <c16:uniqueId val="{00000000-237E-42E0-B223-1543C0683D18}"/>
            </c:ext>
          </c:extLst>
        </c:ser>
        <c:dLbls>
          <c:dLblPos val="outEnd"/>
          <c:showLegendKey val="0"/>
          <c:showVal val="1"/>
          <c:showCatName val="0"/>
          <c:showSerName val="0"/>
          <c:showPercent val="0"/>
          <c:showBubbleSize val="0"/>
        </c:dLbls>
        <c:gapWidth val="219"/>
        <c:overlap val="-27"/>
        <c:axId val="566289008"/>
        <c:axId val="566290976"/>
      </c:barChart>
      <c:catAx>
        <c:axId val="56628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66290976"/>
        <c:crosses val="autoZero"/>
        <c:auto val="1"/>
        <c:lblAlgn val="ctr"/>
        <c:lblOffset val="100"/>
        <c:noMultiLvlLbl val="0"/>
      </c:catAx>
      <c:valAx>
        <c:axId val="566290976"/>
        <c:scaling>
          <c:orientation val="minMax"/>
        </c:scaling>
        <c:delete val="1"/>
        <c:axPos val="l"/>
        <c:numFmt formatCode="General" sourceLinked="1"/>
        <c:majorTickMark val="none"/>
        <c:minorTickMark val="none"/>
        <c:tickLblPos val="nextTo"/>
        <c:crossAx val="56628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Demand of Passenger Vehicle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'Sector Overview'!$K$22:$K$26</c:f>
              <c:numCache>
                <c:formatCode>General</c:formatCode>
                <c:ptCount val="5"/>
                <c:pt idx="0">
                  <c:v>2012</c:v>
                </c:pt>
                <c:pt idx="1">
                  <c:v>2014</c:v>
                </c:pt>
                <c:pt idx="2">
                  <c:v>2016</c:v>
                </c:pt>
                <c:pt idx="3">
                  <c:v>2018</c:v>
                </c:pt>
                <c:pt idx="4">
                  <c:v>2026</c:v>
                </c:pt>
              </c:numCache>
            </c:numRef>
          </c:val>
          <c:extLst>
            <c:ext xmlns:c16="http://schemas.microsoft.com/office/drawing/2014/chart" uri="{C3380CC4-5D6E-409C-BE32-E72D297353CC}">
              <c16:uniqueId val="{00000000-8A7B-4B25-92F4-60865EC1FC3A}"/>
            </c:ext>
          </c:extLst>
        </c:ser>
        <c:dLbls>
          <c:showLegendKey val="0"/>
          <c:showVal val="0"/>
          <c:showCatName val="0"/>
          <c:showSerName val="0"/>
          <c:showPercent val="0"/>
          <c:showBubbleSize val="0"/>
        </c:dLbls>
        <c:gapWidth val="219"/>
        <c:overlap val="-27"/>
        <c:axId val="599649624"/>
        <c:axId val="599657824"/>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'Sector Overview'!$L$22:$L$26</c15:sqref>
                        </c15:formulaRef>
                      </c:ext>
                    </c:extLst>
                    <c:numCache>
                      <c:formatCode>General</c:formatCode>
                      <c:ptCount val="5"/>
                      <c:pt idx="0">
                        <c:v>2.6</c:v>
                      </c:pt>
                      <c:pt idx="1">
                        <c:v>2.5</c:v>
                      </c:pt>
                      <c:pt idx="2">
                        <c:v>2.8</c:v>
                      </c:pt>
                      <c:pt idx="3">
                        <c:v>3.3</c:v>
                      </c:pt>
                      <c:pt idx="4">
                        <c:v>3.63</c:v>
                      </c:pt>
                    </c:numCache>
                  </c:numRef>
                </c:val>
                <c:extLst>
                  <c:ext xmlns:c16="http://schemas.microsoft.com/office/drawing/2014/chart" uri="{C3380CC4-5D6E-409C-BE32-E72D297353CC}">
                    <c16:uniqueId val="{00000001-8A7B-4B25-92F4-60865EC1FC3A}"/>
                  </c:ext>
                </c:extLst>
              </c15:ser>
            </c15:filteredBarSeries>
          </c:ext>
        </c:extLst>
      </c:barChart>
      <c:catAx>
        <c:axId val="599649624"/>
        <c:scaling>
          <c:orientation val="minMax"/>
        </c:scaling>
        <c:delete val="1"/>
        <c:axPos val="b"/>
        <c:majorTickMark val="none"/>
        <c:minorTickMark val="none"/>
        <c:tickLblPos val="nextTo"/>
        <c:crossAx val="599657824"/>
        <c:crosses val="autoZero"/>
        <c:auto val="1"/>
        <c:lblAlgn val="ctr"/>
        <c:lblOffset val="100"/>
        <c:noMultiLvlLbl val="0"/>
      </c:catAx>
      <c:valAx>
        <c:axId val="599657824"/>
        <c:scaling>
          <c:orientation val="minMax"/>
        </c:scaling>
        <c:delete val="1"/>
        <c:axPos val="l"/>
        <c:numFmt formatCode="General" sourceLinked="1"/>
        <c:majorTickMark val="none"/>
        <c:minorTickMark val="none"/>
        <c:tickLblPos val="nextTo"/>
        <c:crossAx val="599649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India's GDP Growth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3.6111111111111108E-2"/>
          <c:y val="0.19486111111111112"/>
          <c:w val="0.93888888888888888"/>
          <c:h val="0.72088764946048411"/>
        </c:manualLayout>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'Sector Overview'!$C$44:$C$48</c:f>
              <c:strCache>
                <c:ptCount val="5"/>
                <c:pt idx="0">
                  <c:v>FY16</c:v>
                </c:pt>
                <c:pt idx="1">
                  <c:v>FY17</c:v>
                </c:pt>
                <c:pt idx="2">
                  <c:v>FY18</c:v>
                </c:pt>
                <c:pt idx="3">
                  <c:v>FY19</c:v>
                </c:pt>
                <c:pt idx="4">
                  <c:v>FY20</c:v>
                </c:pt>
              </c:strCache>
            </c:strRef>
          </c:cat>
          <c:val>
            <c:numRef>
              <c:f>'Sector Overview'!$D$44:$D$48</c:f>
              <c:numCache>
                <c:formatCode>0.00%</c:formatCode>
                <c:ptCount val="5"/>
                <c:pt idx="0">
                  <c:v>0.08</c:v>
                </c:pt>
                <c:pt idx="1">
                  <c:v>8.3000000000000004E-2</c:v>
                </c:pt>
                <c:pt idx="2">
                  <c:v>7.0000000000000007E-2</c:v>
                </c:pt>
                <c:pt idx="3">
                  <c:v>6.0999999999999999E-2</c:v>
                </c:pt>
                <c:pt idx="4">
                  <c:v>0.05</c:v>
                </c:pt>
              </c:numCache>
            </c:numRef>
          </c:val>
          <c:smooth val="0"/>
          <c:extLst>
            <c:ext xmlns:c16="http://schemas.microsoft.com/office/drawing/2014/chart" uri="{C3380CC4-5D6E-409C-BE32-E72D297353CC}">
              <c16:uniqueId val="{00000000-BCE8-4C18-BFF4-75A6D511FA76}"/>
            </c:ext>
          </c:extLst>
        </c:ser>
        <c:dLbls>
          <c:dLblPos val="t"/>
          <c:showLegendKey val="0"/>
          <c:showVal val="1"/>
          <c:showCatName val="0"/>
          <c:showSerName val="0"/>
          <c:showPercent val="0"/>
          <c:showBubbleSize val="0"/>
        </c:dLbls>
        <c:smooth val="0"/>
        <c:axId val="606768608"/>
        <c:axId val="606765328"/>
      </c:lineChart>
      <c:catAx>
        <c:axId val="606768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6765328"/>
        <c:crosses val="autoZero"/>
        <c:auto val="1"/>
        <c:lblAlgn val="ctr"/>
        <c:lblOffset val="100"/>
        <c:noMultiLvlLbl val="0"/>
      </c:catAx>
      <c:valAx>
        <c:axId val="606765328"/>
        <c:scaling>
          <c:orientation val="minMax"/>
        </c:scaling>
        <c:delete val="1"/>
        <c:axPos val="l"/>
        <c:numFmt formatCode="0.00%" sourceLinked="1"/>
        <c:majorTickMark val="none"/>
        <c:minorTickMark val="none"/>
        <c:tickLblPos val="nextTo"/>
        <c:crossAx val="606768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Growth</a:t>
            </a:r>
            <a:r>
              <a:rPr lang="en-IN" b="1" baseline="0">
                <a:solidFill>
                  <a:schemeClr val="tx1"/>
                </a:solidFill>
              </a:rPr>
              <a:t> of Passenger Vehicle</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'Sector Overview'!$I$41:$I$45</c:f>
              <c:strCache>
                <c:ptCount val="5"/>
                <c:pt idx="0">
                  <c:v>FY16</c:v>
                </c:pt>
                <c:pt idx="1">
                  <c:v>FY17</c:v>
                </c:pt>
                <c:pt idx="2">
                  <c:v>FY18</c:v>
                </c:pt>
                <c:pt idx="3">
                  <c:v>FY19</c:v>
                </c:pt>
                <c:pt idx="4">
                  <c:v>FY20</c:v>
                </c:pt>
              </c:strCache>
            </c:strRef>
          </c:cat>
          <c:val>
            <c:numRef>
              <c:f>'Sector Overview'!$J$41:$J$45</c:f>
              <c:numCache>
                <c:formatCode>0.00%</c:formatCode>
                <c:ptCount val="5"/>
                <c:pt idx="0">
                  <c:v>7.2000000000000008E-2</c:v>
                </c:pt>
                <c:pt idx="1">
                  <c:v>9.1999999999999998E-2</c:v>
                </c:pt>
                <c:pt idx="2">
                  <c:v>7.9000000000000001E-2</c:v>
                </c:pt>
                <c:pt idx="3">
                  <c:v>2.7E-2</c:v>
                </c:pt>
                <c:pt idx="4">
                  <c:v>-0.17899999999999999</c:v>
                </c:pt>
              </c:numCache>
            </c:numRef>
          </c:val>
          <c:smooth val="0"/>
          <c:extLst>
            <c:ext xmlns:c16="http://schemas.microsoft.com/office/drawing/2014/chart" uri="{C3380CC4-5D6E-409C-BE32-E72D297353CC}">
              <c16:uniqueId val="{00000000-D816-458B-8C54-677D0C8EE9AA}"/>
            </c:ext>
          </c:extLst>
        </c:ser>
        <c:dLbls>
          <c:dLblPos val="t"/>
          <c:showLegendKey val="0"/>
          <c:showVal val="1"/>
          <c:showCatName val="0"/>
          <c:showSerName val="0"/>
          <c:showPercent val="0"/>
          <c:showBubbleSize val="0"/>
        </c:dLbls>
        <c:smooth val="0"/>
        <c:axId val="609953840"/>
        <c:axId val="609952856"/>
      </c:lineChart>
      <c:catAx>
        <c:axId val="60995384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9952856"/>
        <c:crosses val="autoZero"/>
        <c:auto val="1"/>
        <c:lblAlgn val="ctr"/>
        <c:lblOffset val="100"/>
        <c:noMultiLvlLbl val="0"/>
      </c:catAx>
      <c:valAx>
        <c:axId val="609952856"/>
        <c:scaling>
          <c:orientation val="minMax"/>
        </c:scaling>
        <c:delete val="1"/>
        <c:axPos val="l"/>
        <c:numFmt formatCode="0.00%" sourceLinked="1"/>
        <c:majorTickMark val="none"/>
        <c:minorTickMark val="none"/>
        <c:tickLblPos val="nextTo"/>
        <c:crossAx val="60995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Football Field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Dashboard!$B$44</c:f>
              <c:strCache>
                <c:ptCount val="1"/>
                <c:pt idx="0">
                  <c:v>Min </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Dashboard!$A$45:$A$50</c:f>
              <c:strCache>
                <c:ptCount val="6"/>
                <c:pt idx="0">
                  <c:v>52W High-Low</c:v>
                </c:pt>
                <c:pt idx="1">
                  <c:v>EV/Sales</c:v>
                </c:pt>
                <c:pt idx="2">
                  <c:v>EV/EBITDA</c:v>
                </c:pt>
                <c:pt idx="3">
                  <c:v>P/E Multiple</c:v>
                </c:pt>
                <c:pt idx="4">
                  <c:v>P/S</c:v>
                </c:pt>
                <c:pt idx="5">
                  <c:v>P/B</c:v>
                </c:pt>
              </c:strCache>
            </c:strRef>
          </c:cat>
          <c:val>
            <c:numRef>
              <c:f>Dashboard!$B$45:$B$50</c:f>
              <c:numCache>
                <c:formatCode>_(* #,##0_);_(* \(#,##0\);_(* "-"??_);_(@_)</c:formatCode>
                <c:ptCount val="6"/>
                <c:pt idx="0">
                  <c:v>4002</c:v>
                </c:pt>
                <c:pt idx="1">
                  <c:v>1893.51774711079</c:v>
                </c:pt>
                <c:pt idx="2">
                  <c:v>3034.14592673674</c:v>
                </c:pt>
                <c:pt idx="3">
                  <c:v>6660.50924144289</c:v>
                </c:pt>
                <c:pt idx="4">
                  <c:v>2166.036490270712</c:v>
                </c:pt>
                <c:pt idx="5">
                  <c:v>3250.2220532171564</c:v>
                </c:pt>
              </c:numCache>
            </c:numRef>
          </c:val>
          <c:extLst>
            <c:ext xmlns:c16="http://schemas.microsoft.com/office/drawing/2014/chart" uri="{C3380CC4-5D6E-409C-BE32-E72D297353CC}">
              <c16:uniqueId val="{00000000-D5DB-4CEA-90A9-46D692C2FC37}"/>
            </c:ext>
          </c:extLst>
        </c:ser>
        <c:ser>
          <c:idx val="1"/>
          <c:order val="1"/>
          <c:tx>
            <c:strRef>
              <c:f>Dashboard!$C$44</c:f>
              <c:strCache>
                <c:ptCount val="1"/>
                <c:pt idx="0">
                  <c:v>Difference</c:v>
                </c:pt>
              </c:strCache>
            </c:strRef>
          </c:tx>
          <c:spPr>
            <a:solidFill>
              <a:schemeClr val="accent2"/>
            </a:solidFill>
            <a:ln>
              <a:noFill/>
            </a:ln>
            <a:effectLst/>
          </c:spPr>
          <c:invertIfNegative val="0"/>
          <c:cat>
            <c:strRef>
              <c:f>Dashboard!$A$45:$A$50</c:f>
              <c:strCache>
                <c:ptCount val="6"/>
                <c:pt idx="0">
                  <c:v>52W High-Low</c:v>
                </c:pt>
                <c:pt idx="1">
                  <c:v>EV/Sales</c:v>
                </c:pt>
                <c:pt idx="2">
                  <c:v>EV/EBITDA</c:v>
                </c:pt>
                <c:pt idx="3">
                  <c:v>P/E Multiple</c:v>
                </c:pt>
                <c:pt idx="4">
                  <c:v>P/S</c:v>
                </c:pt>
                <c:pt idx="5">
                  <c:v>P/B</c:v>
                </c:pt>
              </c:strCache>
            </c:strRef>
          </c:cat>
          <c:val>
            <c:numRef>
              <c:f>Dashboard!$C$45:$C$50</c:f>
              <c:numCache>
                <c:formatCode>_(* #,##0_);_(* \(#,##0\);_(* "-"??_);_(@_)</c:formatCode>
                <c:ptCount val="6"/>
                <c:pt idx="0">
                  <c:v>3753</c:v>
                </c:pt>
                <c:pt idx="1">
                  <c:v>1127.0855402542375</c:v>
                </c:pt>
                <c:pt idx="2">
                  <c:v>738.22719314041751</c:v>
                </c:pt>
                <c:pt idx="3">
                  <c:v>379.86638241839228</c:v>
                </c:pt>
                <c:pt idx="4">
                  <c:v>1127.0855402542379</c:v>
                </c:pt>
                <c:pt idx="5">
                  <c:v>1163.2328161416949</c:v>
                </c:pt>
              </c:numCache>
            </c:numRef>
          </c:val>
          <c:extLst>
            <c:ext xmlns:c16="http://schemas.microsoft.com/office/drawing/2014/chart" uri="{C3380CC4-5D6E-409C-BE32-E72D297353CC}">
              <c16:uniqueId val="{00000001-D5DB-4CEA-90A9-46D692C2FC37}"/>
            </c:ext>
          </c:extLst>
        </c:ser>
        <c:ser>
          <c:idx val="2"/>
          <c:order val="2"/>
          <c:tx>
            <c:strRef>
              <c:f>Dashboard!$D$44</c:f>
              <c:strCache>
                <c:ptCount val="1"/>
                <c:pt idx="0">
                  <c:v>Max</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Dashboard!$A$45:$A$50</c:f>
              <c:strCache>
                <c:ptCount val="6"/>
                <c:pt idx="0">
                  <c:v>52W High-Low</c:v>
                </c:pt>
                <c:pt idx="1">
                  <c:v>EV/Sales</c:v>
                </c:pt>
                <c:pt idx="2">
                  <c:v>EV/EBITDA</c:v>
                </c:pt>
                <c:pt idx="3">
                  <c:v>P/E Multiple</c:v>
                </c:pt>
                <c:pt idx="4">
                  <c:v>P/S</c:v>
                </c:pt>
                <c:pt idx="5">
                  <c:v>P/B</c:v>
                </c:pt>
              </c:strCache>
            </c:strRef>
          </c:cat>
          <c:val>
            <c:numRef>
              <c:f>Dashboard!$D$45:$D$50</c:f>
              <c:numCache>
                <c:formatCode>_(* #,##0_);_(* \(#,##0\);_(* "-"??_);_(@_)</c:formatCode>
                <c:ptCount val="6"/>
                <c:pt idx="0" formatCode="General">
                  <c:v>7755</c:v>
                </c:pt>
                <c:pt idx="1">
                  <c:v>3020.6032873650274</c:v>
                </c:pt>
                <c:pt idx="2">
                  <c:v>3772.3731198771575</c:v>
                </c:pt>
                <c:pt idx="3">
                  <c:v>7040.3756238612823</c:v>
                </c:pt>
                <c:pt idx="4">
                  <c:v>3293.1220305249499</c:v>
                </c:pt>
                <c:pt idx="5">
                  <c:v>4413.4548693588513</c:v>
                </c:pt>
              </c:numCache>
            </c:numRef>
          </c:val>
          <c:extLst>
            <c:ext xmlns:c16="http://schemas.microsoft.com/office/drawing/2014/chart" uri="{C3380CC4-5D6E-409C-BE32-E72D297353CC}">
              <c16:uniqueId val="{00000002-D5DB-4CEA-90A9-46D692C2FC37}"/>
            </c:ext>
          </c:extLst>
        </c:ser>
        <c:dLbls>
          <c:showLegendKey val="0"/>
          <c:showVal val="0"/>
          <c:showCatName val="0"/>
          <c:showSerName val="0"/>
          <c:showPercent val="0"/>
          <c:showBubbleSize val="0"/>
        </c:dLbls>
        <c:gapWidth val="150"/>
        <c:overlap val="100"/>
        <c:axId val="1043558368"/>
        <c:axId val="1043557384"/>
      </c:barChart>
      <c:catAx>
        <c:axId val="1043558368"/>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43557384"/>
        <c:crossesAt val="4633"/>
        <c:auto val="1"/>
        <c:lblAlgn val="ctr"/>
        <c:lblOffset val="100"/>
        <c:noMultiLvlLbl val="0"/>
      </c:catAx>
      <c:valAx>
        <c:axId val="1043557384"/>
        <c:scaling>
          <c:orientation val="minMax"/>
          <c:max val="10000"/>
          <c:min val="500"/>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4355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Sales</a:t>
            </a:r>
            <a:r>
              <a:rPr lang="en-IN" b="1" baseline="0">
                <a:solidFill>
                  <a:schemeClr val="tx1"/>
                </a:solidFill>
              </a:rPr>
              <a:t> Growth</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Dashboard!$I$10:$I$15</c:f>
              <c:strCache>
                <c:ptCount val="6"/>
                <c:pt idx="0">
                  <c:v>FY18</c:v>
                </c:pt>
                <c:pt idx="1">
                  <c:v>FY19</c:v>
                </c:pt>
                <c:pt idx="2">
                  <c:v>FY20</c:v>
                </c:pt>
                <c:pt idx="3">
                  <c:v>FY21</c:v>
                </c:pt>
                <c:pt idx="4">
                  <c:v>FY22</c:v>
                </c:pt>
                <c:pt idx="5">
                  <c:v>FY23</c:v>
                </c:pt>
              </c:strCache>
            </c:strRef>
          </c:cat>
          <c:val>
            <c:numRef>
              <c:f>Dashboard!$J$10:$J$15</c:f>
              <c:numCache>
                <c:formatCode>_(* #,##0.00_);_(* \(#,##0.00\);_(* "-"??_);_(@_)</c:formatCode>
                <c:ptCount val="6"/>
                <c:pt idx="0">
                  <c:v>1.779574</c:v>
                </c:pt>
                <c:pt idx="1">
                  <c:v>1.862449</c:v>
                </c:pt>
                <c:pt idx="2">
                  <c:v>1.5632969999999999</c:v>
                </c:pt>
                <c:pt idx="3">
                  <c:v>1.4069673</c:v>
                </c:pt>
                <c:pt idx="4">
                  <c:v>1.655846473474927</c:v>
                </c:pt>
                <c:pt idx="5">
                  <c:v>1.9487500126828476</c:v>
                </c:pt>
              </c:numCache>
            </c:numRef>
          </c:val>
          <c:extLst>
            <c:ext xmlns:c16="http://schemas.microsoft.com/office/drawing/2014/chart" uri="{C3380CC4-5D6E-409C-BE32-E72D297353CC}">
              <c16:uniqueId val="{00000000-45A5-4548-AEB5-6B7D8542DC73}"/>
            </c:ext>
          </c:extLst>
        </c:ser>
        <c:dLbls>
          <c:dLblPos val="outEnd"/>
          <c:showLegendKey val="0"/>
          <c:showVal val="1"/>
          <c:showCatName val="0"/>
          <c:showSerName val="0"/>
          <c:showPercent val="0"/>
          <c:showBubbleSize val="0"/>
        </c:dLbls>
        <c:gapWidth val="219"/>
        <c:overlap val="-27"/>
        <c:axId val="1043581328"/>
        <c:axId val="1043582312"/>
      </c:barChart>
      <c:catAx>
        <c:axId val="104358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43582312"/>
        <c:crosses val="autoZero"/>
        <c:auto val="1"/>
        <c:lblAlgn val="ctr"/>
        <c:lblOffset val="100"/>
        <c:noMultiLvlLbl val="0"/>
      </c:catAx>
      <c:valAx>
        <c:axId val="104358231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tx1"/>
                    </a:solidFill>
                  </a:rPr>
                  <a:t>Units</a:t>
                </a:r>
                <a:r>
                  <a:rPr lang="en-IN" b="1" baseline="0">
                    <a:solidFill>
                      <a:schemeClr val="tx1"/>
                    </a:solidFill>
                  </a:rPr>
                  <a:t> Sold Per Annum</a:t>
                </a:r>
                <a:endParaRPr lang="en-IN"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crossAx val="104358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B$2" fmlaRange="$G$2:$G$4" noThreeD="1" sel="1" val="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20</xdr:row>
      <xdr:rowOff>76200</xdr:rowOff>
    </xdr:from>
    <xdr:to>
      <xdr:col>3</xdr:col>
      <xdr:colOff>628649</xdr:colOff>
      <xdr:row>33</xdr:row>
      <xdr:rowOff>5717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1394460</xdr:colOff>
      <xdr:row>20</xdr:row>
      <xdr:rowOff>7620</xdr:rowOff>
    </xdr:from>
    <xdr:to>
      <xdr:col>8</xdr:col>
      <xdr:colOff>556260</xdr:colOff>
      <xdr:row>33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167640</xdr:rowOff>
    </xdr:from>
    <xdr:to>
      <xdr:col>14</xdr:col>
      <xdr:colOff>381000</xdr:colOff>
      <xdr:row>17</xdr:row>
      <xdr:rowOff>22860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457200</xdr:colOff>
      <xdr:row>19</xdr:row>
      <xdr:rowOff>45720</xdr:rowOff>
    </xdr:from>
    <xdr:to>
      <xdr:col>6</xdr:col>
      <xdr:colOff>15240</xdr:colOff>
      <xdr:row>34</xdr:row>
      <xdr:rowOff>160020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457200</xdr:colOff>
      <xdr:row>0</xdr:row>
      <xdr:rowOff>167640</xdr:rowOff>
    </xdr:from>
    <xdr:to>
      <xdr:col>6</xdr:col>
      <xdr:colOff>38100</xdr:colOff>
      <xdr:row>17</xdr:row>
      <xdr:rowOff>22860</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297180</xdr:colOff>
      <xdr:row>19</xdr:row>
      <xdr:rowOff>30480</xdr:rowOff>
    </xdr:from>
    <xdr:to>
      <xdr:col>14</xdr:col>
      <xdr:colOff>381000</xdr:colOff>
      <xdr:row>34</xdr:row>
      <xdr:rowOff>129540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22860</xdr:colOff>
      <xdr:row>21</xdr:row>
      <xdr:rowOff>60960</xdr:rowOff>
    </xdr:from>
    <xdr:to>
      <xdr:col>13</xdr:col>
      <xdr:colOff>365760</xdr:colOff>
      <xdr:row>26</xdr:row>
      <xdr:rowOff>45720</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flipV="1">
          <a:off x="9311640" y="3741420"/>
          <a:ext cx="967740" cy="8610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182880</xdr:colOff>
      <xdr:row>22</xdr:row>
      <xdr:rowOff>167640</xdr:rowOff>
    </xdr:from>
    <xdr:to>
      <xdr:col>13</xdr:col>
      <xdr:colOff>144780</xdr:colOff>
      <xdr:row>24</xdr:row>
      <xdr:rowOff>144780</xdr:rowOff>
    </xdr:to>
    <xdr:sp macro="" textlink="">
      <xdr:nvSpPr>
        <xdr:cNvPr id="9" name="Oval 8">
          <a:extLst>
            <a:ext uri="{FF2B5EF4-FFF2-40B4-BE49-F238E27FC236}">
              <a16:creationId xmlns:a16="http://schemas.microsoft.com/office/drawing/2014/main" id="{00000000-0008-0000-0100-000009000000}"/>
            </a:ext>
          </a:extLst>
        </xdr:cNvPr>
        <xdr:cNvSpPr/>
      </xdr:nvSpPr>
      <xdr:spPr>
        <a:xfrm rot="19298937">
          <a:off x="9471660" y="4023360"/>
          <a:ext cx="586740" cy="3276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259081</xdr:colOff>
      <xdr:row>22</xdr:row>
      <xdr:rowOff>167640</xdr:rowOff>
    </xdr:from>
    <xdr:to>
      <xdr:col>13</xdr:col>
      <xdr:colOff>137161</xdr:colOff>
      <xdr:row>24</xdr:row>
      <xdr:rowOff>114300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rot="19032949">
          <a:off x="9547861" y="4023360"/>
          <a:ext cx="502920" cy="29718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10%</a:t>
          </a:r>
        </a:p>
      </xdr:txBody>
    </xdr:sp>
    <xdr:clientData/>
  </xdr:twoCellAnchor>
  <xdr:twoCellAnchor>
    <xdr:from>
      <xdr:col>0</xdr:col>
      <xdr:colOff>480060</xdr:colOff>
      <xdr:row>36</xdr:row>
      <xdr:rowOff>152400</xdr:rowOff>
    </xdr:from>
    <xdr:to>
      <xdr:col>6</xdr:col>
      <xdr:colOff>22860</xdr:colOff>
      <xdr:row>52</xdr:row>
      <xdr:rowOff>91440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358140</xdr:colOff>
      <xdr:row>36</xdr:row>
      <xdr:rowOff>152400</xdr:rowOff>
    </xdr:from>
    <xdr:to>
      <xdr:col>14</xdr:col>
      <xdr:colOff>403860</xdr:colOff>
      <xdr:row>52</xdr:row>
      <xdr:rowOff>91440</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0.23333</cdr:x>
      <cdr:y>0.03333</cdr:y>
    </cdr:from>
    <cdr:to>
      <cdr:x>0.85905</cdr:x>
      <cdr:y>0.13889</cdr:y>
    </cdr:to>
    <cdr:sp macro="" textlink="">
      <cdr:nvSpPr>
        <cdr:cNvPr id="2" name="TextBox 1">
          <a:extLst xmlns:a="http://schemas.openxmlformats.org/drawingml/2006/main">
            <a:ext uri="{FF2B5EF4-FFF2-40B4-BE49-F238E27FC236}">
              <a16:creationId xmlns:a16="http://schemas.microsoft.com/office/drawing/2014/main" id="{0A7194C1-586B-4070-949C-77E3773A602C}"/>
            </a:ext>
          </a:extLst>
        </cdr:cNvPr>
        <cdr:cNvSpPr txBox="1"/>
      </cdr:nvSpPr>
      <cdr:spPr>
        <a:xfrm xmlns:a="http://schemas.openxmlformats.org/drawingml/2006/main">
          <a:off x="1198372" y="91440"/>
          <a:ext cx="3213608" cy="2895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b="1"/>
            <a:t>Number of Automobiles Produced</a:t>
          </a:r>
          <a:r>
            <a:rPr lang="en-IN" sz="1200" b="1" baseline="0"/>
            <a:t> ( in Milllions)</a:t>
          </a:r>
          <a:endParaRPr lang="en-IN" sz="1200" b="1"/>
        </a:p>
      </cdr:txBody>
    </cdr:sp>
  </cdr:relSizeAnchor>
  <cdr:relSizeAnchor xmlns:cdr="http://schemas.openxmlformats.org/drawingml/2006/chartDrawing">
    <cdr:from>
      <cdr:x>0.13056</cdr:x>
      <cdr:y>0.1802</cdr:y>
    </cdr:from>
    <cdr:to>
      <cdr:x>0.87389</cdr:x>
      <cdr:y>0.33756</cdr:y>
    </cdr:to>
    <cdr:cxnSp macro="">
      <cdr:nvCxnSpPr>
        <cdr:cNvPr id="4" name="Straight Arrow Connector 3">
          <a:extLst xmlns:a="http://schemas.openxmlformats.org/drawingml/2006/main">
            <a:ext uri="{FF2B5EF4-FFF2-40B4-BE49-F238E27FC236}">
              <a16:creationId xmlns:a16="http://schemas.microsoft.com/office/drawing/2014/main" id="{BCA789E1-8248-4C43-8344-A6CEA6592367}"/>
            </a:ext>
          </a:extLst>
        </cdr:cNvPr>
        <cdr:cNvCxnSpPr/>
      </cdr:nvCxnSpPr>
      <cdr:spPr>
        <a:xfrm xmlns:a="http://schemas.openxmlformats.org/drawingml/2006/main" flipV="1">
          <a:off x="670560" y="541020"/>
          <a:ext cx="3817620" cy="472440"/>
        </a:xfrm>
        <a:prstGeom xmlns:a="http://schemas.openxmlformats.org/drawingml/2006/main" prst="straightConnector1">
          <a:avLst/>
        </a:prstGeom>
        <a:ln xmlns:a="http://schemas.openxmlformats.org/drawingml/2006/main">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0.41635</cdr:x>
      <cdr:y>0.21485</cdr:y>
    </cdr:from>
    <cdr:to>
      <cdr:x>0.58156</cdr:x>
      <cdr:y>0.30227</cdr:y>
    </cdr:to>
    <cdr:sp macro="" textlink="">
      <cdr:nvSpPr>
        <cdr:cNvPr id="7" name="Oval 6">
          <a:extLst xmlns:a="http://schemas.openxmlformats.org/drawingml/2006/main">
            <a:ext uri="{FF2B5EF4-FFF2-40B4-BE49-F238E27FC236}">
              <a16:creationId xmlns:a16="http://schemas.microsoft.com/office/drawing/2014/main" id="{30F616FC-63D8-4409-88DC-11ADAE92436B}"/>
            </a:ext>
          </a:extLst>
        </cdr:cNvPr>
        <cdr:cNvSpPr/>
      </cdr:nvSpPr>
      <cdr:spPr>
        <a:xfrm xmlns:a="http://schemas.openxmlformats.org/drawingml/2006/main" rot="21234653">
          <a:off x="2138343" y="645051"/>
          <a:ext cx="848486" cy="262457"/>
        </a:xfrm>
        <a:prstGeom xmlns:a="http://schemas.openxmlformats.org/drawingml/2006/main" prst="ellipse">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0.44327</cdr:x>
      <cdr:y>0.20694</cdr:y>
    </cdr:from>
    <cdr:to>
      <cdr:x>0.59132</cdr:x>
      <cdr:y>0.28076</cdr:y>
    </cdr:to>
    <cdr:sp macro="" textlink="">
      <cdr:nvSpPr>
        <cdr:cNvPr id="8" name="TextBox 7">
          <a:extLst xmlns:a="http://schemas.openxmlformats.org/drawingml/2006/main">
            <a:ext uri="{FF2B5EF4-FFF2-40B4-BE49-F238E27FC236}">
              <a16:creationId xmlns:a16="http://schemas.microsoft.com/office/drawing/2014/main" id="{14A70E72-9BE4-4778-8F5D-A76D1F0362FA}"/>
            </a:ext>
          </a:extLst>
        </cdr:cNvPr>
        <cdr:cNvSpPr txBox="1"/>
      </cdr:nvSpPr>
      <cdr:spPr>
        <a:xfrm xmlns:a="http://schemas.openxmlformats.org/drawingml/2006/main" rot="21282898">
          <a:off x="2276587" y="621289"/>
          <a:ext cx="760377" cy="22163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300"/>
            <a:t>1.26%</a:t>
          </a:r>
        </a:p>
      </cdr:txBody>
    </cdr:sp>
  </cdr:relSizeAnchor>
  <cdr:relSizeAnchor xmlns:cdr="http://schemas.openxmlformats.org/drawingml/2006/chartDrawing">
    <cdr:from>
      <cdr:x>0.42395</cdr:x>
      <cdr:y>0.12296</cdr:y>
    </cdr:from>
    <cdr:to>
      <cdr:x>0.63542</cdr:x>
      <cdr:y>0.20926</cdr:y>
    </cdr:to>
    <cdr:sp macro="" textlink="">
      <cdr:nvSpPr>
        <cdr:cNvPr id="9" name="TextBox 8">
          <a:extLst xmlns:a="http://schemas.openxmlformats.org/drawingml/2006/main">
            <a:ext uri="{FF2B5EF4-FFF2-40B4-BE49-F238E27FC236}">
              <a16:creationId xmlns:a16="http://schemas.microsoft.com/office/drawing/2014/main" id="{4F74F55F-2882-401B-AD99-402A961A09AA}"/>
            </a:ext>
          </a:extLst>
        </cdr:cNvPr>
        <cdr:cNvSpPr txBox="1"/>
      </cdr:nvSpPr>
      <cdr:spPr>
        <a:xfrm xmlns:a="http://schemas.openxmlformats.org/drawingml/2006/main" rot="21291793">
          <a:off x="2177355" y="369171"/>
          <a:ext cx="1086103" cy="2590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300" b="1"/>
            <a:t>CAGR</a:t>
          </a:r>
        </a:p>
      </cdr:txBody>
    </cdr:sp>
  </cdr:relSizeAnchor>
</c:userShapes>
</file>

<file path=xl/drawings/drawing4.xml><?xml version="1.0" encoding="utf-8"?>
<c:userShapes xmlns:c="http://schemas.openxmlformats.org/drawingml/2006/chart">
  <cdr:relSizeAnchor xmlns:cdr="http://schemas.openxmlformats.org/drawingml/2006/chartDrawing">
    <cdr:from>
      <cdr:x>0.68148</cdr:x>
      <cdr:y>0.17877</cdr:y>
    </cdr:from>
    <cdr:to>
      <cdr:x>0.79259</cdr:x>
      <cdr:y>0.25978</cdr:y>
    </cdr:to>
    <cdr:sp macro="" textlink="">
      <cdr:nvSpPr>
        <cdr:cNvPr id="2" name="TextBox 1">
          <a:extLst xmlns:a="http://schemas.openxmlformats.org/drawingml/2006/main">
            <a:ext uri="{FF2B5EF4-FFF2-40B4-BE49-F238E27FC236}">
              <a16:creationId xmlns:a16="http://schemas.microsoft.com/office/drawing/2014/main" id="{0E89C480-3E31-47E0-83A7-8982A0A2F740}"/>
            </a:ext>
          </a:extLst>
        </cdr:cNvPr>
        <cdr:cNvSpPr txBox="1"/>
      </cdr:nvSpPr>
      <cdr:spPr>
        <a:xfrm xmlns:a="http://schemas.openxmlformats.org/drawingml/2006/main" rot="19168039">
          <a:off x="3505200" y="487680"/>
          <a:ext cx="571500" cy="2209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CAGR</a:t>
          </a:r>
        </a:p>
        <a:p xmlns:a="http://schemas.openxmlformats.org/drawingml/2006/main">
          <a:endParaRPr lang="en-IN" sz="1100"/>
        </a:p>
      </cdr:txBody>
    </cdr:sp>
  </cdr:relSizeAnchor>
</c:userShapes>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1440180</xdr:colOff>
          <xdr:row>0</xdr:row>
          <xdr:rowOff>175260</xdr:rowOff>
        </xdr:from>
        <xdr:to>
          <xdr:col>2</xdr:col>
          <xdr:colOff>220980</xdr:colOff>
          <xdr:row>2</xdr:row>
          <xdr:rowOff>30480</xdr:rowOff>
        </xdr:to>
        <xdr:sp macro="" textlink="">
          <xdr:nvSpPr>
            <xdr:cNvPr id="4101" name="Drop Down 5" hidden="1">
              <a:extLst>
                <a:ext uri="{63B3BB69-23CF-44E3-9099-C40C66FF867C}">
                  <a14:compatExt spid="_x0000_s4101"/>
                </a:ext>
                <a:ext uri="{FF2B5EF4-FFF2-40B4-BE49-F238E27FC236}">
                  <a16:creationId xmlns:a16="http://schemas.microsoft.com/office/drawing/2014/main" id="{00000000-0008-0000-0B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5</xdr:col>
      <xdr:colOff>152400</xdr:colOff>
      <xdr:row>37</xdr:row>
      <xdr:rowOff>174625</xdr:rowOff>
    </xdr:from>
    <xdr:to>
      <xdr:col>10</xdr:col>
      <xdr:colOff>463550</xdr:colOff>
      <xdr:row>53</xdr:row>
      <xdr:rowOff>73025</xdr:rowOff>
    </xdr:to>
    <xdr:graphicFrame macro="">
      <xdr:nvGraphicFramePr>
        <xdr:cNvPr id="3" name="Chart 2">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330200</xdr:colOff>
      <xdr:row>5</xdr:row>
      <xdr:rowOff>111125</xdr:rowOff>
    </xdr:from>
    <xdr:to>
      <xdr:col>13</xdr:col>
      <xdr:colOff>120650</xdr:colOff>
      <xdr:row>21</xdr:row>
      <xdr:rowOff>9525</xdr:rowOff>
    </xdr:to>
    <xdr:graphicFrame macro="">
      <xdr:nvGraphicFramePr>
        <xdr:cNvPr id="4" name="Chart 3">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image" Target="../media/image1.png"/></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image" Target="../media/image1.png"/></Relationships>
</file>

<file path=xl/worksheets/_rels/sheet8.xml.rels><?xml version="1.0" encoding="UTF-8" standalone="yes"?>
<Relationships xmlns="http://schemas.openxmlformats.org/package/2006/relationships"><Relationship Id="rId1" Type="http://schemas.openxmlformats.org/officeDocument/2006/relationships/image" Target="../media/image1.png"/></Relationships>
</file>

<file path=xl/worksheets/_rels/sheet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7.bin"/><Relationship Id="rId5" Type="http://schemas.openxmlformats.org/officeDocument/2006/relationships/ctrlProp" Target="../ctrlProps/ctrlProp1.xml"/><Relationship Id="rId4"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74"/>
  <sheetViews>
    <sheetView showGridLines="0" topLeftCell="C22" zoomScaleNormal="100" workbookViewId="0">
      <selection activeCell="R42" sqref="R42"/>
    </sheetView>
  </sheetViews>
  <sheetFormatPr defaultColWidth="9.109375" defaultRowHeight="13.8" x14ac:dyDescent="0.3"/>
  <cols>
    <col min="1" max="1" width="5.6640625" style="3" customWidth="1"/>
    <col min="2" max="2" width="44.6640625" style="3" bestFit="1" customWidth="1"/>
    <col min="3" max="3" width="21.77734375" style="3" customWidth="1"/>
    <col min="4" max="4" width="16.33203125" style="3" bestFit="1" customWidth="1"/>
    <col min="5" max="5" width="13.44140625" style="3" bestFit="1" customWidth="1"/>
    <col min="6" max="6" width="14.21875" style="3" customWidth="1"/>
    <col min="7" max="7" width="12.44140625" style="3" customWidth="1"/>
    <col min="8" max="8" width="13.21875" style="3" customWidth="1"/>
    <col min="9" max="9" width="12.21875" style="3" customWidth="1"/>
    <col min="10" max="19" width="9.109375" style="3"/>
    <col min="20" max="20" width="16.44140625" style="3" customWidth="1"/>
    <col min="21" max="21" width="10.5546875" style="3" customWidth="1"/>
    <col min="22" max="22" width="14.6640625" style="3" bestFit="1" customWidth="1"/>
    <col min="23" max="23" width="15" style="3" bestFit="1" customWidth="1"/>
    <col min="24" max="24" width="11.33203125" style="3" bestFit="1" customWidth="1"/>
    <col min="25" max="25" width="13.88671875" style="3" bestFit="1" customWidth="1"/>
    <col min="26" max="26" width="15" style="3" bestFit="1" customWidth="1"/>
    <col min="27" max="27" width="11.33203125" style="3" bestFit="1" customWidth="1"/>
    <col min="28" max="16384" width="9.109375" style="3"/>
  </cols>
  <sheetData>
    <row r="1" spans="1:28" ht="15" customHeight="1" x14ac:dyDescent="0.3">
      <c r="A1" s="265" t="s">
        <v>257</v>
      </c>
      <c r="B1" s="265"/>
      <c r="C1" s="265"/>
      <c r="D1" s="265"/>
      <c r="E1" s="265"/>
      <c r="F1" s="265"/>
    </row>
    <row r="2" spans="1:28" x14ac:dyDescent="0.3">
      <c r="A2" s="266"/>
      <c r="B2" s="266"/>
      <c r="C2" s="266"/>
      <c r="D2" s="266"/>
      <c r="E2" s="266"/>
      <c r="F2" s="266"/>
    </row>
    <row r="3" spans="1:28" x14ac:dyDescent="0.3">
      <c r="T3" s="198"/>
      <c r="U3" s="198"/>
      <c r="V3" s="198"/>
      <c r="W3" s="198"/>
      <c r="X3" s="198"/>
      <c r="Y3" s="198"/>
      <c r="Z3" s="198"/>
      <c r="AA3" s="198"/>
      <c r="AB3" s="198"/>
    </row>
    <row r="4" spans="1:28" x14ac:dyDescent="0.3">
      <c r="B4" s="267" t="s">
        <v>258</v>
      </c>
      <c r="C4" s="267"/>
      <c r="D4" s="267"/>
      <c r="E4" s="267"/>
      <c r="F4" s="267"/>
      <c r="T4" s="198"/>
      <c r="U4" s="198"/>
      <c r="V4" s="198"/>
      <c r="W4" s="198"/>
      <c r="X4" s="198"/>
      <c r="Y4" s="198"/>
      <c r="Z4" s="198"/>
      <c r="AA4" s="198"/>
      <c r="AB4" s="198"/>
    </row>
    <row r="5" spans="1:28" x14ac:dyDescent="0.3">
      <c r="B5" s="267"/>
      <c r="C5" s="267"/>
      <c r="D5" s="267"/>
      <c r="E5" s="267"/>
      <c r="F5" s="267"/>
      <c r="T5" s="198"/>
      <c r="U5" s="198"/>
      <c r="V5" s="198"/>
      <c r="W5" s="198"/>
      <c r="X5" s="198"/>
      <c r="Y5" s="198"/>
      <c r="Z5" s="198"/>
      <c r="AA5" s="198"/>
      <c r="AB5" s="198"/>
    </row>
    <row r="6" spans="1:28" x14ac:dyDescent="0.3">
      <c r="B6" s="267"/>
      <c r="C6" s="267"/>
      <c r="D6" s="267"/>
      <c r="E6" s="267"/>
      <c r="F6" s="267"/>
      <c r="T6" s="198"/>
      <c r="U6" s="198"/>
      <c r="V6" s="198"/>
      <c r="W6" s="198"/>
      <c r="X6" s="198"/>
      <c r="Y6" s="198"/>
      <c r="Z6" s="198"/>
      <c r="AA6" s="198"/>
      <c r="AB6" s="198"/>
    </row>
    <row r="7" spans="1:28" x14ac:dyDescent="0.3">
      <c r="B7" s="267"/>
      <c r="C7" s="267"/>
      <c r="D7" s="267"/>
      <c r="E7" s="267"/>
      <c r="F7" s="267"/>
      <c r="T7" s="198"/>
      <c r="U7" s="198"/>
      <c r="V7" s="198"/>
      <c r="W7" s="198"/>
      <c r="X7" s="198"/>
      <c r="Y7" s="198"/>
      <c r="Z7" s="198"/>
      <c r="AA7" s="198"/>
      <c r="AB7" s="198"/>
    </row>
    <row r="8" spans="1:28" x14ac:dyDescent="0.3">
      <c r="B8" s="267"/>
      <c r="C8" s="267"/>
      <c r="D8" s="267"/>
      <c r="E8" s="267"/>
      <c r="F8" s="267"/>
      <c r="T8" s="198"/>
      <c r="U8" s="198"/>
      <c r="V8" s="198"/>
      <c r="W8" s="198"/>
      <c r="X8" s="198"/>
      <c r="Y8" s="198"/>
      <c r="Z8" s="198"/>
      <c r="AA8" s="198"/>
      <c r="AB8" s="198"/>
    </row>
    <row r="9" spans="1:28" x14ac:dyDescent="0.3">
      <c r="B9" s="267"/>
      <c r="C9" s="267"/>
      <c r="D9" s="267"/>
      <c r="E9" s="267"/>
      <c r="F9" s="267"/>
      <c r="T9" s="198"/>
      <c r="U9" s="198"/>
      <c r="V9" s="198"/>
      <c r="W9" s="198"/>
      <c r="X9" s="198"/>
      <c r="Y9" s="198"/>
      <c r="Z9" s="198"/>
      <c r="AA9" s="198"/>
      <c r="AB9" s="198"/>
    </row>
    <row r="10" spans="1:28" x14ac:dyDescent="0.3">
      <c r="B10" s="267"/>
      <c r="C10" s="267"/>
      <c r="D10" s="267"/>
      <c r="E10" s="267"/>
      <c r="F10" s="267"/>
      <c r="T10" s="198"/>
      <c r="U10" s="198"/>
      <c r="V10" s="198"/>
      <c r="W10" s="198"/>
      <c r="X10" s="198"/>
      <c r="Y10" s="198"/>
      <c r="Z10" s="198"/>
      <c r="AA10" s="198"/>
      <c r="AB10" s="198"/>
    </row>
    <row r="11" spans="1:28" x14ac:dyDescent="0.3">
      <c r="B11" s="267"/>
      <c r="C11" s="267"/>
      <c r="D11" s="267"/>
      <c r="E11" s="267"/>
      <c r="F11" s="267"/>
      <c r="T11" s="198"/>
      <c r="U11" s="198"/>
      <c r="V11" s="198"/>
      <c r="W11" s="198"/>
      <c r="X11" s="198"/>
      <c r="Y11" s="198"/>
      <c r="Z11" s="198"/>
      <c r="AA11" s="198"/>
      <c r="AB11" s="198"/>
    </row>
    <row r="12" spans="1:28" x14ac:dyDescent="0.3">
      <c r="B12" s="267"/>
      <c r="C12" s="267"/>
      <c r="D12" s="267"/>
      <c r="E12" s="267"/>
      <c r="F12" s="267"/>
      <c r="T12" s="198"/>
      <c r="U12" s="198"/>
      <c r="V12" s="198"/>
      <c r="W12" s="198"/>
      <c r="X12" s="198"/>
      <c r="Y12" s="198"/>
      <c r="Z12" s="198"/>
      <c r="AA12" s="198"/>
      <c r="AB12" s="198"/>
    </row>
    <row r="13" spans="1:28" x14ac:dyDescent="0.3">
      <c r="T13" s="198"/>
      <c r="U13" s="198"/>
      <c r="V13" s="198"/>
      <c r="W13" s="198"/>
      <c r="X13" s="198"/>
      <c r="Y13" s="198"/>
      <c r="Z13" s="198"/>
      <c r="AA13" s="198"/>
      <c r="AB13" s="198"/>
    </row>
    <row r="14" spans="1:28" ht="14.4" x14ac:dyDescent="0.3">
      <c r="B14" s="5" t="s">
        <v>262</v>
      </c>
      <c r="T14" s="198"/>
      <c r="U14" s="198"/>
      <c r="V14" s="198"/>
      <c r="W14" s="198"/>
      <c r="X14" s="198"/>
      <c r="Y14" s="198"/>
      <c r="Z14" s="198"/>
      <c r="AA14" s="198"/>
      <c r="AB14" s="198"/>
    </row>
    <row r="15" spans="1:28" ht="33.6" customHeight="1" x14ac:dyDescent="0.3">
      <c r="B15" s="67" t="s">
        <v>259</v>
      </c>
      <c r="C15" s="194" t="s">
        <v>283</v>
      </c>
      <c r="T15" s="198"/>
      <c r="U15" s="198"/>
      <c r="V15" s="198"/>
      <c r="W15" s="198"/>
      <c r="X15" s="198"/>
      <c r="Y15" s="198"/>
      <c r="Z15" s="198"/>
      <c r="AA15" s="198"/>
      <c r="AB15" s="198"/>
    </row>
    <row r="16" spans="1:28" x14ac:dyDescent="0.3">
      <c r="B16" s="1" t="s">
        <v>260</v>
      </c>
      <c r="C16" s="195">
        <v>15</v>
      </c>
      <c r="T16" s="198"/>
      <c r="U16" s="198"/>
      <c r="V16" s="198"/>
      <c r="W16" s="198"/>
      <c r="X16" s="198"/>
      <c r="Y16" s="198"/>
      <c r="Z16" s="198"/>
      <c r="AA16" s="198"/>
      <c r="AB16" s="198"/>
    </row>
    <row r="17" spans="1:28" x14ac:dyDescent="0.3">
      <c r="A17" s="57"/>
      <c r="B17" s="1" t="s">
        <v>261</v>
      </c>
      <c r="C17" s="195">
        <v>7.5</v>
      </c>
      <c r="T17" s="198"/>
      <c r="U17" s="198"/>
      <c r="V17" s="198"/>
      <c r="W17" s="198"/>
      <c r="X17" s="198"/>
      <c r="Y17" s="198"/>
      <c r="Z17" s="198"/>
      <c r="AA17" s="198"/>
      <c r="AB17" s="198"/>
    </row>
    <row r="18" spans="1:28" x14ac:dyDescent="0.3">
      <c r="A18" s="57"/>
      <c r="B18" s="2" t="s">
        <v>0</v>
      </c>
      <c r="C18" s="196">
        <f>SUM(C16:C17)</f>
        <v>22.5</v>
      </c>
      <c r="T18" s="198"/>
      <c r="U18" s="198"/>
      <c r="V18" s="198"/>
      <c r="W18" s="198"/>
      <c r="X18" s="198"/>
      <c r="Y18" s="198"/>
      <c r="Z18" s="198"/>
      <c r="AA18" s="198"/>
      <c r="AB18" s="198"/>
    </row>
    <row r="19" spans="1:28" x14ac:dyDescent="0.3">
      <c r="B19" s="8" t="s">
        <v>263</v>
      </c>
      <c r="C19" s="8">
        <v>34.299999999999997</v>
      </c>
      <c r="T19" s="198"/>
      <c r="U19" s="198"/>
      <c r="V19" s="198"/>
      <c r="W19" s="198"/>
      <c r="X19" s="198"/>
      <c r="Y19" s="198"/>
      <c r="Z19" s="198"/>
      <c r="AA19" s="198"/>
      <c r="AB19" s="198"/>
    </row>
    <row r="20" spans="1:28" x14ac:dyDescent="0.3">
      <c r="T20" s="198"/>
      <c r="U20" s="198"/>
      <c r="V20" s="198"/>
      <c r="W20" s="198"/>
      <c r="X20" s="198"/>
      <c r="Y20" s="198"/>
      <c r="Z20" s="198"/>
      <c r="AA20" s="198"/>
      <c r="AB20" s="198"/>
    </row>
    <row r="21" spans="1:28" x14ac:dyDescent="0.3">
      <c r="T21" s="198"/>
      <c r="U21" s="198"/>
      <c r="V21" s="198"/>
      <c r="W21" s="198"/>
      <c r="X21" s="198"/>
      <c r="Y21" s="198"/>
      <c r="Z21" s="198"/>
      <c r="AA21" s="198"/>
      <c r="AB21" s="198"/>
    </row>
    <row r="22" spans="1:28" x14ac:dyDescent="0.3">
      <c r="T22" s="198"/>
      <c r="U22" s="198"/>
      <c r="V22" s="198"/>
      <c r="W22" s="198"/>
      <c r="X22" s="198"/>
      <c r="Y22" s="198"/>
      <c r="Z22" s="198"/>
      <c r="AA22" s="198"/>
      <c r="AB22" s="198"/>
    </row>
    <row r="23" spans="1:28" x14ac:dyDescent="0.3">
      <c r="T23" s="198"/>
      <c r="U23" s="198"/>
      <c r="V23" s="198"/>
      <c r="W23" s="198"/>
      <c r="X23" s="198"/>
      <c r="Y23" s="198"/>
      <c r="Z23" s="198"/>
      <c r="AA23" s="198"/>
      <c r="AB23" s="198"/>
    </row>
    <row r="24" spans="1:28" x14ac:dyDescent="0.3">
      <c r="T24" s="198"/>
      <c r="U24" s="198"/>
      <c r="V24" s="198"/>
      <c r="W24" s="198"/>
      <c r="X24" s="198"/>
      <c r="Y24" s="198"/>
      <c r="Z24" s="198"/>
      <c r="AA24" s="198"/>
      <c r="AB24" s="198"/>
    </row>
    <row r="25" spans="1:28" x14ac:dyDescent="0.3">
      <c r="E25" s="3" t="s">
        <v>264</v>
      </c>
      <c r="F25" s="3">
        <v>28.3</v>
      </c>
      <c r="G25" s="111">
        <f>F25/C19</f>
        <v>0.82507288629737618</v>
      </c>
      <c r="T25" s="198"/>
      <c r="U25" s="198"/>
      <c r="V25" s="198"/>
      <c r="W25" s="198"/>
      <c r="X25" s="198"/>
      <c r="Y25" s="198"/>
      <c r="Z25" s="198"/>
      <c r="AA25" s="198"/>
      <c r="AB25" s="198"/>
    </row>
    <row r="26" spans="1:28" x14ac:dyDescent="0.3">
      <c r="B26" s="3" t="s">
        <v>151</v>
      </c>
      <c r="C26" s="3" t="s">
        <v>64</v>
      </c>
      <c r="E26" s="3" t="s">
        <v>265</v>
      </c>
      <c r="F26" s="3">
        <f>C19-F25</f>
        <v>5.9999999999999964</v>
      </c>
      <c r="G26" s="111">
        <f>F26/C19</f>
        <v>0.17492711370262382</v>
      </c>
      <c r="T26" s="198"/>
      <c r="U26" s="198"/>
      <c r="V26" s="198"/>
      <c r="W26" s="198"/>
      <c r="X26" s="198"/>
      <c r="Y26" s="198"/>
      <c r="Z26" s="198"/>
      <c r="AA26" s="198"/>
      <c r="AB26" s="198"/>
    </row>
    <row r="27" spans="1:28" x14ac:dyDescent="0.3">
      <c r="B27" s="3" t="s">
        <v>152</v>
      </c>
      <c r="C27" s="3">
        <v>50498</v>
      </c>
      <c r="D27" s="14"/>
      <c r="T27" s="198"/>
      <c r="U27" s="198"/>
      <c r="V27" s="198"/>
      <c r="W27" s="198"/>
      <c r="X27" s="198"/>
      <c r="Y27" s="198"/>
      <c r="Z27" s="198"/>
      <c r="AA27" s="198"/>
      <c r="AB27" s="198"/>
    </row>
    <row r="28" spans="1:28" x14ac:dyDescent="0.3">
      <c r="B28" s="3" t="s">
        <v>153</v>
      </c>
      <c r="C28" s="3">
        <v>273650</v>
      </c>
      <c r="T28" s="198"/>
      <c r="U28" s="198"/>
      <c r="V28" s="198"/>
      <c r="W28" s="198"/>
      <c r="X28" s="198"/>
      <c r="Y28" s="198"/>
      <c r="Z28" s="198"/>
      <c r="AA28" s="198"/>
      <c r="AB28" s="198"/>
    </row>
    <row r="29" spans="1:28" x14ac:dyDescent="0.3">
      <c r="T29" s="198"/>
      <c r="U29" s="198"/>
      <c r="V29" s="198"/>
      <c r="W29" s="198"/>
      <c r="X29" s="198"/>
      <c r="Y29" s="198"/>
      <c r="Z29" s="198"/>
      <c r="AA29" s="198"/>
      <c r="AB29" s="198"/>
    </row>
    <row r="30" spans="1:28" x14ac:dyDescent="0.3">
      <c r="T30" s="198"/>
      <c r="U30" s="198"/>
      <c r="V30" s="198"/>
      <c r="W30" s="198"/>
      <c r="X30" s="198"/>
      <c r="Y30" s="198"/>
      <c r="Z30" s="198"/>
      <c r="AA30" s="198"/>
      <c r="AB30" s="198"/>
    </row>
    <row r="31" spans="1:28" x14ac:dyDescent="0.3">
      <c r="T31" s="198"/>
      <c r="U31" s="198"/>
      <c r="V31" s="198"/>
      <c r="W31" s="198"/>
      <c r="X31" s="198"/>
      <c r="Y31" s="198"/>
      <c r="Z31" s="198"/>
      <c r="AA31" s="198"/>
      <c r="AB31" s="198"/>
    </row>
    <row r="32" spans="1:28" x14ac:dyDescent="0.3">
      <c r="T32" s="198"/>
      <c r="U32" s="198"/>
      <c r="V32" s="198"/>
      <c r="W32" s="198"/>
      <c r="X32" s="198"/>
      <c r="Y32" s="198"/>
      <c r="Z32" s="198"/>
      <c r="AA32" s="198"/>
      <c r="AB32" s="198"/>
    </row>
    <row r="33" spans="2:28" x14ac:dyDescent="0.3">
      <c r="T33" s="198"/>
      <c r="U33" s="198"/>
      <c r="V33" s="198"/>
      <c r="W33" s="198"/>
      <c r="X33" s="198"/>
      <c r="Y33" s="198"/>
      <c r="Z33" s="198"/>
      <c r="AA33" s="198"/>
      <c r="AB33" s="198"/>
    </row>
    <row r="34" spans="2:28" x14ac:dyDescent="0.3">
      <c r="T34" s="198"/>
      <c r="U34" s="198"/>
      <c r="V34" s="198"/>
      <c r="W34" s="198"/>
      <c r="X34" s="198"/>
      <c r="Y34" s="198"/>
      <c r="Z34" s="198"/>
      <c r="AA34" s="198"/>
      <c r="AB34" s="198"/>
    </row>
    <row r="35" spans="2:28" x14ac:dyDescent="0.3">
      <c r="T35" s="198"/>
      <c r="U35" s="198"/>
      <c r="V35" s="198"/>
      <c r="W35" s="198"/>
      <c r="X35" s="198"/>
      <c r="Y35" s="198"/>
      <c r="Z35" s="198"/>
      <c r="AA35" s="198"/>
      <c r="AB35" s="198"/>
    </row>
    <row r="36" spans="2:28" x14ac:dyDescent="0.3">
      <c r="T36" s="198"/>
      <c r="U36" s="198"/>
      <c r="V36" s="198"/>
      <c r="W36" s="198"/>
      <c r="X36" s="198"/>
      <c r="Y36" s="198"/>
      <c r="Z36" s="198"/>
      <c r="AA36" s="198"/>
      <c r="AB36" s="198"/>
    </row>
    <row r="37" spans="2:28" x14ac:dyDescent="0.3">
      <c r="T37" s="198"/>
      <c r="U37" s="198"/>
      <c r="V37" s="198"/>
      <c r="W37" s="198"/>
      <c r="X37" s="198"/>
      <c r="Y37" s="198"/>
      <c r="Z37" s="198"/>
      <c r="AA37" s="198"/>
      <c r="AB37" s="198"/>
    </row>
    <row r="38" spans="2:28" x14ac:dyDescent="0.3">
      <c r="T38" s="198"/>
      <c r="U38" s="198"/>
      <c r="V38" s="198"/>
      <c r="W38" s="198"/>
      <c r="X38" s="198"/>
      <c r="Y38" s="198"/>
      <c r="Z38" s="198"/>
      <c r="AA38" s="198"/>
      <c r="AB38" s="198"/>
    </row>
    <row r="39" spans="2:28" ht="14.4" x14ac:dyDescent="0.3">
      <c r="B39" s="5" t="s">
        <v>155</v>
      </c>
      <c r="T39" s="198"/>
      <c r="U39" s="198"/>
      <c r="V39" s="198"/>
      <c r="W39" s="198"/>
      <c r="X39" s="198"/>
      <c r="Y39" s="198"/>
      <c r="Z39" s="198"/>
      <c r="AA39" s="198"/>
      <c r="AB39" s="198"/>
    </row>
    <row r="40" spans="2:28" ht="41.4" x14ac:dyDescent="0.3">
      <c r="B40" s="58" t="s">
        <v>129</v>
      </c>
      <c r="C40" s="59" t="s">
        <v>268</v>
      </c>
      <c r="D40" s="59" t="s">
        <v>284</v>
      </c>
      <c r="E40" s="59" t="s">
        <v>150</v>
      </c>
      <c r="F40" s="59" t="s">
        <v>333</v>
      </c>
      <c r="G40" s="59" t="s">
        <v>320</v>
      </c>
      <c r="H40" s="59" t="s">
        <v>322</v>
      </c>
      <c r="I40" s="59" t="s">
        <v>323</v>
      </c>
      <c r="J40" s="59" t="s">
        <v>47</v>
      </c>
      <c r="K40" s="59" t="s">
        <v>48</v>
      </c>
      <c r="L40" s="59" t="s">
        <v>197</v>
      </c>
      <c r="M40" s="59" t="s">
        <v>154</v>
      </c>
      <c r="T40" s="198"/>
      <c r="U40" s="198"/>
      <c r="V40" s="198"/>
      <c r="W40" s="198"/>
      <c r="X40" s="198"/>
      <c r="Y40" s="198"/>
      <c r="Z40" s="198"/>
      <c r="AA40" s="198"/>
      <c r="AB40" s="198"/>
    </row>
    <row r="41" spans="2:28" x14ac:dyDescent="0.3">
      <c r="B41" s="8" t="s">
        <v>257</v>
      </c>
      <c r="C41" s="8">
        <v>3</v>
      </c>
      <c r="D41" s="18">
        <f>C18</f>
        <v>22.5</v>
      </c>
      <c r="E41" s="9">
        <f>'Past Financials'!D51</f>
        <v>494130</v>
      </c>
      <c r="F41" s="9">
        <v>1528</v>
      </c>
      <c r="G41" s="9">
        <v>756600</v>
      </c>
      <c r="H41" s="9">
        <v>106470</v>
      </c>
      <c r="I41" s="9">
        <v>56776</v>
      </c>
      <c r="J41" s="27">
        <f>H41/G41</f>
        <v>0.14072164948453608</v>
      </c>
      <c r="K41" s="197">
        <f>IF(I41&gt;0,I41/G41,"")</f>
        <v>7.5040972772931536E-2</v>
      </c>
      <c r="L41" s="209">
        <f>F41/E41</f>
        <v>3.0923036447898324E-3</v>
      </c>
      <c r="M41" s="208">
        <f>F41/H41</f>
        <v>1.4351460505306659E-2</v>
      </c>
      <c r="T41" s="198"/>
      <c r="U41" s="198"/>
      <c r="V41" s="198"/>
      <c r="W41" s="198"/>
      <c r="X41" s="198"/>
      <c r="Y41" s="198"/>
      <c r="Z41" s="198"/>
      <c r="AA41" s="198"/>
      <c r="AB41" s="198"/>
    </row>
    <row r="42" spans="2:28" x14ac:dyDescent="0.3">
      <c r="B42" s="8" t="s">
        <v>266</v>
      </c>
      <c r="C42" s="8">
        <v>10</v>
      </c>
      <c r="D42" s="18">
        <f>10</f>
        <v>10</v>
      </c>
      <c r="E42" s="9">
        <v>18387.650000000001</v>
      </c>
      <c r="F42" s="9">
        <v>871874.7</v>
      </c>
      <c r="G42" s="9">
        <v>2585943.6</v>
      </c>
      <c r="H42" s="9">
        <v>209602.2</v>
      </c>
      <c r="I42" s="9">
        <v>-119752.3</v>
      </c>
      <c r="J42" s="27">
        <f>H42/G42</f>
        <v>8.1054435990019269E-2</v>
      </c>
      <c r="K42" s="197" t="str">
        <f>IF(I42&gt;0,I42/G42,"")</f>
        <v/>
      </c>
      <c r="L42" s="16">
        <f>F42/E42</f>
        <v>47.416320193173128</v>
      </c>
      <c r="M42" s="16">
        <f>F42/H42</f>
        <v>4.159663877573804</v>
      </c>
      <c r="T42" s="198"/>
      <c r="U42" s="198"/>
      <c r="V42" s="198"/>
      <c r="W42" s="198"/>
      <c r="X42" s="198"/>
      <c r="Y42" s="198"/>
      <c r="Z42" s="198"/>
      <c r="AA42" s="198"/>
      <c r="AB42" s="198"/>
    </row>
    <row r="43" spans="2:28" x14ac:dyDescent="0.3">
      <c r="B43" s="8" t="s">
        <v>267</v>
      </c>
      <c r="C43" s="8">
        <v>7</v>
      </c>
      <c r="D43" s="18">
        <v>2</v>
      </c>
      <c r="E43" s="9">
        <v>34468</v>
      </c>
      <c r="F43" s="9">
        <v>577705.5</v>
      </c>
      <c r="G43" s="9">
        <v>951790.9</v>
      </c>
      <c r="H43" s="9">
        <v>136268.6</v>
      </c>
      <c r="I43" s="9">
        <v>-3210</v>
      </c>
      <c r="J43" s="27">
        <f>H43/G43</f>
        <v>0.14317073214295284</v>
      </c>
      <c r="K43" s="197" t="str">
        <f>IF(I43&gt;0,I43/G43,"")</f>
        <v/>
      </c>
      <c r="L43" s="16">
        <f t="shared" ref="L43" si="0">F43/E43</f>
        <v>16.760633050945806</v>
      </c>
      <c r="M43" s="16">
        <f t="shared" ref="M43" si="1">F43/H43</f>
        <v>4.2394616221198422</v>
      </c>
      <c r="T43" s="198"/>
      <c r="U43" s="198"/>
      <c r="V43" s="198"/>
      <c r="W43" s="198"/>
      <c r="X43" s="198"/>
      <c r="Y43" s="198"/>
      <c r="Z43" s="198"/>
      <c r="AA43" s="198"/>
      <c r="AB43" s="198"/>
    </row>
    <row r="44" spans="2:28" x14ac:dyDescent="0.3">
      <c r="B44" s="10" t="s">
        <v>156</v>
      </c>
      <c r="C44" s="191"/>
      <c r="D44" s="192"/>
      <c r="E44" s="192"/>
      <c r="F44" s="192"/>
      <c r="G44" s="192"/>
      <c r="H44" s="192"/>
      <c r="I44" s="193"/>
      <c r="J44" s="110">
        <f>AVERAGE(J41:J43)</f>
        <v>0.12164893920583607</v>
      </c>
      <c r="K44" s="110">
        <f t="shared" ref="K44:M44" si="2">AVERAGE(K41:K43)</f>
        <v>7.5040972772931536E-2</v>
      </c>
      <c r="L44" s="260">
        <f t="shared" si="2"/>
        <v>21.393348515921243</v>
      </c>
      <c r="M44" s="260">
        <f t="shared" si="2"/>
        <v>2.8044923200663177</v>
      </c>
      <c r="T44" s="198"/>
      <c r="U44" s="198"/>
      <c r="V44" s="198"/>
      <c r="W44" s="198"/>
      <c r="X44" s="198"/>
      <c r="Y44" s="198"/>
      <c r="Z44" s="198"/>
      <c r="AA44" s="198"/>
      <c r="AB44" s="198"/>
    </row>
    <row r="45" spans="2:28" x14ac:dyDescent="0.3">
      <c r="B45" s="10" t="s">
        <v>157</v>
      </c>
      <c r="C45" s="262"/>
      <c r="D45" s="263"/>
      <c r="E45" s="263"/>
      <c r="F45" s="263"/>
      <c r="G45" s="263"/>
      <c r="H45" s="263"/>
      <c r="I45" s="264"/>
      <c r="J45" s="101">
        <f>SUMPRODUCT(($G$41:$G$43),(J41:J43))/SUM($G$41:$G$43)</f>
        <v>0.10533431897305626</v>
      </c>
      <c r="K45" s="101">
        <f t="shared" ref="K45:M45" si="3">SUMPRODUCT(($G$41:$G$43),(K41:K43))/SUM($G$41:$G$43)</f>
        <v>1.3221140551580227E-2</v>
      </c>
      <c r="L45" s="261">
        <f t="shared" si="3"/>
        <v>32.268303131056491</v>
      </c>
      <c r="M45" s="261">
        <f t="shared" si="3"/>
        <v>3.447005697906016</v>
      </c>
      <c r="T45" s="198"/>
      <c r="U45" s="198"/>
      <c r="V45" s="198"/>
      <c r="W45" s="198"/>
      <c r="X45" s="198"/>
      <c r="Y45" s="198"/>
      <c r="Z45" s="198"/>
      <c r="AA45" s="198"/>
      <c r="AB45" s="198"/>
    </row>
    <row r="46" spans="2:28" x14ac:dyDescent="0.3">
      <c r="T46" s="198"/>
      <c r="U46" s="198"/>
      <c r="V46" s="198"/>
      <c r="W46" s="198"/>
      <c r="X46" s="198"/>
      <c r="Y46" s="198"/>
      <c r="Z46" s="198"/>
      <c r="AA46" s="198"/>
      <c r="AB46" s="198"/>
    </row>
    <row r="47" spans="2:28" x14ac:dyDescent="0.3">
      <c r="T47" s="198"/>
      <c r="U47" s="198"/>
      <c r="V47" s="198"/>
      <c r="W47" s="198"/>
      <c r="X47" s="198"/>
      <c r="Y47" s="198"/>
      <c r="Z47" s="198"/>
      <c r="AA47" s="198"/>
      <c r="AB47" s="198"/>
    </row>
    <row r="48" spans="2:28" x14ac:dyDescent="0.3">
      <c r="T48" s="198"/>
      <c r="U48" s="198"/>
      <c r="V48" s="198"/>
      <c r="W48" s="198"/>
      <c r="X48" s="198"/>
      <c r="Y48" s="198"/>
      <c r="Z48" s="198"/>
      <c r="AA48" s="198"/>
      <c r="AB48" s="198"/>
    </row>
    <row r="49" spans="3:28" x14ac:dyDescent="0.3">
      <c r="T49" s="198"/>
      <c r="U49" s="198"/>
      <c r="V49" s="198"/>
      <c r="W49" s="198"/>
      <c r="X49" s="198"/>
      <c r="Y49" s="198"/>
      <c r="Z49" s="198"/>
      <c r="AA49" s="198"/>
      <c r="AB49" s="198"/>
    </row>
    <row r="50" spans="3:28" x14ac:dyDescent="0.3">
      <c r="T50" s="198"/>
      <c r="U50" s="198"/>
      <c r="V50" s="198"/>
      <c r="W50" s="198"/>
      <c r="X50" s="198"/>
      <c r="Y50" s="198"/>
      <c r="Z50" s="198"/>
      <c r="AA50" s="198"/>
      <c r="AB50" s="198"/>
    </row>
    <row r="51" spans="3:28" x14ac:dyDescent="0.3">
      <c r="T51" s="198"/>
      <c r="U51" s="198"/>
      <c r="V51" s="198"/>
      <c r="W51" s="198"/>
      <c r="X51" s="198"/>
      <c r="Y51" s="198"/>
      <c r="Z51" s="198"/>
      <c r="AA51" s="198"/>
      <c r="AB51" s="198"/>
    </row>
    <row r="52" spans="3:28" x14ac:dyDescent="0.3">
      <c r="T52" s="198"/>
      <c r="U52" s="198"/>
      <c r="V52" s="198"/>
      <c r="W52" s="198"/>
      <c r="X52" s="198"/>
      <c r="Y52" s="198"/>
      <c r="Z52" s="198"/>
      <c r="AA52" s="198"/>
      <c r="AB52" s="198"/>
    </row>
    <row r="53" spans="3:28" x14ac:dyDescent="0.3">
      <c r="T53" s="198"/>
      <c r="U53" s="198"/>
      <c r="V53" s="198"/>
      <c r="W53" s="198"/>
      <c r="X53" s="198"/>
      <c r="Y53" s="198"/>
      <c r="Z53" s="198"/>
      <c r="AA53" s="198"/>
      <c r="AB53" s="198"/>
    </row>
    <row r="54" spans="3:28" x14ac:dyDescent="0.3">
      <c r="T54" s="198"/>
      <c r="U54" s="198"/>
      <c r="V54" s="198"/>
      <c r="W54" s="198"/>
      <c r="X54" s="198"/>
      <c r="Y54" s="198"/>
      <c r="Z54" s="198"/>
      <c r="AA54" s="198"/>
      <c r="AB54" s="198"/>
    </row>
    <row r="55" spans="3:28" x14ac:dyDescent="0.3">
      <c r="T55" s="198"/>
      <c r="U55" s="198"/>
      <c r="V55" s="198"/>
      <c r="W55" s="198"/>
      <c r="X55" s="198"/>
      <c r="Y55" s="198"/>
      <c r="Z55" s="198"/>
      <c r="AA55" s="198"/>
      <c r="AB55" s="198"/>
    </row>
    <row r="56" spans="3:28" x14ac:dyDescent="0.3">
      <c r="T56" s="198"/>
      <c r="U56" s="198"/>
      <c r="V56" s="198"/>
      <c r="W56" s="198"/>
      <c r="X56" s="198"/>
      <c r="Y56" s="198"/>
      <c r="Z56" s="198"/>
      <c r="AA56" s="198"/>
      <c r="AB56" s="198"/>
    </row>
    <row r="57" spans="3:28" x14ac:dyDescent="0.3">
      <c r="T57" s="198"/>
      <c r="U57" s="198"/>
      <c r="V57" s="198"/>
      <c r="W57" s="198"/>
      <c r="X57" s="198"/>
      <c r="Y57" s="198"/>
      <c r="Z57" s="198"/>
      <c r="AA57" s="198"/>
      <c r="AB57" s="198"/>
    </row>
    <row r="58" spans="3:28" x14ac:dyDescent="0.3">
      <c r="C58" s="111"/>
      <c r="D58" s="26"/>
      <c r="E58" s="25"/>
      <c r="T58" s="198"/>
      <c r="U58" s="198"/>
      <c r="V58" s="198"/>
      <c r="W58" s="198"/>
      <c r="X58" s="198"/>
      <c r="Y58" s="198"/>
      <c r="Z58" s="198"/>
      <c r="AA58" s="198"/>
      <c r="AB58" s="198"/>
    </row>
    <row r="59" spans="3:28" x14ac:dyDescent="0.3">
      <c r="C59" s="111"/>
      <c r="D59" s="26"/>
      <c r="E59" s="25"/>
      <c r="T59" s="198"/>
      <c r="U59" s="198"/>
      <c r="V59" s="198"/>
      <c r="W59" s="198"/>
      <c r="X59" s="198"/>
      <c r="Y59" s="198"/>
      <c r="Z59" s="198"/>
      <c r="AA59" s="198"/>
      <c r="AB59" s="198"/>
    </row>
    <row r="60" spans="3:28" x14ac:dyDescent="0.3">
      <c r="C60" s="111"/>
      <c r="D60" s="26"/>
      <c r="E60" s="25"/>
      <c r="T60" s="198"/>
      <c r="U60" s="198"/>
      <c r="V60" s="198"/>
      <c r="W60" s="198"/>
      <c r="X60" s="198"/>
      <c r="Y60" s="198"/>
      <c r="Z60" s="198"/>
      <c r="AA60" s="198"/>
      <c r="AB60" s="198"/>
    </row>
    <row r="61" spans="3:28" x14ac:dyDescent="0.3">
      <c r="C61" s="111"/>
      <c r="D61" s="26"/>
      <c r="E61" s="25"/>
      <c r="T61" s="198"/>
      <c r="U61" s="198"/>
      <c r="V61" s="198"/>
      <c r="W61" s="198"/>
      <c r="X61" s="198"/>
      <c r="Y61" s="198"/>
      <c r="Z61" s="198"/>
      <c r="AA61" s="198"/>
      <c r="AB61" s="198"/>
    </row>
    <row r="62" spans="3:28" x14ac:dyDescent="0.3">
      <c r="C62" s="111"/>
      <c r="D62" s="26"/>
      <c r="E62" s="25"/>
      <c r="T62" s="198"/>
      <c r="U62" s="198"/>
      <c r="V62" s="198"/>
      <c r="W62" s="198"/>
      <c r="X62" s="198"/>
      <c r="Y62" s="198"/>
      <c r="Z62" s="198"/>
      <c r="AA62" s="198"/>
      <c r="AB62" s="198"/>
    </row>
    <row r="63" spans="3:28" x14ac:dyDescent="0.3">
      <c r="C63" s="111"/>
      <c r="D63" s="26"/>
      <c r="E63" s="25"/>
      <c r="T63" s="198"/>
      <c r="U63" s="198"/>
      <c r="V63" s="198"/>
      <c r="W63" s="198"/>
      <c r="X63" s="198"/>
      <c r="Y63" s="198"/>
      <c r="Z63" s="198"/>
      <c r="AA63" s="198"/>
      <c r="AB63" s="198"/>
    </row>
    <row r="64" spans="3:28" x14ac:dyDescent="0.3">
      <c r="C64" s="111"/>
      <c r="D64" s="26"/>
      <c r="E64" s="25"/>
      <c r="T64" s="198"/>
      <c r="U64" s="198"/>
      <c r="V64" s="198"/>
      <c r="W64" s="198"/>
      <c r="X64" s="198"/>
      <c r="Y64" s="198"/>
      <c r="Z64" s="198"/>
      <c r="AA64" s="198"/>
      <c r="AB64" s="198"/>
    </row>
    <row r="65" spans="3:28" x14ac:dyDescent="0.3">
      <c r="C65" s="111"/>
      <c r="D65" s="26"/>
      <c r="E65" s="25"/>
      <c r="T65" s="198"/>
      <c r="U65" s="198"/>
      <c r="V65" s="198"/>
      <c r="W65" s="198"/>
      <c r="X65" s="198"/>
      <c r="Y65" s="198"/>
      <c r="Z65" s="198"/>
      <c r="AA65" s="198"/>
      <c r="AB65" s="198"/>
    </row>
    <row r="66" spans="3:28" x14ac:dyDescent="0.3">
      <c r="C66" s="111"/>
      <c r="D66" s="26"/>
      <c r="E66" s="25"/>
      <c r="T66" s="198"/>
      <c r="U66" s="198"/>
      <c r="V66" s="198"/>
      <c r="W66" s="198"/>
      <c r="X66" s="198"/>
      <c r="Y66" s="198"/>
      <c r="Z66" s="198"/>
      <c r="AA66" s="198"/>
      <c r="AB66" s="198"/>
    </row>
    <row r="67" spans="3:28" x14ac:dyDescent="0.3">
      <c r="C67" s="111"/>
      <c r="D67" s="26"/>
      <c r="E67" s="25"/>
      <c r="T67" s="198"/>
      <c r="U67" s="198"/>
      <c r="V67" s="198"/>
      <c r="W67" s="198"/>
      <c r="X67" s="198"/>
      <c r="Y67" s="198"/>
      <c r="Z67" s="198"/>
      <c r="AA67" s="198"/>
      <c r="AB67" s="198"/>
    </row>
    <row r="68" spans="3:28" x14ac:dyDescent="0.3">
      <c r="C68" s="111"/>
      <c r="D68" s="26"/>
      <c r="E68" s="25"/>
      <c r="T68" s="198"/>
      <c r="U68" s="198"/>
      <c r="V68" s="198"/>
      <c r="W68" s="198"/>
      <c r="X68" s="198"/>
      <c r="Y68" s="198"/>
      <c r="Z68" s="198"/>
      <c r="AA68" s="198"/>
      <c r="AB68" s="198"/>
    </row>
    <row r="69" spans="3:28" x14ac:dyDescent="0.3">
      <c r="C69" s="111"/>
      <c r="T69" s="198"/>
      <c r="U69" s="198"/>
      <c r="V69" s="198"/>
      <c r="W69" s="198"/>
      <c r="X69" s="198"/>
      <c r="Y69" s="198"/>
      <c r="Z69" s="198"/>
      <c r="AA69" s="198"/>
      <c r="AB69" s="198"/>
    </row>
    <row r="70" spans="3:28" x14ac:dyDescent="0.3">
      <c r="C70" s="111"/>
      <c r="T70" s="198"/>
      <c r="U70" s="198"/>
      <c r="V70" s="198"/>
      <c r="W70" s="198"/>
      <c r="X70" s="198"/>
      <c r="Y70" s="198"/>
      <c r="Z70" s="198"/>
      <c r="AA70" s="198"/>
      <c r="AB70" s="198"/>
    </row>
    <row r="71" spans="3:28" x14ac:dyDescent="0.3">
      <c r="C71" s="111"/>
      <c r="T71" s="198"/>
      <c r="U71" s="198"/>
      <c r="V71" s="198"/>
      <c r="W71" s="198"/>
      <c r="X71" s="198"/>
      <c r="Y71" s="198"/>
      <c r="Z71" s="198"/>
      <c r="AA71" s="198"/>
      <c r="AB71" s="198"/>
    </row>
    <row r="72" spans="3:28" x14ac:dyDescent="0.3">
      <c r="C72" s="111"/>
      <c r="T72" s="198"/>
      <c r="U72" s="198"/>
      <c r="V72" s="198"/>
      <c r="W72" s="198"/>
      <c r="X72" s="198"/>
      <c r="Y72" s="198"/>
      <c r="Z72" s="198"/>
      <c r="AA72" s="198"/>
      <c r="AB72" s="198"/>
    </row>
    <row r="73" spans="3:28" x14ac:dyDescent="0.3">
      <c r="T73" s="198"/>
      <c r="U73" s="198"/>
      <c r="V73" s="198"/>
      <c r="W73" s="198"/>
      <c r="X73" s="198"/>
      <c r="Y73" s="198"/>
      <c r="Z73" s="198"/>
      <c r="AA73" s="198"/>
      <c r="AB73" s="198"/>
    </row>
    <row r="74" spans="3:28" x14ac:dyDescent="0.3">
      <c r="T74" s="198"/>
      <c r="U74" s="198"/>
      <c r="V74" s="198"/>
      <c r="W74" s="198"/>
      <c r="X74" s="198"/>
      <c r="Y74" s="198"/>
      <c r="Z74" s="198"/>
      <c r="AA74" s="198"/>
      <c r="AB74" s="198"/>
    </row>
  </sheetData>
  <sortState xmlns:xlrd2="http://schemas.microsoft.com/office/spreadsheetml/2017/richdata2" ref="B17:D28">
    <sortCondition ref="B17:B28"/>
  </sortState>
  <mergeCells count="3">
    <mergeCell ref="C45:I45"/>
    <mergeCell ref="A1:F2"/>
    <mergeCell ref="B4:F12"/>
  </mergeCells>
  <pageMargins left="0.7" right="0.7" top="0.75" bottom="0.75" header="0.3" footer="0.3"/>
  <drawing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6"/>
  <dimension ref="B3:AC49"/>
  <sheetViews>
    <sheetView showGridLines="0" topLeftCell="D1" zoomScaleNormal="100" workbookViewId="0">
      <selection activeCell="V13" sqref="V13"/>
    </sheetView>
  </sheetViews>
  <sheetFormatPr defaultColWidth="9.109375" defaultRowHeight="13.8" x14ac:dyDescent="0.3"/>
  <cols>
    <col min="1" max="1" width="9.109375" style="3"/>
    <col min="2" max="2" width="29.33203125" style="3" customWidth="1"/>
    <col min="3" max="3" width="14.109375" style="3" bestFit="1" customWidth="1"/>
    <col min="4" max="8" width="9.109375" style="3"/>
    <col min="9" max="9" width="10" style="3" bestFit="1" customWidth="1"/>
    <col min="10" max="20" width="9.109375" style="3"/>
    <col min="21" max="21" width="12.6640625" style="3" bestFit="1" customWidth="1"/>
    <col min="22" max="23" width="10.21875" style="3" bestFit="1" customWidth="1"/>
    <col min="24" max="24" width="11" style="3" bestFit="1" customWidth="1"/>
    <col min="25" max="16384" width="9.109375" style="3"/>
  </cols>
  <sheetData>
    <row r="3" spans="2:29" x14ac:dyDescent="0.3">
      <c r="B3" s="3" t="s">
        <v>184</v>
      </c>
      <c r="C3" s="3">
        <v>21.36</v>
      </c>
      <c r="H3" s="3" t="s">
        <v>183</v>
      </c>
      <c r="I3" s="199">
        <v>25.33</v>
      </c>
      <c r="K3" s="15">
        <f>(I6/I3)^(1/3)-1</f>
        <v>1.3374734037577385E-2</v>
      </c>
      <c r="T3" s="175" t="s">
        <v>238</v>
      </c>
      <c r="U3" s="268" t="s">
        <v>186</v>
      </c>
      <c r="V3" s="269"/>
      <c r="W3" s="268" t="s">
        <v>257</v>
      </c>
      <c r="X3" s="269"/>
    </row>
    <row r="4" spans="2:29" x14ac:dyDescent="0.3">
      <c r="B4" s="3" t="s">
        <v>188</v>
      </c>
      <c r="C4" s="3">
        <v>8.33</v>
      </c>
      <c r="H4" s="3" t="s">
        <v>269</v>
      </c>
      <c r="I4" s="26">
        <v>29.07</v>
      </c>
      <c r="J4" s="15">
        <f>(I4-I3)/I3</f>
        <v>0.14765100671140949</v>
      </c>
      <c r="T4" s="8" t="s">
        <v>183</v>
      </c>
      <c r="U4" s="34">
        <v>3.95255</v>
      </c>
      <c r="V4" s="8"/>
      <c r="W4" s="210">
        <v>1.568603</v>
      </c>
      <c r="X4" s="30"/>
    </row>
    <row r="5" spans="2:29" x14ac:dyDescent="0.3">
      <c r="B5" s="3" t="s">
        <v>189</v>
      </c>
      <c r="C5" s="3">
        <v>4.66</v>
      </c>
      <c r="H5" s="3" t="s">
        <v>270</v>
      </c>
      <c r="I5" s="26">
        <v>30.92</v>
      </c>
      <c r="J5" s="15">
        <f t="shared" ref="J5:J6" si="0">(I5-I4)/I4</f>
        <v>6.3639490884072974E-2</v>
      </c>
      <c r="T5" s="8" t="s">
        <v>269</v>
      </c>
      <c r="U5" s="29">
        <v>4.0324809999999998</v>
      </c>
      <c r="V5" s="30">
        <f>(U5-U4)/U4</f>
        <v>2.0222641079809173E-2</v>
      </c>
      <c r="W5" s="211">
        <v>1.779574</v>
      </c>
      <c r="X5" s="30">
        <f t="shared" ref="X5:X6" si="1">W5/W4-1</f>
        <v>0.13449610895809849</v>
      </c>
    </row>
    <row r="6" spans="2:29" x14ac:dyDescent="0.3">
      <c r="B6" s="3" t="s">
        <v>186</v>
      </c>
      <c r="C6" s="3">
        <v>3.62</v>
      </c>
      <c r="H6" s="3" t="s">
        <v>272</v>
      </c>
      <c r="I6" s="26">
        <v>26.36</v>
      </c>
      <c r="J6" s="15">
        <f t="shared" si="0"/>
        <v>-0.14747736093143604</v>
      </c>
      <c r="T6" s="8" t="s">
        <v>270</v>
      </c>
      <c r="U6" s="29">
        <v>3.623335</v>
      </c>
      <c r="V6" s="30">
        <f t="shared" ref="V6:V7" si="2">(U6-U5)/U5</f>
        <v>-0.10146259833586316</v>
      </c>
      <c r="W6" s="211">
        <v>1.862449</v>
      </c>
      <c r="X6" s="30">
        <f t="shared" si="1"/>
        <v>4.6570134200657032E-2</v>
      </c>
    </row>
    <row r="7" spans="2:29" x14ac:dyDescent="0.3">
      <c r="B7" s="3" t="s">
        <v>276</v>
      </c>
      <c r="C7" s="3">
        <v>3.61</v>
      </c>
      <c r="I7" s="25"/>
      <c r="J7" s="15"/>
      <c r="T7" s="8" t="s">
        <v>272</v>
      </c>
      <c r="U7" s="29">
        <v>3.4</v>
      </c>
      <c r="V7" s="30">
        <f t="shared" si="2"/>
        <v>-6.1637966127890485E-2</v>
      </c>
      <c r="W7" s="211">
        <v>1.5632969999999999</v>
      </c>
      <c r="X7" s="30">
        <f>W7/W6-1</f>
        <v>-0.1606229217551729</v>
      </c>
      <c r="AC7" s="15"/>
    </row>
    <row r="8" spans="2:29" x14ac:dyDescent="0.3">
      <c r="B8" s="3" t="s">
        <v>185</v>
      </c>
      <c r="C8" s="3">
        <v>2.5099999999999998</v>
      </c>
      <c r="I8" s="25"/>
      <c r="J8" s="15"/>
      <c r="T8" s="174" t="s">
        <v>271</v>
      </c>
      <c r="U8" s="8"/>
      <c r="V8" s="140">
        <v>0.1</v>
      </c>
      <c r="W8" s="8"/>
      <c r="X8" s="176">
        <f>FORECAST(V8,$X$5:X7,$V$5:V7)</f>
        <v>0.17689051726712263</v>
      </c>
      <c r="AC8" s="15"/>
    </row>
    <row r="9" spans="2:29" x14ac:dyDescent="0.3">
      <c r="B9" s="3" t="s">
        <v>277</v>
      </c>
      <c r="C9" s="3">
        <v>2.48</v>
      </c>
      <c r="I9" s="25"/>
      <c r="J9" s="15"/>
      <c r="X9" s="168"/>
      <c r="Z9" s="111"/>
      <c r="AB9" s="15"/>
    </row>
    <row r="10" spans="2:29" x14ac:dyDescent="0.3">
      <c r="B10" s="3" t="s">
        <v>278</v>
      </c>
      <c r="C10" s="3">
        <v>2.4500000000000002</v>
      </c>
      <c r="I10" s="25"/>
      <c r="J10" s="15"/>
      <c r="X10" s="168"/>
      <c r="Z10" s="111"/>
      <c r="AB10" s="15"/>
      <c r="AC10" s="15"/>
    </row>
    <row r="11" spans="2:29" x14ac:dyDescent="0.3">
      <c r="B11" s="3" t="s">
        <v>279</v>
      </c>
      <c r="C11" s="3">
        <v>1.68</v>
      </c>
      <c r="X11" s="168"/>
      <c r="Z11" s="111"/>
      <c r="AB11" s="15"/>
      <c r="AC11" s="15"/>
    </row>
    <row r="12" spans="2:29" x14ac:dyDescent="0.3">
      <c r="B12" s="3" t="s">
        <v>187</v>
      </c>
      <c r="C12" s="3">
        <v>1.52</v>
      </c>
      <c r="X12" s="168"/>
      <c r="Z12" s="111"/>
      <c r="AB12" s="15"/>
      <c r="AC12" s="15"/>
    </row>
    <row r="13" spans="2:29" x14ac:dyDescent="0.3">
      <c r="AA13" s="14"/>
      <c r="AC13" s="15"/>
    </row>
    <row r="14" spans="2:29" x14ac:dyDescent="0.3">
      <c r="AC14" s="15"/>
    </row>
    <row r="19" spans="3:22" x14ac:dyDescent="0.3">
      <c r="C19" s="20"/>
      <c r="D19" s="15"/>
    </row>
    <row r="20" spans="3:22" x14ac:dyDescent="0.3">
      <c r="C20" s="25"/>
    </row>
    <row r="21" spans="3:22" x14ac:dyDescent="0.3">
      <c r="C21" s="25"/>
    </row>
    <row r="22" spans="3:22" x14ac:dyDescent="0.3">
      <c r="C22" s="25"/>
      <c r="D22" s="15"/>
      <c r="K22" s="3">
        <v>2012</v>
      </c>
      <c r="L22" s="3">
        <v>2.6</v>
      </c>
      <c r="V22" s="219"/>
    </row>
    <row r="23" spans="3:22" x14ac:dyDescent="0.3">
      <c r="C23" s="3" t="s">
        <v>273</v>
      </c>
      <c r="D23" s="3">
        <f>12.9</f>
        <v>12.9</v>
      </c>
      <c r="K23" s="3">
        <v>2014</v>
      </c>
      <c r="L23" s="3">
        <v>2.5</v>
      </c>
      <c r="V23" s="219"/>
    </row>
    <row r="24" spans="3:22" x14ac:dyDescent="0.3">
      <c r="C24" s="3" t="s">
        <v>158</v>
      </c>
      <c r="D24" s="3">
        <v>3.3</v>
      </c>
      <c r="K24" s="3">
        <v>2016</v>
      </c>
      <c r="L24" s="3">
        <v>2.8</v>
      </c>
      <c r="V24" s="219"/>
    </row>
    <row r="25" spans="3:22" x14ac:dyDescent="0.3">
      <c r="C25" s="3" t="s">
        <v>274</v>
      </c>
      <c r="D25" s="3">
        <v>3</v>
      </c>
      <c r="K25" s="3">
        <v>2018</v>
      </c>
      <c r="L25" s="3">
        <v>3.3</v>
      </c>
    </row>
    <row r="26" spans="3:22" x14ac:dyDescent="0.3">
      <c r="C26" s="3" t="s">
        <v>275</v>
      </c>
      <c r="D26" s="3">
        <v>80.8</v>
      </c>
      <c r="K26" s="3">
        <v>2026</v>
      </c>
      <c r="L26" s="3">
        <v>3.63</v>
      </c>
    </row>
    <row r="41" spans="3:10" x14ac:dyDescent="0.3">
      <c r="I41" s="3" t="s">
        <v>306</v>
      </c>
      <c r="J41" s="200">
        <f>7.2%</f>
        <v>7.2000000000000008E-2</v>
      </c>
    </row>
    <row r="42" spans="3:10" x14ac:dyDescent="0.3">
      <c r="I42" s="3" t="s">
        <v>183</v>
      </c>
      <c r="J42" s="200">
        <f>9.2%</f>
        <v>9.1999999999999998E-2</v>
      </c>
    </row>
    <row r="43" spans="3:10" x14ac:dyDescent="0.3">
      <c r="I43" s="3" t="s">
        <v>269</v>
      </c>
      <c r="J43" s="200">
        <f>0.079</f>
        <v>7.9000000000000001E-2</v>
      </c>
    </row>
    <row r="44" spans="3:10" x14ac:dyDescent="0.3">
      <c r="C44" s="3" t="s">
        <v>306</v>
      </c>
      <c r="D44" s="200">
        <v>0.08</v>
      </c>
      <c r="I44" s="3" t="s">
        <v>270</v>
      </c>
      <c r="J44" s="200">
        <f>0.027</f>
        <v>2.7E-2</v>
      </c>
    </row>
    <row r="45" spans="3:10" x14ac:dyDescent="0.3">
      <c r="C45" s="3" t="s">
        <v>183</v>
      </c>
      <c r="D45" s="200">
        <v>8.3000000000000004E-2</v>
      </c>
      <c r="I45" s="3" t="s">
        <v>272</v>
      </c>
      <c r="J45" s="200">
        <f>-0.179</f>
        <v>-0.17899999999999999</v>
      </c>
    </row>
    <row r="46" spans="3:10" x14ac:dyDescent="0.3">
      <c r="C46" s="3" t="s">
        <v>269</v>
      </c>
      <c r="D46" s="200">
        <v>7.0000000000000007E-2</v>
      </c>
    </row>
    <row r="47" spans="3:10" x14ac:dyDescent="0.3">
      <c r="C47" s="3" t="s">
        <v>270</v>
      </c>
      <c r="D47" s="200">
        <v>6.0999999999999999E-2</v>
      </c>
    </row>
    <row r="48" spans="3:10" x14ac:dyDescent="0.3">
      <c r="C48" s="3" t="s">
        <v>272</v>
      </c>
      <c r="D48" s="200">
        <v>0.05</v>
      </c>
    </row>
    <row r="49" spans="4:4" x14ac:dyDescent="0.3">
      <c r="D49" s="111"/>
    </row>
  </sheetData>
  <mergeCells count="2">
    <mergeCell ref="U3:V3"/>
    <mergeCell ref="W3:X3"/>
  </mergeCells>
  <phoneticPr fontId="17" type="noConversion"/>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2:O138"/>
  <sheetViews>
    <sheetView showGridLines="0" topLeftCell="A57" zoomScale="120" zoomScaleNormal="120" workbookViewId="0">
      <selection activeCell="D105" sqref="D105"/>
    </sheetView>
  </sheetViews>
  <sheetFormatPr defaultColWidth="9.109375" defaultRowHeight="13.8" outlineLevelRow="1" x14ac:dyDescent="0.3"/>
  <cols>
    <col min="1" max="1" width="37.21875" style="3" customWidth="1"/>
    <col min="2" max="2" width="15.21875" style="3" bestFit="1" customWidth="1"/>
    <col min="3" max="4" width="11" style="3" bestFit="1" customWidth="1"/>
    <col min="5" max="5" width="10" style="3" bestFit="1" customWidth="1"/>
    <col min="6" max="7" width="9.109375" style="3"/>
    <col min="8" max="8" width="10" style="3" bestFit="1" customWidth="1"/>
    <col min="9" max="9" width="9.109375" style="3"/>
    <col min="10" max="10" width="11" style="3" bestFit="1" customWidth="1"/>
    <col min="11" max="11" width="9.109375" style="3"/>
    <col min="12" max="12" width="11.33203125" style="3" bestFit="1" customWidth="1"/>
    <col min="13" max="13" width="12.44140625" style="3" bestFit="1" customWidth="1"/>
    <col min="14" max="14" width="10.6640625" style="3" customWidth="1"/>
    <col min="15" max="15" width="14.44140625" style="3" customWidth="1"/>
    <col min="16" max="16" width="9.109375" style="3"/>
    <col min="17" max="17" width="9.109375" style="3" customWidth="1"/>
    <col min="18" max="16384" width="9.109375" style="3"/>
  </cols>
  <sheetData>
    <row r="2" spans="1:4" s="163" customFormat="1" ht="14.4" x14ac:dyDescent="0.3">
      <c r="A2" s="162" t="s">
        <v>234</v>
      </c>
    </row>
    <row r="3" spans="1:4" outlineLevel="1" x14ac:dyDescent="0.3"/>
    <row r="4" spans="1:4" outlineLevel="1" x14ac:dyDescent="0.3">
      <c r="A4" s="6" t="s">
        <v>15</v>
      </c>
      <c r="B4" s="21" t="str">
        <f>'Past Financials'!B18</f>
        <v>FY18</v>
      </c>
      <c r="C4" s="21" t="str">
        <f>'Past Financials'!C18</f>
        <v>FY19</v>
      </c>
      <c r="D4" s="21" t="str">
        <f>'Past Financials'!D18</f>
        <v>FY20</v>
      </c>
    </row>
    <row r="5" spans="1:4" outlineLevel="1" x14ac:dyDescent="0.3">
      <c r="A5" s="8" t="s">
        <v>282</v>
      </c>
      <c r="B5" s="9">
        <v>1653500</v>
      </c>
      <c r="C5" s="9">
        <v>1753700</v>
      </c>
      <c r="D5" s="9">
        <v>1461126</v>
      </c>
    </row>
    <row r="6" spans="1:4" outlineLevel="1" x14ac:dyDescent="0.3">
      <c r="A6" s="8" t="s">
        <v>281</v>
      </c>
      <c r="B6" s="128">
        <v>126074</v>
      </c>
      <c r="C6" s="128">
        <v>108749</v>
      </c>
      <c r="D6" s="128">
        <v>102171</v>
      </c>
    </row>
    <row r="7" spans="1:4" outlineLevel="1" x14ac:dyDescent="0.3">
      <c r="A7" s="8" t="s">
        <v>305</v>
      </c>
      <c r="B7" s="128">
        <f>B6*B135/1000000</f>
        <v>58122.054162400666</v>
      </c>
      <c r="C7" s="128">
        <f>C6*C135/1000000</f>
        <v>50255.675760785933</v>
      </c>
      <c r="D7" s="128">
        <f>D6*D135/1000000</f>
        <v>49448.427650024278</v>
      </c>
    </row>
    <row r="8" spans="1:4" outlineLevel="1" x14ac:dyDescent="0.3">
      <c r="A8" s="10" t="s">
        <v>280</v>
      </c>
      <c r="B8" s="201">
        <f>B5+B6</f>
        <v>1779574</v>
      </c>
      <c r="C8" s="201">
        <f>C5+C6</f>
        <v>1862449</v>
      </c>
      <c r="D8" s="201">
        <f>D5+D6</f>
        <v>1563297</v>
      </c>
    </row>
    <row r="9" spans="1:4" outlineLevel="1" x14ac:dyDescent="0.3">
      <c r="A9" s="10" t="s">
        <v>297</v>
      </c>
      <c r="B9" s="202">
        <f>B8/1000000</f>
        <v>1.779574</v>
      </c>
      <c r="C9" s="202">
        <f t="shared" ref="C9:D9" si="0">C8/1000000</f>
        <v>1.862449</v>
      </c>
      <c r="D9" s="202">
        <f t="shared" si="0"/>
        <v>1.5632969999999999</v>
      </c>
    </row>
    <row r="10" spans="1:4" outlineLevel="1" x14ac:dyDescent="0.3"/>
    <row r="11" spans="1:4" outlineLevel="1" x14ac:dyDescent="0.3"/>
    <row r="12" spans="1:4" outlineLevel="1" x14ac:dyDescent="0.3"/>
    <row r="15" spans="1:4" s="163" customFormat="1" ht="14.4" x14ac:dyDescent="0.3">
      <c r="A15" s="162" t="s">
        <v>298</v>
      </c>
    </row>
    <row r="16" spans="1:4" outlineLevel="1" x14ac:dyDescent="0.3"/>
    <row r="17" spans="1:15" ht="14.4" outlineLevel="1" x14ac:dyDescent="0.3">
      <c r="F17" s="271" t="s">
        <v>16</v>
      </c>
      <c r="G17" s="271"/>
      <c r="H17" s="271"/>
      <c r="J17" s="271" t="s">
        <v>202</v>
      </c>
      <c r="K17" s="271"/>
      <c r="M17" s="186" t="s">
        <v>249</v>
      </c>
    </row>
    <row r="18" spans="1:15" outlineLevel="1" x14ac:dyDescent="0.3">
      <c r="A18" s="6" t="s">
        <v>15</v>
      </c>
      <c r="B18" s="21" t="s">
        <v>269</v>
      </c>
      <c r="C18" s="21" t="s">
        <v>270</v>
      </c>
      <c r="D18" s="21" t="s">
        <v>272</v>
      </c>
      <c r="E18" s="22"/>
      <c r="F18" s="21" t="str">
        <f>B18</f>
        <v>FY18</v>
      </c>
      <c r="G18" s="21" t="str">
        <f>C18</f>
        <v>FY19</v>
      </c>
      <c r="H18" s="21" t="str">
        <f>D18</f>
        <v>FY20</v>
      </c>
      <c r="I18" s="22"/>
      <c r="J18" s="21" t="str">
        <f>G18</f>
        <v>FY19</v>
      </c>
      <c r="K18" s="21" t="str">
        <f>H18</f>
        <v>FY20</v>
      </c>
      <c r="M18" s="21" t="s">
        <v>228</v>
      </c>
    </row>
    <row r="19" spans="1:15" outlineLevel="1" x14ac:dyDescent="0.3">
      <c r="A19" s="8" t="s">
        <v>2</v>
      </c>
      <c r="B19" s="9">
        <v>820411</v>
      </c>
      <c r="C19" s="9">
        <v>860685</v>
      </c>
      <c r="D19" s="9">
        <v>756600</v>
      </c>
      <c r="F19" s="27">
        <f>B19/$B$19</f>
        <v>1</v>
      </c>
      <c r="G19" s="27">
        <f>C19/$C$19</f>
        <v>1</v>
      </c>
      <c r="H19" s="27">
        <f>D19/$D$19</f>
        <v>1</v>
      </c>
      <c r="J19" s="30">
        <f>C19/B19-1</f>
        <v>4.9090029265819179E-2</v>
      </c>
      <c r="K19" s="30">
        <f>D19/C19-1</f>
        <v>-0.12093274542951249</v>
      </c>
      <c r="M19" s="30">
        <f>(D19/B19)^0.5-1</f>
        <v>-3.9676777421280951E-2</v>
      </c>
      <c r="N19" s="15"/>
      <c r="O19" s="180"/>
    </row>
    <row r="20" spans="1:15" outlineLevel="1" x14ac:dyDescent="0.3">
      <c r="A20" s="8" t="s">
        <v>3</v>
      </c>
      <c r="B20" s="9">
        <v>20458</v>
      </c>
      <c r="C20" s="9">
        <v>25616</v>
      </c>
      <c r="D20" s="9">
        <v>33344</v>
      </c>
      <c r="F20" s="27">
        <f>B20/$B$19</f>
        <v>2.4936281936736585E-2</v>
      </c>
      <c r="G20" s="27">
        <f>C20/$C$19</f>
        <v>2.9762340461376696E-2</v>
      </c>
      <c r="H20" s="27">
        <f>D20/$D$19</f>
        <v>4.4070843246100978E-2</v>
      </c>
      <c r="J20" s="30">
        <f>C20/B20-1</f>
        <v>0.25212630755694598</v>
      </c>
      <c r="K20" s="30">
        <f t="shared" ref="K20:K39" si="1">D20/C20-1</f>
        <v>0.30168644597126804</v>
      </c>
      <c r="M20" s="30">
        <f t="shared" ref="M20:M39" si="2">(D20/B20)^0.5-1</f>
        <v>0.27666590899535182</v>
      </c>
      <c r="N20" s="15"/>
      <c r="O20" s="180"/>
    </row>
    <row r="21" spans="1:15" outlineLevel="1" x14ac:dyDescent="0.3">
      <c r="A21" s="10" t="s">
        <v>4</v>
      </c>
      <c r="B21" s="11">
        <f>B19+B20</f>
        <v>840869</v>
      </c>
      <c r="C21" s="11">
        <f t="shared" ref="C21:D21" si="3">C19+C20</f>
        <v>886301</v>
      </c>
      <c r="D21" s="11">
        <f t="shared" si="3"/>
        <v>789944</v>
      </c>
      <c r="F21" s="27">
        <f>B21/$B$19</f>
        <v>1.0249362819367367</v>
      </c>
      <c r="G21" s="27">
        <f>C21/$C$19</f>
        <v>1.0297623404613767</v>
      </c>
      <c r="H21" s="27">
        <f>D21/$D$19</f>
        <v>1.044070843246101</v>
      </c>
      <c r="J21" s="30">
        <f t="shared" ref="J21:J39" si="4">C21/B21-1</f>
        <v>5.4029819151377945E-2</v>
      </c>
      <c r="K21" s="30">
        <f t="shared" si="1"/>
        <v>-0.10871814428732451</v>
      </c>
      <c r="M21" s="30">
        <f t="shared" si="2"/>
        <v>-3.0754080127372463E-2</v>
      </c>
      <c r="N21" s="15"/>
      <c r="O21" s="180"/>
    </row>
    <row r="22" spans="1:15" outlineLevel="1" x14ac:dyDescent="0.3">
      <c r="A22" s="8"/>
      <c r="B22" s="9"/>
      <c r="C22" s="8"/>
      <c r="D22" s="8"/>
      <c r="F22" s="27"/>
      <c r="G22" s="27"/>
      <c r="H22" s="27"/>
      <c r="J22" s="30"/>
      <c r="K22" s="30"/>
      <c r="M22" s="30"/>
    </row>
    <row r="23" spans="1:15" outlineLevel="1" x14ac:dyDescent="0.3">
      <c r="A23" s="12" t="s">
        <v>5</v>
      </c>
      <c r="B23" s="139"/>
      <c r="C23" s="8"/>
      <c r="D23" s="8"/>
      <c r="F23" s="27"/>
      <c r="G23" s="27"/>
      <c r="H23" s="27"/>
      <c r="J23" s="30"/>
      <c r="K23" s="30"/>
      <c r="M23" s="30"/>
    </row>
    <row r="24" spans="1:15" outlineLevel="1" x14ac:dyDescent="0.3">
      <c r="A24" s="8" t="s">
        <v>231</v>
      </c>
      <c r="B24" s="9">
        <v>549861</v>
      </c>
      <c r="C24" s="9">
        <v>602639</v>
      </c>
      <c r="D24" s="9">
        <v>531633</v>
      </c>
      <c r="F24" s="27">
        <f>B24/$B$19</f>
        <v>0.6702262646405277</v>
      </c>
      <c r="G24" s="27">
        <f>C24/$C$19</f>
        <v>0.70018531750872848</v>
      </c>
      <c r="H24" s="27">
        <f>D24/$D$19</f>
        <v>0.70266058683584454</v>
      </c>
      <c r="J24" s="30"/>
      <c r="K24" s="30"/>
      <c r="M24" s="30"/>
    </row>
    <row r="25" spans="1:15" outlineLevel="1" x14ac:dyDescent="0.3">
      <c r="A25" s="8" t="s">
        <v>285</v>
      </c>
      <c r="B25" s="9">
        <v>22317</v>
      </c>
      <c r="C25" s="9">
        <v>0</v>
      </c>
      <c r="D25" s="9">
        <v>0</v>
      </c>
      <c r="F25" s="27">
        <f>B25/$B$19</f>
        <v>2.7202219375410619E-2</v>
      </c>
      <c r="G25" s="204" t="s">
        <v>300</v>
      </c>
      <c r="H25" s="205" t="s">
        <v>300</v>
      </c>
      <c r="J25" s="30">
        <f t="shared" si="4"/>
        <v>-1</v>
      </c>
      <c r="K25" s="203" t="s">
        <v>300</v>
      </c>
      <c r="M25" s="207" t="s">
        <v>300</v>
      </c>
    </row>
    <row r="26" spans="1:15" outlineLevel="1" x14ac:dyDescent="0.3">
      <c r="A26" s="8" t="s">
        <v>286</v>
      </c>
      <c r="B26" s="9">
        <v>28634</v>
      </c>
      <c r="C26" s="9">
        <v>32850</v>
      </c>
      <c r="D26" s="9">
        <v>34162</v>
      </c>
      <c r="F26" s="27">
        <f>B26/$B$19</f>
        <v>3.4902018622373424E-2</v>
      </c>
      <c r="G26" s="27">
        <f>C26/$C$19</f>
        <v>3.8167273741264225E-2</v>
      </c>
      <c r="H26" s="27">
        <f>D26/$D$19</f>
        <v>4.5151995770552469E-2</v>
      </c>
      <c r="J26" s="30">
        <f t="shared" si="4"/>
        <v>0.14723754976601233</v>
      </c>
      <c r="K26" s="30">
        <f t="shared" si="1"/>
        <v>3.993911719939125E-2</v>
      </c>
      <c r="M26" s="30">
        <f t="shared" si="2"/>
        <v>9.2271580112592622E-2</v>
      </c>
    </row>
    <row r="27" spans="1:15" outlineLevel="1" x14ac:dyDescent="0.3">
      <c r="A27" s="8" t="s">
        <v>287</v>
      </c>
      <c r="B27" s="9">
        <v>98965</v>
      </c>
      <c r="C27" s="9">
        <v>115164</v>
      </c>
      <c r="D27" s="9">
        <v>117679</v>
      </c>
      <c r="F27" s="27">
        <f>B27/$B$19</f>
        <v>0.12062856300073987</v>
      </c>
      <c r="G27" s="27">
        <f>C27/$C$19</f>
        <v>0.13380505062827863</v>
      </c>
      <c r="H27" s="27">
        <f>D27/$D$19</f>
        <v>0.15553661115516787</v>
      </c>
      <c r="J27" s="30"/>
      <c r="K27" s="30"/>
      <c r="M27" s="30"/>
    </row>
    <row r="28" spans="1:15" outlineLevel="1" x14ac:dyDescent="0.3">
      <c r="A28" s="10" t="s">
        <v>6</v>
      </c>
      <c r="B28" s="11">
        <f>SUM(B24:B27)</f>
        <v>699777</v>
      </c>
      <c r="C28" s="11">
        <f t="shared" ref="C28:D28" si="5">SUM(C24:C27)</f>
        <v>750653</v>
      </c>
      <c r="D28" s="11">
        <f t="shared" si="5"/>
        <v>683474</v>
      </c>
      <c r="F28" s="27">
        <f>B28/$B$19</f>
        <v>0.85295906563905166</v>
      </c>
      <c r="G28" s="27">
        <f>C28/$C$19</f>
        <v>0.87215764187827138</v>
      </c>
      <c r="H28" s="27">
        <f>D28/$D$19</f>
        <v>0.90334919376156486</v>
      </c>
      <c r="J28" s="30">
        <f t="shared" si="4"/>
        <v>7.2703161149909157E-2</v>
      </c>
      <c r="K28" s="30">
        <f t="shared" si="1"/>
        <v>-8.9494080487255712E-2</v>
      </c>
      <c r="M28" s="30">
        <f t="shared" si="2"/>
        <v>-1.1717359199795774E-2</v>
      </c>
    </row>
    <row r="29" spans="1:15" outlineLevel="1" x14ac:dyDescent="0.3">
      <c r="A29" s="8"/>
      <c r="B29" s="9"/>
      <c r="C29" s="9"/>
      <c r="D29" s="9"/>
      <c r="F29" s="27"/>
      <c r="G29" s="27"/>
      <c r="H29" s="27"/>
      <c r="J29" s="30"/>
      <c r="K29" s="30"/>
      <c r="M29" s="30"/>
    </row>
    <row r="30" spans="1:15" outlineLevel="1" x14ac:dyDescent="0.3">
      <c r="A30" s="10" t="s">
        <v>7</v>
      </c>
      <c r="B30" s="11">
        <f>B21-B28</f>
        <v>141092</v>
      </c>
      <c r="C30" s="11">
        <f>C21-C28</f>
        <v>135648</v>
      </c>
      <c r="D30" s="11">
        <f>D21-D28</f>
        <v>106470</v>
      </c>
      <c r="F30" s="27">
        <f t="shared" ref="F30:F39" si="6">B30/$B$19</f>
        <v>0.17197721629768495</v>
      </c>
      <c r="G30" s="27">
        <f t="shared" ref="G30:G39" si="7">C30/$C$19</f>
        <v>0.15760469858310533</v>
      </c>
      <c r="H30" s="27">
        <f t="shared" ref="H30:H39" si="8">D30/$D$19</f>
        <v>0.14072164948453608</v>
      </c>
      <c r="J30" s="30">
        <f t="shared" si="4"/>
        <v>-3.8584753210671008E-2</v>
      </c>
      <c r="K30" s="30">
        <f t="shared" si="1"/>
        <v>-0.21510084925690021</v>
      </c>
      <c r="M30" s="30">
        <f t="shared" si="2"/>
        <v>-0.13131478042019618</v>
      </c>
    </row>
    <row r="31" spans="1:15" outlineLevel="1" x14ac:dyDescent="0.3">
      <c r="A31" s="8" t="s">
        <v>8</v>
      </c>
      <c r="B31" s="9">
        <v>27598</v>
      </c>
      <c r="C31" s="9">
        <v>30208</v>
      </c>
      <c r="D31" s="9">
        <v>35284</v>
      </c>
      <c r="F31" s="27">
        <f t="shared" si="6"/>
        <v>3.3639236919056424E-2</v>
      </c>
      <c r="G31" s="27">
        <f t="shared" si="7"/>
        <v>3.5097625728344281E-2</v>
      </c>
      <c r="H31" s="27">
        <f t="shared" si="8"/>
        <v>4.663494581020354E-2</v>
      </c>
      <c r="J31" s="30">
        <f t="shared" si="4"/>
        <v>9.4572070439886913E-2</v>
      </c>
      <c r="K31" s="30">
        <f t="shared" si="1"/>
        <v>0.16803495762711873</v>
      </c>
      <c r="M31" s="30">
        <f t="shared" si="2"/>
        <v>0.13070705397820914</v>
      </c>
    </row>
    <row r="32" spans="1:15" outlineLevel="1" x14ac:dyDescent="0.3">
      <c r="A32" s="10" t="s">
        <v>11</v>
      </c>
      <c r="B32" s="11">
        <f>B30-B31</f>
        <v>113494</v>
      </c>
      <c r="C32" s="11">
        <f t="shared" ref="C32:D32" si="9">C30-C31</f>
        <v>105440</v>
      </c>
      <c r="D32" s="11">
        <f t="shared" si="9"/>
        <v>71186</v>
      </c>
      <c r="F32" s="27">
        <f t="shared" si="6"/>
        <v>0.13833797937862852</v>
      </c>
      <c r="G32" s="27">
        <f t="shared" si="7"/>
        <v>0.12250707285476103</v>
      </c>
      <c r="H32" s="27">
        <f t="shared" si="8"/>
        <v>9.4086703674332542E-2</v>
      </c>
      <c r="J32" s="30">
        <f t="shared" si="4"/>
        <v>-7.0964103829277314E-2</v>
      </c>
      <c r="K32" s="30">
        <f t="shared" si="1"/>
        <v>-0.3248672230652504</v>
      </c>
      <c r="M32" s="30">
        <f t="shared" si="2"/>
        <v>-0.20802614660974839</v>
      </c>
    </row>
    <row r="33" spans="1:13" outlineLevel="1" x14ac:dyDescent="0.3">
      <c r="A33" s="8" t="s">
        <v>9</v>
      </c>
      <c r="B33" s="9">
        <v>3458</v>
      </c>
      <c r="C33" s="9">
        <v>759</v>
      </c>
      <c r="D33" s="9">
        <v>1342</v>
      </c>
      <c r="F33" s="173">
        <f t="shared" si="6"/>
        <v>4.2149605502607842E-3</v>
      </c>
      <c r="G33" s="173">
        <f t="shared" si="7"/>
        <v>8.8185573119085381E-4</v>
      </c>
      <c r="H33" s="173">
        <f t="shared" si="8"/>
        <v>1.7737245572297118E-3</v>
      </c>
      <c r="J33" s="30">
        <f t="shared" si="4"/>
        <v>-0.78050896471949105</v>
      </c>
      <c r="K33" s="30">
        <f t="shared" si="1"/>
        <v>0.76811594202898559</v>
      </c>
      <c r="M33" s="30">
        <f t="shared" si="2"/>
        <v>-0.37703483354852463</v>
      </c>
    </row>
    <row r="34" spans="1:13" outlineLevel="1" x14ac:dyDescent="0.3">
      <c r="A34" s="10" t="s">
        <v>181</v>
      </c>
      <c r="B34" s="11">
        <f>B32-B33</f>
        <v>110036</v>
      </c>
      <c r="C34" s="11">
        <f t="shared" ref="C34:D34" si="10">C32-C33</f>
        <v>104681</v>
      </c>
      <c r="D34" s="11">
        <f t="shared" si="10"/>
        <v>69844</v>
      </c>
      <c r="F34" s="27">
        <f t="shared" si="6"/>
        <v>0.13412301882836775</v>
      </c>
      <c r="G34" s="27">
        <f t="shared" si="7"/>
        <v>0.12162521712357018</v>
      </c>
      <c r="H34" s="27">
        <f t="shared" si="8"/>
        <v>9.2312979117102831E-2</v>
      </c>
      <c r="J34" s="30">
        <f t="shared" si="4"/>
        <v>-4.8665891162892105E-2</v>
      </c>
      <c r="K34" s="30">
        <f t="shared" si="1"/>
        <v>-0.33279200619023508</v>
      </c>
      <c r="M34" s="30">
        <f t="shared" si="2"/>
        <v>-0.20329571219930842</v>
      </c>
    </row>
    <row r="35" spans="1:13" outlineLevel="1" x14ac:dyDescent="0.3">
      <c r="A35" s="8" t="s">
        <v>288</v>
      </c>
      <c r="B35" s="9">
        <v>1366</v>
      </c>
      <c r="C35" s="9">
        <v>1273</v>
      </c>
      <c r="D35" s="9">
        <v>1175</v>
      </c>
      <c r="F35" s="173">
        <f t="shared" si="6"/>
        <v>1.6650191184662323E-3</v>
      </c>
      <c r="G35" s="173">
        <f t="shared" si="7"/>
        <v>1.4790544740526442E-3</v>
      </c>
      <c r="H35" s="173">
        <f t="shared" si="8"/>
        <v>1.5530002643404704E-3</v>
      </c>
      <c r="J35" s="30">
        <f t="shared" si="4"/>
        <v>-6.8081991215226956E-2</v>
      </c>
      <c r="K35" s="30">
        <f t="shared" si="1"/>
        <v>-7.6983503534956754E-2</v>
      </c>
      <c r="M35" s="30">
        <f t="shared" si="2"/>
        <v>-7.2543426644028464E-2</v>
      </c>
    </row>
    <row r="36" spans="1:13" outlineLevel="1" x14ac:dyDescent="0.3">
      <c r="A36" s="8" t="s">
        <v>12</v>
      </c>
      <c r="B36" s="9">
        <v>267</v>
      </c>
      <c r="C36" s="9">
        <v>284</v>
      </c>
      <c r="D36" s="9">
        <v>9</v>
      </c>
      <c r="F36" s="173">
        <f t="shared" si="6"/>
        <v>3.2544663589347293E-4</v>
      </c>
      <c r="G36" s="173">
        <f t="shared" si="7"/>
        <v>3.2996973341001642E-4</v>
      </c>
      <c r="H36" s="206">
        <f t="shared" si="8"/>
        <v>1.1895321173671689E-5</v>
      </c>
      <c r="J36" s="30">
        <f t="shared" si="4"/>
        <v>6.367041198501866E-2</v>
      </c>
      <c r="K36" s="30">
        <f t="shared" si="1"/>
        <v>-0.96830985915492962</v>
      </c>
      <c r="M36" s="30">
        <f t="shared" si="2"/>
        <v>-0.81640298159136859</v>
      </c>
    </row>
    <row r="37" spans="1:13" outlineLevel="1" x14ac:dyDescent="0.3">
      <c r="A37" s="10" t="s">
        <v>10</v>
      </c>
      <c r="B37" s="11">
        <f>B34+B35+B36</f>
        <v>111669</v>
      </c>
      <c r="C37" s="11">
        <f t="shared" ref="C37:D37" si="11">C34+C35+C36</f>
        <v>106238</v>
      </c>
      <c r="D37" s="11">
        <f t="shared" si="11"/>
        <v>71028</v>
      </c>
      <c r="F37" s="27">
        <f t="shared" si="6"/>
        <v>0.13611348458272743</v>
      </c>
      <c r="G37" s="27">
        <f t="shared" si="7"/>
        <v>0.12343424133103284</v>
      </c>
      <c r="H37" s="27">
        <f t="shared" si="8"/>
        <v>9.3877874702616965E-2</v>
      </c>
      <c r="J37" s="30">
        <f t="shared" si="4"/>
        <v>-4.8634804645873109E-2</v>
      </c>
      <c r="K37" s="30">
        <f t="shared" si="1"/>
        <v>-0.33142566689884978</v>
      </c>
      <c r="M37" s="30">
        <f t="shared" si="2"/>
        <v>-0.20246733545294149</v>
      </c>
    </row>
    <row r="38" spans="1:13" outlineLevel="1" x14ac:dyDescent="0.3">
      <c r="A38" s="8" t="s">
        <v>13</v>
      </c>
      <c r="B38" s="9">
        <v>32862</v>
      </c>
      <c r="C38" s="9">
        <v>29732</v>
      </c>
      <c r="D38" s="9">
        <v>14252</v>
      </c>
      <c r="F38" s="27">
        <f t="shared" si="6"/>
        <v>4.0055533141315755E-2</v>
      </c>
      <c r="G38" s="27">
        <f t="shared" si="7"/>
        <v>3.454457786530496E-2</v>
      </c>
      <c r="H38" s="27">
        <f t="shared" si="8"/>
        <v>1.8836901929685436E-2</v>
      </c>
      <c r="J38" s="30">
        <f t="shared" si="4"/>
        <v>-9.524678960501487E-2</v>
      </c>
      <c r="K38" s="30">
        <f t="shared" si="1"/>
        <v>-0.52065115027579711</v>
      </c>
      <c r="M38" s="30">
        <f t="shared" si="2"/>
        <v>-0.34144672904379569</v>
      </c>
    </row>
    <row r="39" spans="1:13" outlineLevel="1" x14ac:dyDescent="0.3">
      <c r="A39" s="10" t="s">
        <v>14</v>
      </c>
      <c r="B39" s="11">
        <f>B37-B38</f>
        <v>78807</v>
      </c>
      <c r="C39" s="11">
        <f t="shared" ref="C39:D39" si="12">C37-C38</f>
        <v>76506</v>
      </c>
      <c r="D39" s="11">
        <f t="shared" si="12"/>
        <v>56776</v>
      </c>
      <c r="F39" s="27">
        <f t="shared" si="6"/>
        <v>9.6057951441411688E-2</v>
      </c>
      <c r="G39" s="27">
        <f t="shared" si="7"/>
        <v>8.8889663465727881E-2</v>
      </c>
      <c r="H39" s="27">
        <f t="shared" si="8"/>
        <v>7.5040972772931536E-2</v>
      </c>
      <c r="J39" s="30">
        <f t="shared" si="4"/>
        <v>-2.9197913890897986E-2</v>
      </c>
      <c r="K39" s="30">
        <f t="shared" si="1"/>
        <v>-0.25788827020103</v>
      </c>
      <c r="M39" s="30">
        <f t="shared" si="2"/>
        <v>-0.15121049993836855</v>
      </c>
    </row>
    <row r="40" spans="1:13" outlineLevel="1" x14ac:dyDescent="0.3">
      <c r="A40" s="10" t="s">
        <v>201</v>
      </c>
      <c r="B40" s="11">
        <f>B39</f>
        <v>78807</v>
      </c>
      <c r="C40" s="11">
        <f t="shared" ref="C40:D40" si="13">C39</f>
        <v>76506</v>
      </c>
      <c r="D40" s="11">
        <f t="shared" si="13"/>
        <v>56776</v>
      </c>
    </row>
    <row r="41" spans="1:13" outlineLevel="1" x14ac:dyDescent="0.3">
      <c r="A41" s="8" t="s">
        <v>60</v>
      </c>
      <c r="B41" s="9">
        <v>22656</v>
      </c>
      <c r="C41" s="9">
        <v>24166</v>
      </c>
      <c r="D41" s="9">
        <v>24166</v>
      </c>
    </row>
    <row r="42" spans="1:13" outlineLevel="1" x14ac:dyDescent="0.3">
      <c r="F42" s="15"/>
    </row>
    <row r="45" spans="1:13" s="163" customFormat="1" ht="14.4" x14ac:dyDescent="0.3">
      <c r="A45" s="162" t="s">
        <v>17</v>
      </c>
    </row>
    <row r="46" spans="1:13" outlineLevel="1" x14ac:dyDescent="0.3"/>
    <row r="47" spans="1:13" outlineLevel="1" x14ac:dyDescent="0.3">
      <c r="A47" s="6" t="str">
        <f>A18</f>
        <v>Particulars</v>
      </c>
      <c r="B47" s="21" t="str">
        <f>B18</f>
        <v>FY18</v>
      </c>
      <c r="C47" s="21" t="str">
        <f>C18</f>
        <v>FY19</v>
      </c>
      <c r="D47" s="21" t="str">
        <f>D18</f>
        <v>FY20</v>
      </c>
    </row>
    <row r="48" spans="1:13" outlineLevel="1" x14ac:dyDescent="0.3">
      <c r="A48" s="270" t="s">
        <v>18</v>
      </c>
      <c r="B48" s="270"/>
      <c r="C48" s="270"/>
      <c r="D48" s="270"/>
    </row>
    <row r="49" spans="1:5" outlineLevel="1" x14ac:dyDescent="0.3">
      <c r="A49" s="8" t="s">
        <v>134</v>
      </c>
      <c r="B49" s="9">
        <v>1510</v>
      </c>
      <c r="C49" s="9">
        <v>1510</v>
      </c>
      <c r="D49" s="9">
        <v>1510</v>
      </c>
    </row>
    <row r="50" spans="1:5" outlineLevel="1" x14ac:dyDescent="0.3">
      <c r="A50" s="8" t="s">
        <v>135</v>
      </c>
      <c r="B50" s="9">
        <v>424084</v>
      </c>
      <c r="C50" s="9">
        <v>469411</v>
      </c>
      <c r="D50" s="9">
        <v>492620</v>
      </c>
    </row>
    <row r="51" spans="1:5" outlineLevel="1" x14ac:dyDescent="0.3">
      <c r="A51" s="10" t="s">
        <v>20</v>
      </c>
      <c r="B51" s="11">
        <f>B49+B50</f>
        <v>425594</v>
      </c>
      <c r="C51" s="11">
        <f t="shared" ref="C51:D51" si="14">C49+C50</f>
        <v>470921</v>
      </c>
      <c r="D51" s="11">
        <f t="shared" si="14"/>
        <v>494130</v>
      </c>
    </row>
    <row r="52" spans="1:5" outlineLevel="1" x14ac:dyDescent="0.3">
      <c r="A52" s="8" t="s">
        <v>136</v>
      </c>
      <c r="B52" s="9">
        <v>161</v>
      </c>
      <c r="C52" s="9">
        <v>176</v>
      </c>
      <c r="D52" s="9">
        <v>192</v>
      </c>
    </row>
    <row r="53" spans="1:5" outlineLevel="1" x14ac:dyDescent="0.3">
      <c r="A53" s="8"/>
      <c r="B53" s="9"/>
      <c r="C53" s="9"/>
      <c r="D53" s="9"/>
    </row>
    <row r="54" spans="1:5" outlineLevel="1" x14ac:dyDescent="0.3">
      <c r="A54" s="12" t="s">
        <v>21</v>
      </c>
      <c r="B54" s="9"/>
      <c r="C54" s="9"/>
      <c r="D54" s="9"/>
    </row>
    <row r="55" spans="1:5" outlineLevel="1" x14ac:dyDescent="0.3">
      <c r="A55" s="8" t="s">
        <v>22</v>
      </c>
      <c r="B55" s="9">
        <v>100</v>
      </c>
      <c r="C55" s="9">
        <v>60</v>
      </c>
      <c r="D55" s="9">
        <v>629</v>
      </c>
      <c r="E55" s="25"/>
    </row>
    <row r="56" spans="1:5" outlineLevel="1" x14ac:dyDescent="0.3">
      <c r="A56" s="8" t="s">
        <v>289</v>
      </c>
      <c r="B56" s="9">
        <v>265</v>
      </c>
      <c r="C56" s="9">
        <v>395</v>
      </c>
      <c r="D56" s="9">
        <v>516</v>
      </c>
      <c r="E56" s="25"/>
    </row>
    <row r="57" spans="1:5" outlineLevel="1" x14ac:dyDescent="0.3">
      <c r="A57" s="8" t="s">
        <v>166</v>
      </c>
      <c r="B57" s="9">
        <v>6020</v>
      </c>
      <c r="C57" s="9">
        <v>6139</v>
      </c>
      <c r="D57" s="9">
        <v>6575</v>
      </c>
      <c r="E57" s="25"/>
    </row>
    <row r="58" spans="1:5" outlineLevel="1" x14ac:dyDescent="0.3">
      <c r="A58" s="8" t="s">
        <v>45</v>
      </c>
      <c r="B58" s="9">
        <v>15859</v>
      </c>
      <c r="C58" s="9">
        <v>20371</v>
      </c>
      <c r="D58" s="9">
        <v>21158</v>
      </c>
    </row>
    <row r="59" spans="1:5" outlineLevel="1" x14ac:dyDescent="0.3">
      <c r="A59" s="10" t="s">
        <v>26</v>
      </c>
      <c r="B59" s="11">
        <f>SUM(B55:B58)</f>
        <v>22244</v>
      </c>
      <c r="C59" s="11">
        <f>SUM(C55:C58)</f>
        <v>26965</v>
      </c>
      <c r="D59" s="11">
        <f>SUM(D55:D58)</f>
        <v>28878</v>
      </c>
    </row>
    <row r="60" spans="1:5" outlineLevel="1" x14ac:dyDescent="0.3">
      <c r="A60" s="8"/>
      <c r="B60" s="9"/>
      <c r="C60" s="9"/>
      <c r="D60" s="9"/>
    </row>
    <row r="61" spans="1:5" outlineLevel="1" x14ac:dyDescent="0.3">
      <c r="A61" s="12" t="s">
        <v>27</v>
      </c>
      <c r="B61" s="9"/>
      <c r="C61" s="9"/>
      <c r="D61" s="9"/>
    </row>
    <row r="62" spans="1:5" outlineLevel="1" x14ac:dyDescent="0.3">
      <c r="A62" s="8" t="s">
        <v>91</v>
      </c>
      <c r="B62" s="9">
        <v>1108</v>
      </c>
      <c r="C62" s="9">
        <v>1496</v>
      </c>
      <c r="D62" s="9">
        <v>1166</v>
      </c>
    </row>
    <row r="63" spans="1:5" outlineLevel="1" x14ac:dyDescent="0.3">
      <c r="A63" s="8" t="s">
        <v>24</v>
      </c>
      <c r="B63" s="9">
        <v>104993</v>
      </c>
      <c r="C63" s="9">
        <v>96377</v>
      </c>
      <c r="D63" s="9">
        <v>74988</v>
      </c>
    </row>
    <row r="64" spans="1:5" outlineLevel="1" x14ac:dyDescent="0.3">
      <c r="A64" s="8" t="s">
        <v>25</v>
      </c>
      <c r="B64" s="9">
        <v>13338</v>
      </c>
      <c r="C64" s="9">
        <v>14420</v>
      </c>
      <c r="D64" s="9">
        <v>9040</v>
      </c>
    </row>
    <row r="65" spans="1:11" outlineLevel="1" x14ac:dyDescent="0.3">
      <c r="A65" s="24" t="s">
        <v>167</v>
      </c>
      <c r="B65" s="9">
        <v>0</v>
      </c>
      <c r="C65" s="9">
        <v>20</v>
      </c>
      <c r="D65" s="9">
        <v>23</v>
      </c>
    </row>
    <row r="66" spans="1:11" outlineLevel="1" x14ac:dyDescent="0.3">
      <c r="A66" s="24" t="s">
        <v>290</v>
      </c>
      <c r="B66" s="9">
        <v>5609</v>
      </c>
      <c r="C66" s="9">
        <v>6254</v>
      </c>
      <c r="D66" s="9">
        <v>6807</v>
      </c>
    </row>
    <row r="67" spans="1:11" outlineLevel="1" x14ac:dyDescent="0.3">
      <c r="A67" s="8" t="s">
        <v>44</v>
      </c>
      <c r="B67" s="9">
        <v>20896</v>
      </c>
      <c r="C67" s="9">
        <v>16329</v>
      </c>
      <c r="D67" s="9">
        <v>14091</v>
      </c>
    </row>
    <row r="68" spans="1:11" outlineLevel="1" x14ac:dyDescent="0.3">
      <c r="A68" s="8" t="s">
        <v>291</v>
      </c>
      <c r="B68" s="9">
        <v>8541</v>
      </c>
      <c r="C68" s="9">
        <v>6729</v>
      </c>
      <c r="D68" s="9">
        <v>6962</v>
      </c>
    </row>
    <row r="69" spans="1:11" outlineLevel="1" x14ac:dyDescent="0.3">
      <c r="A69" s="10" t="s">
        <v>28</v>
      </c>
      <c r="B69" s="11">
        <f>SUM(B62:B68)</f>
        <v>154485</v>
      </c>
      <c r="C69" s="11">
        <f>SUM(C62:C68)</f>
        <v>141625</v>
      </c>
      <c r="D69" s="11">
        <f>SUM(D62:D68)</f>
        <v>113077</v>
      </c>
    </row>
    <row r="70" spans="1:11" outlineLevel="1" x14ac:dyDescent="0.3">
      <c r="A70" s="10" t="s">
        <v>29</v>
      </c>
      <c r="B70" s="11">
        <f>B51+B52+B59+B69</f>
        <v>602484</v>
      </c>
      <c r="C70" s="11">
        <f>C51+C52+C59+C69</f>
        <v>639687</v>
      </c>
      <c r="D70" s="11">
        <f>D51+D52+D59+D69</f>
        <v>636277</v>
      </c>
    </row>
    <row r="71" spans="1:11" outlineLevel="1" x14ac:dyDescent="0.3">
      <c r="A71" s="8"/>
      <c r="B71" s="8"/>
      <c r="C71" s="8"/>
      <c r="D71" s="8"/>
    </row>
    <row r="72" spans="1:11" outlineLevel="1" x14ac:dyDescent="0.3">
      <c r="A72" s="270" t="s">
        <v>30</v>
      </c>
      <c r="B72" s="270"/>
      <c r="C72" s="270"/>
      <c r="D72" s="270"/>
    </row>
    <row r="73" spans="1:11" outlineLevel="1" x14ac:dyDescent="0.3">
      <c r="A73" s="12" t="s">
        <v>31</v>
      </c>
      <c r="B73" s="8"/>
      <c r="C73" s="8"/>
      <c r="D73" s="8"/>
    </row>
    <row r="74" spans="1:11" outlineLevel="1" x14ac:dyDescent="0.3">
      <c r="A74" s="8" t="s">
        <v>32</v>
      </c>
      <c r="B74" s="9">
        <v>130771</v>
      </c>
      <c r="C74" s="9">
        <v>149862</v>
      </c>
      <c r="D74" s="9">
        <v>147905</v>
      </c>
      <c r="F74" s="25"/>
    </row>
    <row r="75" spans="1:11" outlineLevel="1" x14ac:dyDescent="0.3">
      <c r="A75" s="8" t="s">
        <v>33</v>
      </c>
      <c r="B75" s="9">
        <v>3117</v>
      </c>
      <c r="C75" s="9">
        <v>4511</v>
      </c>
      <c r="D75" s="9">
        <v>4067</v>
      </c>
      <c r="F75" s="25"/>
      <c r="G75" s="14"/>
    </row>
    <row r="76" spans="1:11" outlineLevel="1" x14ac:dyDescent="0.3">
      <c r="A76" s="8" t="s">
        <v>34</v>
      </c>
      <c r="B76" s="9">
        <v>21321</v>
      </c>
      <c r="C76" s="9">
        <v>16069</v>
      </c>
      <c r="D76" s="9">
        <v>13443</v>
      </c>
      <c r="E76" s="26"/>
      <c r="F76" s="200"/>
      <c r="G76" s="200"/>
      <c r="H76" s="200"/>
      <c r="K76" s="14"/>
    </row>
    <row r="77" spans="1:11" outlineLevel="1" x14ac:dyDescent="0.3">
      <c r="A77" s="8" t="s">
        <v>299</v>
      </c>
      <c r="B77" s="9">
        <v>0</v>
      </c>
      <c r="C77" s="9">
        <v>0</v>
      </c>
      <c r="D77" s="9">
        <v>6181</v>
      </c>
      <c r="E77" s="26"/>
      <c r="F77" s="25"/>
      <c r="K77" s="14"/>
    </row>
    <row r="78" spans="1:11" outlineLevel="1" x14ac:dyDescent="0.3">
      <c r="A78" s="8" t="s">
        <v>182</v>
      </c>
      <c r="B78" s="9"/>
      <c r="C78" s="9"/>
      <c r="D78" s="9"/>
    </row>
    <row r="79" spans="1:11" outlineLevel="1" x14ac:dyDescent="0.3">
      <c r="A79" s="24" t="s">
        <v>292</v>
      </c>
      <c r="B79" s="9">
        <v>349058</v>
      </c>
      <c r="C79" s="9">
        <v>324581</v>
      </c>
      <c r="D79" s="9">
        <v>362692</v>
      </c>
    </row>
    <row r="80" spans="1:11" outlineLevel="1" x14ac:dyDescent="0.3">
      <c r="A80" s="24" t="s">
        <v>293</v>
      </c>
      <c r="B80" s="9">
        <v>2</v>
      </c>
      <c r="C80" s="9">
        <v>2</v>
      </c>
      <c r="D80" s="9">
        <v>2</v>
      </c>
    </row>
    <row r="81" spans="1:10" outlineLevel="1" x14ac:dyDescent="0.3">
      <c r="A81" s="24" t="s">
        <v>294</v>
      </c>
      <c r="B81" s="9">
        <v>328</v>
      </c>
      <c r="C81" s="9">
        <v>344</v>
      </c>
      <c r="D81" s="9">
        <v>365</v>
      </c>
    </row>
    <row r="82" spans="1:10" outlineLevel="1" x14ac:dyDescent="0.3">
      <c r="A82" s="8" t="s">
        <v>36</v>
      </c>
      <c r="B82" s="9">
        <v>18587</v>
      </c>
      <c r="C82" s="9">
        <v>20591</v>
      </c>
      <c r="D82" s="9">
        <v>17216</v>
      </c>
      <c r="J82" s="20"/>
    </row>
    <row r="83" spans="1:10" outlineLevel="1" x14ac:dyDescent="0.3">
      <c r="A83" s="10" t="s">
        <v>37</v>
      </c>
      <c r="B83" s="11">
        <f>B74+B75+B76+B77+B79+B80+B81+B82</f>
        <v>523184</v>
      </c>
      <c r="C83" s="11">
        <f t="shared" ref="C83:D83" si="15">C74+C75+C76+C77+C79+C80+C81+C82</f>
        <v>515960</v>
      </c>
      <c r="D83" s="11">
        <f t="shared" si="15"/>
        <v>551871</v>
      </c>
      <c r="J83" s="20"/>
    </row>
    <row r="84" spans="1:10" outlineLevel="1" x14ac:dyDescent="0.3">
      <c r="A84" s="8"/>
      <c r="B84" s="9"/>
      <c r="C84" s="9"/>
      <c r="D84" s="9"/>
    </row>
    <row r="85" spans="1:10" outlineLevel="1" x14ac:dyDescent="0.3">
      <c r="A85" s="12" t="s">
        <v>38</v>
      </c>
      <c r="B85" s="9"/>
      <c r="C85" s="9"/>
      <c r="D85" s="9"/>
    </row>
    <row r="86" spans="1:10" outlineLevel="1" x14ac:dyDescent="0.3">
      <c r="A86" s="8" t="s">
        <v>39</v>
      </c>
      <c r="B86" s="9">
        <v>31602</v>
      </c>
      <c r="C86" s="9">
        <v>33226</v>
      </c>
      <c r="D86" s="9">
        <v>32139</v>
      </c>
    </row>
    <row r="87" spans="1:10" outlineLevel="1" x14ac:dyDescent="0.3">
      <c r="A87" s="8" t="s">
        <v>35</v>
      </c>
      <c r="B87" s="9">
        <v>14654</v>
      </c>
      <c r="C87" s="9">
        <v>23128</v>
      </c>
      <c r="D87" s="9">
        <v>21298</v>
      </c>
    </row>
    <row r="88" spans="1:10" outlineLevel="1" x14ac:dyDescent="0.3">
      <c r="A88" s="8" t="s">
        <v>206</v>
      </c>
      <c r="B88" s="9">
        <v>740</v>
      </c>
      <c r="C88" s="9">
        <v>1878</v>
      </c>
      <c r="D88" s="9">
        <v>290</v>
      </c>
    </row>
    <row r="89" spans="1:10" outlineLevel="1" x14ac:dyDescent="0.3">
      <c r="A89" s="8" t="s">
        <v>182</v>
      </c>
      <c r="B89" s="9"/>
      <c r="C89" s="9"/>
      <c r="D89" s="9"/>
    </row>
    <row r="90" spans="1:10" outlineLevel="1" x14ac:dyDescent="0.3">
      <c r="A90" s="24" t="s">
        <v>292</v>
      </c>
      <c r="B90" s="9">
        <v>12173</v>
      </c>
      <c r="C90" s="9">
        <v>50455</v>
      </c>
      <c r="D90" s="9">
        <v>12188</v>
      </c>
    </row>
    <row r="91" spans="1:10" outlineLevel="1" x14ac:dyDescent="0.3">
      <c r="A91" s="24" t="s">
        <v>293</v>
      </c>
      <c r="B91" s="9">
        <v>30</v>
      </c>
      <c r="C91" s="9">
        <v>161</v>
      </c>
      <c r="D91" s="9">
        <v>170</v>
      </c>
    </row>
    <row r="92" spans="1:10" outlineLevel="1" x14ac:dyDescent="0.3">
      <c r="A92" s="24" t="s">
        <v>294</v>
      </c>
      <c r="B92" s="9">
        <v>2846</v>
      </c>
      <c r="C92" s="9">
        <v>4964</v>
      </c>
      <c r="D92" s="9">
        <v>5075</v>
      </c>
    </row>
    <row r="93" spans="1:10" outlineLevel="1" x14ac:dyDescent="0.3">
      <c r="A93" s="8" t="s">
        <v>40</v>
      </c>
      <c r="B93" s="9">
        <v>13140</v>
      </c>
      <c r="C93" s="9">
        <v>5638</v>
      </c>
      <c r="D93" s="9">
        <v>7974</v>
      </c>
    </row>
    <row r="94" spans="1:10" outlineLevel="1" x14ac:dyDescent="0.3">
      <c r="A94" s="8" t="s">
        <v>295</v>
      </c>
      <c r="B94" s="9">
        <v>4115</v>
      </c>
      <c r="C94" s="9">
        <v>4277</v>
      </c>
      <c r="D94" s="9">
        <v>5272</v>
      </c>
    </row>
    <row r="95" spans="1:10" outlineLevel="1" x14ac:dyDescent="0.3">
      <c r="A95" s="10" t="s">
        <v>41</v>
      </c>
      <c r="B95" s="11">
        <f>B86+B87+B88+B90+B91+B92+B93+B94</f>
        <v>79300</v>
      </c>
      <c r="C95" s="11">
        <f t="shared" ref="C95:D95" si="16">C86+C87+C88+C90+C91+C92+C93+C94</f>
        <v>123727</v>
      </c>
      <c r="D95" s="11">
        <f t="shared" si="16"/>
        <v>84406</v>
      </c>
    </row>
    <row r="96" spans="1:10" outlineLevel="1" x14ac:dyDescent="0.3">
      <c r="A96" s="10" t="s">
        <v>42</v>
      </c>
      <c r="B96" s="11">
        <f>B83+B95</f>
        <v>602484</v>
      </c>
      <c r="C96" s="11">
        <f t="shared" ref="C96:D96" si="17">C83+C95</f>
        <v>639687</v>
      </c>
      <c r="D96" s="11">
        <f t="shared" si="17"/>
        <v>636277</v>
      </c>
    </row>
    <row r="97" spans="1:4" outlineLevel="1" x14ac:dyDescent="0.3"/>
    <row r="98" spans="1:4" outlineLevel="1" x14ac:dyDescent="0.3"/>
    <row r="99" spans="1:4" outlineLevel="1" x14ac:dyDescent="0.3"/>
    <row r="100" spans="1:4" outlineLevel="1" x14ac:dyDescent="0.3">
      <c r="B100" s="20"/>
      <c r="C100" s="20"/>
      <c r="D100" s="20"/>
    </row>
    <row r="101" spans="1:4" outlineLevel="1" x14ac:dyDescent="0.3">
      <c r="A101" s="3" t="s">
        <v>43</v>
      </c>
      <c r="B101" s="20">
        <f>ROUND(B96-B70,0)</f>
        <v>0</v>
      </c>
      <c r="C101" s="20">
        <f>ROUND(C96-C70,0)</f>
        <v>0</v>
      </c>
      <c r="D101" s="20">
        <f>ROUND(D96-D70,0)</f>
        <v>0</v>
      </c>
    </row>
    <row r="102" spans="1:4" outlineLevel="1" x14ac:dyDescent="0.3">
      <c r="B102" s="20"/>
      <c r="C102" s="20"/>
      <c r="D102" s="20"/>
    </row>
    <row r="103" spans="1:4" outlineLevel="1" x14ac:dyDescent="0.3">
      <c r="A103" s="3" t="s">
        <v>296</v>
      </c>
      <c r="B103" s="19">
        <v>302.08</v>
      </c>
      <c r="C103" s="19">
        <f>B103</f>
        <v>302.08</v>
      </c>
      <c r="D103" s="19">
        <f>C103</f>
        <v>302.08</v>
      </c>
    </row>
    <row r="104" spans="1:4" outlineLevel="1" x14ac:dyDescent="0.3">
      <c r="A104" s="3" t="s">
        <v>61</v>
      </c>
      <c r="B104" s="25">
        <f>B55+B65+B62</f>
        <v>1208</v>
      </c>
      <c r="C104" s="25">
        <f>C55+C65+C62</f>
        <v>1576</v>
      </c>
      <c r="D104" s="25">
        <f>D55+D65+D62</f>
        <v>1818</v>
      </c>
    </row>
    <row r="105" spans="1:4" outlineLevel="1" x14ac:dyDescent="0.3">
      <c r="A105" s="3" t="s">
        <v>62</v>
      </c>
      <c r="B105" s="25">
        <f>B104-B88</f>
        <v>468</v>
      </c>
      <c r="C105" s="25">
        <f>C104-C88</f>
        <v>-302</v>
      </c>
      <c r="D105" s="25">
        <f>D104-D88</f>
        <v>1528</v>
      </c>
    </row>
    <row r="106" spans="1:4" outlineLevel="1" x14ac:dyDescent="0.3">
      <c r="A106" s="3" t="s">
        <v>165</v>
      </c>
      <c r="B106" s="25">
        <f>SUM(B74:B75)</f>
        <v>133888</v>
      </c>
      <c r="C106" s="25">
        <f t="shared" ref="C106:D106" si="18">SUM(C74:C75)</f>
        <v>154373</v>
      </c>
      <c r="D106" s="25">
        <f t="shared" si="18"/>
        <v>151972</v>
      </c>
    </row>
    <row r="107" spans="1:4" outlineLevel="1" x14ac:dyDescent="0.3">
      <c r="A107" s="3" t="s">
        <v>73</v>
      </c>
      <c r="B107" s="25">
        <f>SUM(B74:B76)</f>
        <v>155209</v>
      </c>
      <c r="C107" s="25">
        <f>SUM(C74:C76)</f>
        <v>170442</v>
      </c>
      <c r="D107" s="25">
        <f>SUM(D74:D76)</f>
        <v>165415</v>
      </c>
    </row>
    <row r="108" spans="1:4" x14ac:dyDescent="0.3">
      <c r="B108" s="25"/>
      <c r="C108" s="25"/>
      <c r="D108" s="25"/>
    </row>
    <row r="110" spans="1:4" s="163" customFormat="1" ht="14.4" x14ac:dyDescent="0.3">
      <c r="A110" s="162" t="s">
        <v>46</v>
      </c>
    </row>
    <row r="111" spans="1:4" outlineLevel="1" x14ac:dyDescent="0.3"/>
    <row r="112" spans="1:4" ht="14.4" outlineLevel="1" x14ac:dyDescent="0.3">
      <c r="A112" s="5" t="s">
        <v>49</v>
      </c>
    </row>
    <row r="113" spans="1:12" outlineLevel="1" x14ac:dyDescent="0.3">
      <c r="A113" s="8" t="s">
        <v>47</v>
      </c>
      <c r="B113" s="30">
        <f>B30/B21</f>
        <v>0.16779308072957858</v>
      </c>
      <c r="C113" s="30">
        <f>C30/C21</f>
        <v>0.15304958473475716</v>
      </c>
      <c r="D113" s="30">
        <f>D30/D21</f>
        <v>0.13478170604498546</v>
      </c>
    </row>
    <row r="114" spans="1:12" outlineLevel="1" x14ac:dyDescent="0.3">
      <c r="A114" s="8" t="s">
        <v>48</v>
      </c>
      <c r="B114" s="30">
        <f>B39/B21</f>
        <v>9.3720900639695362E-2</v>
      </c>
      <c r="C114" s="30">
        <f>C39/C21</f>
        <v>8.6320561524809297E-2</v>
      </c>
      <c r="D114" s="30">
        <f>D39/D21</f>
        <v>7.1873449257162533E-2</v>
      </c>
    </row>
    <row r="115" spans="1:12" ht="14.4" outlineLevel="1" x14ac:dyDescent="0.3">
      <c r="A115" s="5" t="s">
        <v>223</v>
      </c>
    </row>
    <row r="116" spans="1:12" outlineLevel="1" x14ac:dyDescent="0.3">
      <c r="A116" s="8" t="s">
        <v>63</v>
      </c>
      <c r="B116" s="209">
        <f>B104/(B51+B52)</f>
        <v>2.837312538901481E-3</v>
      </c>
      <c r="C116" s="209">
        <f>C104/(C51+C52)</f>
        <v>3.3453832225635062E-3</v>
      </c>
      <c r="D116" s="209">
        <f>D104/(D51+D52)</f>
        <v>3.6777646958864869E-3</v>
      </c>
      <c r="E116" s="26"/>
    </row>
    <row r="117" spans="1:12" outlineLevel="1" x14ac:dyDescent="0.3">
      <c r="A117" s="8" t="s">
        <v>50</v>
      </c>
      <c r="B117" s="209">
        <f>B105/B30</f>
        <v>3.3169846624897231E-3</v>
      </c>
      <c r="C117" s="209">
        <f>C105/C30</f>
        <v>-2.2263505543760323E-3</v>
      </c>
      <c r="D117" s="209">
        <f>D105/D30</f>
        <v>1.4351460505306659E-2</v>
      </c>
    </row>
    <row r="118" spans="1:12" outlineLevel="1" x14ac:dyDescent="0.3">
      <c r="A118" s="8" t="s">
        <v>51</v>
      </c>
      <c r="B118" s="29">
        <f>B30/B33</f>
        <v>40.801619433198383</v>
      </c>
      <c r="C118" s="29">
        <f>C30/C33</f>
        <v>178.71936758893281</v>
      </c>
      <c r="D118" s="29">
        <f>D30/D33</f>
        <v>79.336810730253347</v>
      </c>
    </row>
    <row r="119" spans="1:12" ht="14.4" outlineLevel="1" x14ac:dyDescent="0.3">
      <c r="A119" s="5" t="s">
        <v>53</v>
      </c>
    </row>
    <row r="120" spans="1:12" outlineLevel="1" x14ac:dyDescent="0.3">
      <c r="A120" s="8" t="s">
        <v>52</v>
      </c>
      <c r="B120" s="16">
        <f>B95/B69</f>
        <v>0.51331844515648772</v>
      </c>
      <c r="C120" s="16">
        <f>C95/C69</f>
        <v>0.87362400706090027</v>
      </c>
      <c r="D120" s="16">
        <f>D95/D69</f>
        <v>0.74644711126046848</v>
      </c>
    </row>
    <row r="121" spans="1:12" outlineLevel="1" x14ac:dyDescent="0.3">
      <c r="A121" s="8" t="s">
        <v>54</v>
      </c>
      <c r="B121" s="28">
        <f>B87/B19*365</f>
        <v>6.5195493478268816</v>
      </c>
      <c r="C121" s="28">
        <f>C87/C19*365</f>
        <v>9.8081411898662108</v>
      </c>
      <c r="D121" s="28">
        <f>D87/D19*365</f>
        <v>10.274610097805974</v>
      </c>
    </row>
    <row r="122" spans="1:12" outlineLevel="1" x14ac:dyDescent="0.3">
      <c r="A122" s="8" t="s">
        <v>55</v>
      </c>
      <c r="B122" s="9">
        <f>B86/B28*365</f>
        <v>16.483436866315984</v>
      </c>
      <c r="C122" s="9">
        <f>C86/C28*365</f>
        <v>16.155920245439638</v>
      </c>
      <c r="D122" s="9">
        <f>D86/D28*365</f>
        <v>17.163396120408382</v>
      </c>
    </row>
    <row r="123" spans="1:12" outlineLevel="1" x14ac:dyDescent="0.3">
      <c r="A123" s="8" t="s">
        <v>56</v>
      </c>
      <c r="B123" s="9">
        <f>B63/B24*365</f>
        <v>69.694786500588336</v>
      </c>
      <c r="C123" s="9">
        <f>C63/C24*365</f>
        <v>58.372599516460106</v>
      </c>
      <c r="D123" s="9">
        <f>D63/D24*365</f>
        <v>51.484050087184201</v>
      </c>
      <c r="L123" s="181"/>
    </row>
    <row r="124" spans="1:12" outlineLevel="1" x14ac:dyDescent="0.3">
      <c r="A124" s="8" t="s">
        <v>72</v>
      </c>
      <c r="B124" s="16">
        <f>B19/B106</f>
        <v>6.1275917184512432</v>
      </c>
      <c r="C124" s="16">
        <f>C19/C106</f>
        <v>5.5753596807731922</v>
      </c>
      <c r="D124" s="16">
        <f>D19/D106</f>
        <v>4.9785486800200038</v>
      </c>
    </row>
    <row r="125" spans="1:12" ht="14.4" outlineLevel="1" x14ac:dyDescent="0.3">
      <c r="A125" s="5" t="s">
        <v>224</v>
      </c>
    </row>
    <row r="126" spans="1:12" outlineLevel="1" x14ac:dyDescent="0.3">
      <c r="A126" s="8" t="s">
        <v>57</v>
      </c>
      <c r="B126" s="30">
        <f>B40/B51</f>
        <v>0.18516943377961156</v>
      </c>
      <c r="C126" s="30">
        <f>C40/C51</f>
        <v>0.16246037021071474</v>
      </c>
      <c r="D126" s="30">
        <f>D40/D51</f>
        <v>0.11490093700038452</v>
      </c>
    </row>
    <row r="127" spans="1:12" outlineLevel="1" x14ac:dyDescent="0.3">
      <c r="A127" s="8" t="s">
        <v>240</v>
      </c>
      <c r="B127" s="30">
        <f>B39/B96</f>
        <v>0.13080347361921643</v>
      </c>
      <c r="C127" s="30">
        <f>C39/C96</f>
        <v>0.11959911644288534</v>
      </c>
      <c r="D127" s="30">
        <f>D39/D96</f>
        <v>8.9231576813243285E-2</v>
      </c>
    </row>
    <row r="128" spans="1:12" outlineLevel="1" x14ac:dyDescent="0.3">
      <c r="A128" s="8" t="s">
        <v>58</v>
      </c>
      <c r="B128" s="16">
        <f>B40/B103</f>
        <v>260.88122351694915</v>
      </c>
      <c r="C128" s="16">
        <f>C40/C103</f>
        <v>253.26403601694918</v>
      </c>
      <c r="D128" s="16">
        <f>D40/D103</f>
        <v>187.95021186440678</v>
      </c>
    </row>
    <row r="129" spans="1:6" outlineLevel="1" x14ac:dyDescent="0.3">
      <c r="A129" s="8" t="s">
        <v>207</v>
      </c>
      <c r="B129" s="16">
        <f>B41/B103</f>
        <v>75</v>
      </c>
      <c r="C129" s="16">
        <f>C41/C103</f>
        <v>79.998675847457633</v>
      </c>
      <c r="D129" s="16">
        <f>D41/D103</f>
        <v>79.998675847457633</v>
      </c>
    </row>
    <row r="130" spans="1:6" outlineLevel="1" x14ac:dyDescent="0.3">
      <c r="A130" s="8" t="s">
        <v>59</v>
      </c>
      <c r="B130" s="27">
        <f>B41/B40</f>
        <v>0.28748715215653431</v>
      </c>
      <c r="C130" s="27">
        <f>C41/C40</f>
        <v>0.31587065066792147</v>
      </c>
      <c r="D130" s="27">
        <f>D41/D40</f>
        <v>0.42563759334930251</v>
      </c>
    </row>
    <row r="131" spans="1:6" x14ac:dyDescent="0.3">
      <c r="B131" s="26"/>
      <c r="C131" s="26"/>
      <c r="D131" s="26"/>
    </row>
    <row r="132" spans="1:6" x14ac:dyDescent="0.3">
      <c r="C132" s="14"/>
      <c r="D132" s="14"/>
    </row>
    <row r="133" spans="1:6" s="163" customFormat="1" ht="14.4" x14ac:dyDescent="0.3">
      <c r="A133" s="162" t="s">
        <v>229</v>
      </c>
    </row>
    <row r="134" spans="1:6" outlineLevel="1" x14ac:dyDescent="0.3"/>
    <row r="135" spans="1:6" outlineLevel="1" x14ac:dyDescent="0.3">
      <c r="A135" s="8" t="s">
        <v>230</v>
      </c>
      <c r="B135" s="9">
        <f>B19/B9</f>
        <v>461015.38907626207</v>
      </c>
      <c r="C135" s="9">
        <f>C19/C9</f>
        <v>462125.40585003939</v>
      </c>
      <c r="D135" s="9">
        <f>D19/D9</f>
        <v>483977.13294402795</v>
      </c>
    </row>
    <row r="136" spans="1:6" outlineLevel="1" x14ac:dyDescent="0.3">
      <c r="A136" s="8" t="s">
        <v>232</v>
      </c>
      <c r="B136" s="9">
        <f>B24/B9</f>
        <v>308984.6221623827</v>
      </c>
      <c r="C136" s="9">
        <f t="shared" ref="C136:D136" si="19">C24/C9</f>
        <v>323573.42402395984</v>
      </c>
      <c r="D136" s="9">
        <f t="shared" si="19"/>
        <v>340071.65624958021</v>
      </c>
      <c r="F136" s="26"/>
    </row>
    <row r="137" spans="1:6" outlineLevel="1" x14ac:dyDescent="0.3">
      <c r="A137" s="8" t="s">
        <v>233</v>
      </c>
      <c r="B137" s="9">
        <f>B30/B9</f>
        <v>79284.143283729703</v>
      </c>
      <c r="C137" s="9">
        <f>C30/C9</f>
        <v>72833.13529659067</v>
      </c>
      <c r="D137" s="9">
        <f>D30/D9</f>
        <v>68106.060460680223</v>
      </c>
      <c r="F137" s="26"/>
    </row>
    <row r="138" spans="1:6" x14ac:dyDescent="0.3">
      <c r="B138" s="17"/>
      <c r="C138" s="17"/>
      <c r="D138" s="17"/>
    </row>
  </sheetData>
  <mergeCells count="4">
    <mergeCell ref="A48:D48"/>
    <mergeCell ref="A72:D72"/>
    <mergeCell ref="F17:H17"/>
    <mergeCell ref="J17:K17"/>
  </mergeCells>
  <pageMargins left="0.7" right="0.7" top="0.75" bottom="0.75" header="0.3" footer="0.3"/>
  <pageSetup orientation="portrait" horizontalDpi="1200" verticalDpi="1200" r:id="rId1"/>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3:J116"/>
  <sheetViews>
    <sheetView showGridLines="0" topLeftCell="A19" zoomScale="120" zoomScaleNormal="120" workbookViewId="0">
      <selection activeCell="E33" sqref="E33"/>
    </sheetView>
  </sheetViews>
  <sheetFormatPr defaultColWidth="9.109375" defaultRowHeight="13.8" outlineLevelRow="1" x14ac:dyDescent="0.3"/>
  <cols>
    <col min="1" max="1" width="34.109375" style="3" customWidth="1"/>
    <col min="2" max="2" width="12.33203125" style="3" customWidth="1"/>
    <col min="3" max="4" width="13.77734375" style="3" bestFit="1" customWidth="1"/>
    <col min="5" max="5" width="13.33203125" style="3" customWidth="1"/>
    <col min="6" max="7" width="13.77734375" style="3" bestFit="1" customWidth="1"/>
    <col min="8" max="9" width="10.44140625" style="3" bestFit="1" customWidth="1"/>
    <col min="10" max="10" width="11.44140625" style="3" bestFit="1" customWidth="1"/>
    <col min="11" max="12" width="9.109375" style="3"/>
    <col min="13" max="13" width="8.44140625" style="3" customWidth="1"/>
    <col min="14" max="14" width="12.5546875" style="3" customWidth="1"/>
    <col min="15" max="15" width="5.88671875" style="3" customWidth="1"/>
    <col min="16" max="16" width="13.33203125" style="3" bestFit="1" customWidth="1"/>
    <col min="17" max="16384" width="9.109375" style="3"/>
  </cols>
  <sheetData>
    <row r="3" spans="1:7" s="163" customFormat="1" ht="14.4" x14ac:dyDescent="0.3">
      <c r="A3" s="162" t="s">
        <v>217</v>
      </c>
    </row>
    <row r="4" spans="1:7" outlineLevel="1" x14ac:dyDescent="0.3"/>
    <row r="5" spans="1:7" outlineLevel="1" x14ac:dyDescent="0.3">
      <c r="A5" s="6" t="s">
        <v>15</v>
      </c>
      <c r="B5" s="31" t="str">
        <f>'Past Financials'!B18</f>
        <v>FY18</v>
      </c>
      <c r="C5" s="31" t="str">
        <f>'Past Financials'!C18</f>
        <v>FY19</v>
      </c>
      <c r="D5" s="31" t="str">
        <f>'Past Financials'!D18</f>
        <v>FY20</v>
      </c>
      <c r="E5" s="171" t="s">
        <v>301</v>
      </c>
      <c r="F5" s="171" t="s">
        <v>302</v>
      </c>
      <c r="G5" s="171" t="s">
        <v>303</v>
      </c>
    </row>
    <row r="6" spans="1:7" outlineLevel="1" x14ac:dyDescent="0.3">
      <c r="A6" s="8" t="s">
        <v>307</v>
      </c>
      <c r="B6" s="208">
        <f>'Past Financials'!B9</f>
        <v>1.779574</v>
      </c>
      <c r="C6" s="208">
        <f>'Past Financials'!C9</f>
        <v>1.862449</v>
      </c>
      <c r="D6" s="208">
        <f>'Past Financials'!D9</f>
        <v>1.5632969999999999</v>
      </c>
      <c r="E6" s="34">
        <f>D6*(1+E7)</f>
        <v>1.4069673</v>
      </c>
      <c r="F6" s="34">
        <f t="shared" ref="F6:G6" si="0">E6*(1+F7)</f>
        <v>1.655846473474927</v>
      </c>
      <c r="G6" s="34">
        <f t="shared" si="0"/>
        <v>1.9487500126828476</v>
      </c>
    </row>
    <row r="7" spans="1:7" outlineLevel="1" x14ac:dyDescent="0.3">
      <c r="A7" s="8" t="s">
        <v>66</v>
      </c>
      <c r="B7" s="277">
        <f>'Sector Overview'!V5</f>
        <v>2.0222641079809173E-2</v>
      </c>
      <c r="C7" s="277">
        <f>C6/B6-1</f>
        <v>4.6570134200657032E-2</v>
      </c>
      <c r="D7" s="277">
        <f>D6/C6-1</f>
        <v>-0.1606229217551729</v>
      </c>
      <c r="E7" s="278">
        <f>Dashboard!B4+Dashboard!A27</f>
        <v>-0.1</v>
      </c>
      <c r="F7" s="278">
        <f>'Sector Overview'!X8</f>
        <v>0.17689051726712263</v>
      </c>
      <c r="G7" s="278">
        <f>F7</f>
        <v>0.17689051726712263</v>
      </c>
    </row>
    <row r="8" spans="1:7" outlineLevel="1" x14ac:dyDescent="0.3">
      <c r="A8" s="8"/>
      <c r="B8" s="32"/>
      <c r="C8" s="32"/>
      <c r="D8" s="32"/>
      <c r="E8" s="33"/>
      <c r="F8" s="33"/>
      <c r="G8" s="33"/>
    </row>
    <row r="9" spans="1:7" outlineLevel="1" x14ac:dyDescent="0.3">
      <c r="A9" s="8" t="s">
        <v>304</v>
      </c>
      <c r="B9" s="212">
        <f>'Past Financials'!B135</f>
        <v>461015.38907626207</v>
      </c>
      <c r="C9" s="212">
        <f>'Past Financials'!C135</f>
        <v>462125.40585003939</v>
      </c>
      <c r="D9" s="212">
        <f>'Past Financials'!D135</f>
        <v>483977.13294402795</v>
      </c>
      <c r="E9" s="213">
        <f>D9*(1+E10)</f>
        <v>483977.13294402795</v>
      </c>
      <c r="F9" s="213">
        <f t="shared" ref="F9:G9" si="1">E9*(1+F10)</f>
        <v>483977.13294402795</v>
      </c>
      <c r="G9" s="213">
        <f t="shared" si="1"/>
        <v>483977.13294402795</v>
      </c>
    </row>
    <row r="10" spans="1:7" outlineLevel="1" x14ac:dyDescent="0.3">
      <c r="A10" s="8" t="s">
        <v>66</v>
      </c>
      <c r="B10" s="8"/>
      <c r="C10" s="160">
        <f>C9/B9-1</f>
        <v>2.4077651203824324E-3</v>
      </c>
      <c r="D10" s="160">
        <f>D9/C9-1</f>
        <v>4.7285275419545858E-2</v>
      </c>
      <c r="E10" s="160">
        <f>0%+Dashboard!D27</f>
        <v>0</v>
      </c>
      <c r="F10" s="160">
        <f>E10</f>
        <v>0</v>
      </c>
      <c r="G10" s="160">
        <f>F10</f>
        <v>0</v>
      </c>
    </row>
    <row r="11" spans="1:7" outlineLevel="1" x14ac:dyDescent="0.3">
      <c r="A11" s="8"/>
      <c r="B11" s="30"/>
      <c r="C11" s="30"/>
      <c r="D11" s="30"/>
      <c r="E11" s="30"/>
      <c r="F11" s="30"/>
      <c r="G11" s="30"/>
    </row>
    <row r="12" spans="1:7" outlineLevel="1" x14ac:dyDescent="0.3">
      <c r="A12" s="8" t="s">
        <v>3</v>
      </c>
      <c r="B12" s="32">
        <f>'Past Financials'!F20</f>
        <v>2.4936281936736585E-2</v>
      </c>
      <c r="C12" s="32">
        <f>'Past Financials'!G20</f>
        <v>2.9762340461376696E-2</v>
      </c>
      <c r="D12" s="32">
        <f>'Past Financials'!H20</f>
        <v>4.4070843246100978E-2</v>
      </c>
      <c r="E12" s="33">
        <f>D12</f>
        <v>4.4070843246100978E-2</v>
      </c>
      <c r="F12" s="33">
        <f t="shared" ref="F12:G12" si="2">E12</f>
        <v>4.4070843246100978E-2</v>
      </c>
      <c r="G12" s="33">
        <f t="shared" si="2"/>
        <v>4.4070843246100978E-2</v>
      </c>
    </row>
    <row r="13" spans="1:7" outlineLevel="1" x14ac:dyDescent="0.3">
      <c r="A13" s="8"/>
      <c r="B13" s="30"/>
      <c r="C13" s="30"/>
      <c r="D13" s="30"/>
      <c r="E13" s="141"/>
      <c r="F13" s="141"/>
      <c r="G13" s="141"/>
    </row>
    <row r="16" spans="1:7" s="163" customFormat="1" ht="14.4" x14ac:dyDescent="0.3">
      <c r="A16" s="162" t="s">
        <v>218</v>
      </c>
    </row>
    <row r="17" spans="1:9" outlineLevel="1" x14ac:dyDescent="0.3"/>
    <row r="18" spans="1:9" outlineLevel="1" x14ac:dyDescent="0.3">
      <c r="A18" s="56" t="s">
        <v>15</v>
      </c>
      <c r="B18" s="31" t="str">
        <f t="shared" ref="B18:G18" si="3">B5</f>
        <v>FY18</v>
      </c>
      <c r="C18" s="31" t="str">
        <f t="shared" si="3"/>
        <v>FY19</v>
      </c>
      <c r="D18" s="31" t="str">
        <f t="shared" si="3"/>
        <v>FY20</v>
      </c>
      <c r="E18" s="171" t="str">
        <f t="shared" si="3"/>
        <v>FY21</v>
      </c>
      <c r="F18" s="171" t="str">
        <f t="shared" si="3"/>
        <v>FY22</v>
      </c>
      <c r="G18" s="171" t="str">
        <f t="shared" si="3"/>
        <v>FY23</v>
      </c>
    </row>
    <row r="19" spans="1:9" outlineLevel="1" x14ac:dyDescent="0.3">
      <c r="A19" s="8" t="str">
        <f>'Past Financials'!A24</f>
        <v>Raw Material</v>
      </c>
      <c r="B19" s="32">
        <f>'Past Financials'!F24</f>
        <v>0.6702262646405277</v>
      </c>
      <c r="C19" s="32">
        <f>'Past Financials'!G24</f>
        <v>0.70018531750872848</v>
      </c>
      <c r="D19" s="32">
        <f>'Past Financials'!H24</f>
        <v>0.70266058683584454</v>
      </c>
      <c r="E19" s="214">
        <f>Dashboard!B5+Dashboard!G27</f>
        <v>0.70266058683584454</v>
      </c>
      <c r="F19" s="214">
        <f t="shared" ref="F19:G20" si="4">E19</f>
        <v>0.70266058683584454</v>
      </c>
      <c r="G19" s="214">
        <f t="shared" si="4"/>
        <v>0.70266058683584454</v>
      </c>
    </row>
    <row r="20" spans="1:9" outlineLevel="1" x14ac:dyDescent="0.3">
      <c r="A20" s="8" t="str">
        <f>'Past Financials'!A25</f>
        <v>Excise duty</v>
      </c>
      <c r="B20" s="32">
        <f>'Past Financials'!B25/'Past Financials'!B7</f>
        <v>0.38396784700078501</v>
      </c>
      <c r="C20" s="32">
        <f>'Past Financials'!C25/'Past Financials'!C7</f>
        <v>0</v>
      </c>
      <c r="D20" s="32">
        <f>'Past Financials'!D25/'Past Financials'!D7</f>
        <v>0</v>
      </c>
      <c r="E20" s="214">
        <f>D20</f>
        <v>0</v>
      </c>
      <c r="F20" s="214">
        <f t="shared" si="4"/>
        <v>0</v>
      </c>
      <c r="G20" s="214">
        <f t="shared" si="4"/>
        <v>0</v>
      </c>
    </row>
    <row r="21" spans="1:9" outlineLevel="1" x14ac:dyDescent="0.3">
      <c r="A21" s="8" t="str">
        <f>'Past Financials'!A26</f>
        <v>Employee benefits expense</v>
      </c>
      <c r="B21" s="32">
        <f>'Past Financials'!F26</f>
        <v>3.4902018622373424E-2</v>
      </c>
      <c r="C21" s="32">
        <f>'Past Financials'!G26</f>
        <v>3.8167273741264225E-2</v>
      </c>
      <c r="D21" s="32">
        <f>'Past Financials'!H26</f>
        <v>4.5151995770552469E-2</v>
      </c>
      <c r="E21" s="222">
        <f>50%*D21+30%*C21+20%*B21</f>
        <v>4.1006583732130189E-2</v>
      </c>
      <c r="F21" s="222">
        <f>E21</f>
        <v>4.1006583732130189E-2</v>
      </c>
      <c r="G21" s="222">
        <f>E21</f>
        <v>4.1006583732130189E-2</v>
      </c>
    </row>
    <row r="22" spans="1:9" outlineLevel="1" x14ac:dyDescent="0.3">
      <c r="A22" s="8" t="str">
        <f>'Past Financials'!A27</f>
        <v>Other expenses</v>
      </c>
      <c r="B22" s="32">
        <f>'Past Financials'!F27</f>
        <v>0.12062856300073987</v>
      </c>
      <c r="C22" s="32">
        <f>'Past Financials'!G27</f>
        <v>0.13380505062827863</v>
      </c>
      <c r="D22" s="32">
        <f>'Past Financials'!H27</f>
        <v>0.15553661115516787</v>
      </c>
      <c r="E22" s="222">
        <f>AVERAGE(B22:D22)</f>
        <v>0.13665674159472879</v>
      </c>
      <c r="F22" s="222">
        <f t="shared" ref="F22:G22" si="5">AVERAGE(C22:E22)</f>
        <v>0.1419994677927251</v>
      </c>
      <c r="G22" s="222">
        <f t="shared" si="5"/>
        <v>0.14473094018087393</v>
      </c>
    </row>
    <row r="23" spans="1:9" outlineLevel="1" x14ac:dyDescent="0.3">
      <c r="A23" s="8"/>
      <c r="B23" s="222"/>
      <c r="C23" s="222"/>
      <c r="D23" s="222"/>
      <c r="E23" s="222"/>
      <c r="F23" s="222"/>
      <c r="G23" s="222"/>
    </row>
    <row r="24" spans="1:9" outlineLevel="1" x14ac:dyDescent="0.3">
      <c r="A24" s="8" t="s">
        <v>8</v>
      </c>
      <c r="B24" s="32"/>
      <c r="C24" s="32">
        <f>'Past Financials'!C31/AVERAGE('Past Financials'!B106:C106)</f>
        <v>0.2095878387988663</v>
      </c>
      <c r="D24" s="32">
        <f>'Past Financials'!D31/AVERAGE('Past Financials'!C106:D106)</f>
        <v>0.230354665491521</v>
      </c>
      <c r="E24" s="33">
        <f>AVERAGE(C24:D24)</f>
        <v>0.21997125214519364</v>
      </c>
      <c r="F24" s="33">
        <f t="shared" ref="F24:G24" si="6">AVERAGE(D24:E24)</f>
        <v>0.22516295881835732</v>
      </c>
      <c r="G24" s="33">
        <f t="shared" si="6"/>
        <v>0.2225671054817755</v>
      </c>
    </row>
    <row r="25" spans="1:9" outlineLevel="1" x14ac:dyDescent="0.3">
      <c r="A25" s="8" t="s">
        <v>82</v>
      </c>
      <c r="B25" s="32">
        <f>'Past Financials'!B33/('Past Financials'!B104+'Past Financials'!B64)</f>
        <v>0.23772858517805581</v>
      </c>
      <c r="C25" s="32">
        <f>'Past Financials'!C33/('Past Financials'!C104+'Past Financials'!C64)</f>
        <v>4.7449362340585145E-2</v>
      </c>
      <c r="D25" s="32">
        <f>'Past Financials'!D33/('Past Financials'!D104+'Past Financials'!D64)</f>
        <v>0.12359550561797752</v>
      </c>
      <c r="E25" s="221">
        <f>D25</f>
        <v>0.12359550561797752</v>
      </c>
      <c r="F25" s="221">
        <f t="shared" ref="F25:G25" si="7">E25</f>
        <v>0.12359550561797752</v>
      </c>
      <c r="G25" s="221">
        <f t="shared" si="7"/>
        <v>0.12359550561797752</v>
      </c>
    </row>
    <row r="26" spans="1:9" outlineLevel="1" x14ac:dyDescent="0.3">
      <c r="A26" s="42"/>
      <c r="B26" s="223"/>
      <c r="C26" s="223"/>
      <c r="D26" s="223"/>
      <c r="E26" s="223"/>
      <c r="F26" s="223"/>
      <c r="G26" s="223"/>
    </row>
    <row r="27" spans="1:9" outlineLevel="1" x14ac:dyDescent="0.3">
      <c r="A27" s="8" t="s">
        <v>133</v>
      </c>
      <c r="B27" s="32">
        <f>'Past Financials'!B130</f>
        <v>0.28748715215653431</v>
      </c>
      <c r="C27" s="32">
        <f>'Past Financials'!C130</f>
        <v>0.31587065066792147</v>
      </c>
      <c r="D27" s="32">
        <f>'Past Financials'!D130</f>
        <v>0.42563759334930251</v>
      </c>
      <c r="E27" s="33">
        <f>D27</f>
        <v>0.42563759334930251</v>
      </c>
      <c r="F27" s="33">
        <f t="shared" ref="F27:G27" si="8">E27</f>
        <v>0.42563759334930251</v>
      </c>
      <c r="G27" s="33">
        <f t="shared" si="8"/>
        <v>0.42563759334930251</v>
      </c>
    </row>
    <row r="30" spans="1:9" s="163" customFormat="1" ht="14.4" x14ac:dyDescent="0.3">
      <c r="A30" s="162" t="s">
        <v>211</v>
      </c>
    </row>
    <row r="31" spans="1:9" outlineLevel="1" x14ac:dyDescent="0.3"/>
    <row r="32" spans="1:9" outlineLevel="1" x14ac:dyDescent="0.3">
      <c r="A32" s="8" t="s">
        <v>81</v>
      </c>
      <c r="B32" s="279">
        <v>2.5000000000000001E-3</v>
      </c>
      <c r="E32" s="15"/>
      <c r="F32" s="15"/>
      <c r="G32" s="15"/>
      <c r="H32" s="15"/>
      <c r="I32" s="15"/>
    </row>
    <row r="33" spans="1:9" outlineLevel="1" x14ac:dyDescent="0.3">
      <c r="A33" s="15"/>
      <c r="B33" s="15"/>
      <c r="C33" s="15"/>
      <c r="D33" s="15"/>
      <c r="E33" s="15"/>
      <c r="F33" s="15"/>
      <c r="G33" s="15"/>
      <c r="H33" s="15"/>
      <c r="I33" s="15"/>
    </row>
    <row r="35" spans="1:9" s="163" customFormat="1" ht="14.4" x14ac:dyDescent="0.3">
      <c r="A35" s="162" t="s">
        <v>13</v>
      </c>
    </row>
    <row r="36" spans="1:9" outlineLevel="1" x14ac:dyDescent="0.3"/>
    <row r="37" spans="1:9" outlineLevel="1" x14ac:dyDescent="0.3">
      <c r="A37" s="72" t="s">
        <v>83</v>
      </c>
      <c r="B37" s="73">
        <v>0.25168000000000001</v>
      </c>
    </row>
    <row r="38" spans="1:9" x14ac:dyDescent="0.3">
      <c r="A38" s="95"/>
      <c r="B38" s="96"/>
    </row>
    <row r="40" spans="1:9" s="163" customFormat="1" ht="14.4" x14ac:dyDescent="0.3">
      <c r="A40" s="162" t="s">
        <v>209</v>
      </c>
    </row>
    <row r="41" spans="1:9" s="167" customFormat="1" ht="14.4" x14ac:dyDescent="0.3">
      <c r="A41" s="166"/>
    </row>
    <row r="42" spans="1:9" outlineLevel="1" x14ac:dyDescent="0.3">
      <c r="A42" s="56" t="s">
        <v>15</v>
      </c>
      <c r="B42" s="31" t="str">
        <f>B18</f>
        <v>FY18</v>
      </c>
      <c r="C42" s="31" t="str">
        <f>C18</f>
        <v>FY19</v>
      </c>
      <c r="D42" s="31" t="str">
        <f>D18</f>
        <v>FY20</v>
      </c>
      <c r="E42" s="171" t="str">
        <f>E18</f>
        <v>FY21</v>
      </c>
      <c r="F42" s="171" t="str">
        <f>F18</f>
        <v>FY22</v>
      </c>
      <c r="G42" s="171" t="str">
        <f>G18</f>
        <v>FY23</v>
      </c>
    </row>
    <row r="43" spans="1:9" outlineLevel="1" x14ac:dyDescent="0.3">
      <c r="A43" s="74" t="str">
        <f>'Past Financials'!A121</f>
        <v>Trade Receivable Days</v>
      </c>
      <c r="B43" s="9">
        <f>'Past Financials'!B121</f>
        <v>6.5195493478268816</v>
      </c>
      <c r="C43" s="9">
        <f>'Past Financials'!C121</f>
        <v>9.8081411898662108</v>
      </c>
      <c r="D43" s="9">
        <f>'Past Financials'!D121</f>
        <v>10.274610097805974</v>
      </c>
      <c r="E43" s="75">
        <f>D43</f>
        <v>10.274610097805974</v>
      </c>
      <c r="F43" s="75">
        <f t="shared" ref="F43:G43" si="9">E43</f>
        <v>10.274610097805974</v>
      </c>
      <c r="G43" s="75">
        <f t="shared" si="9"/>
        <v>10.274610097805974</v>
      </c>
    </row>
    <row r="44" spans="1:9" outlineLevel="1" x14ac:dyDescent="0.3">
      <c r="A44" s="74" t="str">
        <f>'Past Financials'!A122</f>
        <v>Inventory Days</v>
      </c>
      <c r="B44" s="9">
        <f>'Past Financials'!B122</f>
        <v>16.483436866315984</v>
      </c>
      <c r="C44" s="9">
        <f>'Past Financials'!C122</f>
        <v>16.155920245439638</v>
      </c>
      <c r="D44" s="9">
        <f>'Past Financials'!D122</f>
        <v>17.163396120408382</v>
      </c>
      <c r="E44" s="75">
        <f>D44</f>
        <v>17.163396120408382</v>
      </c>
      <c r="F44" s="75">
        <f t="shared" ref="F44:G44" si="10">E44</f>
        <v>17.163396120408382</v>
      </c>
      <c r="G44" s="75">
        <f t="shared" si="10"/>
        <v>17.163396120408382</v>
      </c>
    </row>
    <row r="45" spans="1:9" outlineLevel="1" x14ac:dyDescent="0.3">
      <c r="A45" s="74" t="str">
        <f>'Past Financials'!A123</f>
        <v>Trade Payable Days</v>
      </c>
      <c r="B45" s="9">
        <f>'Past Financials'!B123</f>
        <v>69.694786500588336</v>
      </c>
      <c r="C45" s="9">
        <f>'Past Financials'!C123</f>
        <v>58.372599516460106</v>
      </c>
      <c r="D45" s="9">
        <f>'Past Financials'!D123</f>
        <v>51.484050087184201</v>
      </c>
      <c r="E45" s="75">
        <f>D45</f>
        <v>51.484050087184201</v>
      </c>
      <c r="F45" s="75">
        <f t="shared" ref="F45:G45" si="11">E45</f>
        <v>51.484050087184201</v>
      </c>
      <c r="G45" s="75">
        <f t="shared" si="11"/>
        <v>51.484050087184201</v>
      </c>
    </row>
    <row r="46" spans="1:9" outlineLevel="1" x14ac:dyDescent="0.3"/>
    <row r="47" spans="1:9" outlineLevel="1" x14ac:dyDescent="0.3">
      <c r="A47" s="74" t="s">
        <v>212</v>
      </c>
      <c r="B47" s="27"/>
      <c r="C47" s="27"/>
      <c r="D47" s="27"/>
      <c r="E47" s="164"/>
      <c r="F47" s="164"/>
      <c r="G47" s="164"/>
    </row>
    <row r="116" spans="10:10" x14ac:dyDescent="0.3">
      <c r="J116" s="26"/>
    </row>
  </sheetData>
  <phoneticPr fontId="17" type="noConversion"/>
  <pageMargins left="0.7" right="0.7" top="0.75" bottom="0.75" header="0.3" footer="0.3"/>
  <pictur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2:N22"/>
  <sheetViews>
    <sheetView showGridLines="0" zoomScale="120" zoomScaleNormal="120" workbookViewId="0">
      <selection activeCell="I22" sqref="I22"/>
    </sheetView>
  </sheetViews>
  <sheetFormatPr defaultColWidth="9.109375" defaultRowHeight="13.8" x14ac:dyDescent="0.3"/>
  <cols>
    <col min="1" max="1" width="25.6640625" style="3" bestFit="1" customWidth="1"/>
    <col min="2" max="2" width="13.6640625" style="3" customWidth="1"/>
    <col min="3" max="6" width="10.44140625" style="3" bestFit="1" customWidth="1"/>
    <col min="7" max="7" width="11.109375" style="3" bestFit="1" customWidth="1"/>
    <col min="8" max="9" width="11" style="3" bestFit="1" customWidth="1"/>
    <col min="10" max="16384" width="9.109375" style="3"/>
  </cols>
  <sheetData>
    <row r="2" spans="1:14" x14ac:dyDescent="0.3">
      <c r="F2" s="15"/>
      <c r="G2" s="15"/>
      <c r="H2" s="15"/>
      <c r="I2" s="15"/>
    </row>
    <row r="3" spans="1:14" ht="14.4" x14ac:dyDescent="0.3">
      <c r="A3" s="5" t="s">
        <v>65</v>
      </c>
    </row>
    <row r="4" spans="1:14" x14ac:dyDescent="0.3">
      <c r="A4" s="56" t="s">
        <v>15</v>
      </c>
      <c r="B4" s="31" t="str">
        <f>Drivers!B5</f>
        <v>FY18</v>
      </c>
      <c r="C4" s="31" t="str">
        <f>Drivers!C5</f>
        <v>FY19</v>
      </c>
      <c r="D4" s="31" t="str">
        <f>Drivers!D5</f>
        <v>FY20</v>
      </c>
      <c r="E4" s="171" t="str">
        <f>Drivers!E5</f>
        <v>FY21</v>
      </c>
      <c r="F4" s="171" t="str">
        <f>Drivers!F5</f>
        <v>FY22</v>
      </c>
      <c r="G4" s="171" t="str">
        <f>Drivers!G5</f>
        <v>FY23</v>
      </c>
    </row>
    <row r="5" spans="1:14" x14ac:dyDescent="0.3">
      <c r="A5" s="8" t="s">
        <v>308</v>
      </c>
      <c r="B5" s="218"/>
      <c r="C5" s="218"/>
      <c r="D5" s="218"/>
      <c r="E5" s="217">
        <f>'Past Financials'!D9*(1+Drivers!E7)</f>
        <v>1.4069673</v>
      </c>
      <c r="F5" s="217">
        <f>E5*(1+Drivers!F7)</f>
        <v>1.655846473474927</v>
      </c>
      <c r="G5" s="217">
        <f>F5*(1+Drivers!G7)</f>
        <v>1.9487500126828476</v>
      </c>
    </row>
    <row r="6" spans="1:14" x14ac:dyDescent="0.3">
      <c r="A6" s="8" t="str">
        <f>Drivers!A9</f>
        <v>Average Selling Price</v>
      </c>
      <c r="B6" s="212"/>
      <c r="C6" s="212"/>
      <c r="D6" s="212"/>
      <c r="E6" s="212">
        <f>Drivers!E9</f>
        <v>483977.13294402795</v>
      </c>
      <c r="F6" s="212">
        <f>Drivers!F9</f>
        <v>483977.13294402795</v>
      </c>
      <c r="G6" s="212">
        <f>Drivers!G9</f>
        <v>483977.13294402795</v>
      </c>
    </row>
    <row r="7" spans="1:14" x14ac:dyDescent="0.3">
      <c r="A7" s="10" t="s">
        <v>67</v>
      </c>
      <c r="B7" s="216"/>
      <c r="C7" s="216"/>
      <c r="D7" s="216"/>
      <c r="E7" s="220">
        <f t="shared" ref="E7:G7" si="0">E5*E6</f>
        <v>680940.00000000012</v>
      </c>
      <c r="F7" s="220">
        <f t="shared" si="0"/>
        <v>801391.82882787462</v>
      </c>
      <c r="G7" s="220">
        <f t="shared" si="0"/>
        <v>943150.44396288274</v>
      </c>
      <c r="H7" s="14"/>
      <c r="I7" s="14"/>
      <c r="J7" s="14"/>
      <c r="K7" s="14"/>
      <c r="L7" s="14"/>
      <c r="M7" s="14"/>
      <c r="N7" s="14"/>
    </row>
    <row r="8" spans="1:14" x14ac:dyDescent="0.3">
      <c r="A8" s="8" t="s">
        <v>3</v>
      </c>
      <c r="B8" s="32"/>
      <c r="C8" s="32"/>
      <c r="D8" s="32"/>
      <c r="E8" s="216">
        <f>E7*Drivers!E12</f>
        <v>30009.600000000006</v>
      </c>
      <c r="F8" s="216">
        <f>F7*Drivers!F12</f>
        <v>35318.013666979452</v>
      </c>
      <c r="G8" s="216">
        <f>G7*Drivers!G12</f>
        <v>41565.43537337875</v>
      </c>
    </row>
    <row r="9" spans="1:14" x14ac:dyDescent="0.3">
      <c r="A9" s="10" t="s">
        <v>4</v>
      </c>
      <c r="B9" s="35"/>
      <c r="C9" s="35"/>
      <c r="D9" s="8"/>
      <c r="E9" s="11">
        <f>E7+E8</f>
        <v>710949.60000000009</v>
      </c>
      <c r="F9" s="11">
        <f t="shared" ref="F9:G9" si="1">F7+F8</f>
        <v>836709.84249485412</v>
      </c>
      <c r="G9" s="11">
        <f t="shared" si="1"/>
        <v>984715.87933626154</v>
      </c>
    </row>
    <row r="10" spans="1:14" x14ac:dyDescent="0.3">
      <c r="A10" s="8"/>
      <c r="B10" s="8"/>
      <c r="C10" s="8"/>
      <c r="D10" s="8"/>
      <c r="E10" s="215"/>
      <c r="F10" s="215"/>
      <c r="G10" s="215"/>
    </row>
    <row r="11" spans="1:14" x14ac:dyDescent="0.3">
      <c r="A11" s="12" t="s">
        <v>5</v>
      </c>
      <c r="B11" s="8"/>
      <c r="C11" s="8"/>
      <c r="D11" s="8"/>
      <c r="E11" s="215"/>
      <c r="F11" s="215"/>
      <c r="G11" s="215"/>
    </row>
    <row r="12" spans="1:14" x14ac:dyDescent="0.3">
      <c r="A12" s="8" t="str">
        <f>Drivers!A19</f>
        <v>Raw Material</v>
      </c>
      <c r="B12" s="8"/>
      <c r="C12" s="8"/>
      <c r="D12" s="8"/>
      <c r="E12" s="9">
        <f>Drivers!E19*'Revenue &amp; Expense Model'!E7</f>
        <v>478469.70000000007</v>
      </c>
      <c r="F12" s="9">
        <f>Drivers!F19*'Revenue &amp; Expense Model'!F7</f>
        <v>563106.45272964507</v>
      </c>
      <c r="G12" s="9">
        <f>Drivers!G19*'Revenue &amp; Expense Model'!G7</f>
        <v>662714.64442944655</v>
      </c>
    </row>
    <row r="13" spans="1:14" x14ac:dyDescent="0.3">
      <c r="A13" s="8" t="str">
        <f>Drivers!A20</f>
        <v>Excise duty</v>
      </c>
      <c r="B13" s="8"/>
      <c r="C13" s="8"/>
      <c r="D13" s="8"/>
      <c r="E13" s="9">
        <f>E7*Drivers!E20</f>
        <v>0</v>
      </c>
      <c r="F13" s="9">
        <f>F7*Drivers!F20</f>
        <v>0</v>
      </c>
      <c r="G13" s="9">
        <f>G7*Drivers!G20</f>
        <v>0</v>
      </c>
    </row>
    <row r="14" spans="1:14" x14ac:dyDescent="0.3">
      <c r="A14" s="8" t="str">
        <f>Drivers!A21</f>
        <v>Employee benefits expense</v>
      </c>
      <c r="B14" s="8"/>
      <c r="C14" s="8"/>
      <c r="D14" s="8"/>
      <c r="E14" s="9">
        <f>E7*Drivers!E21</f>
        <v>27923.023126556734</v>
      </c>
      <c r="F14" s="9">
        <f>F7*Drivers!F21</f>
        <v>32862.341131075184</v>
      </c>
      <c r="G14" s="9">
        <f>G7*Drivers!G21</f>
        <v>38675.377652359712</v>
      </c>
    </row>
    <row r="15" spans="1:14" x14ac:dyDescent="0.3">
      <c r="A15" s="8" t="str">
        <f>Drivers!A22</f>
        <v>Other expenses</v>
      </c>
      <c r="B15" s="8"/>
      <c r="C15" s="8"/>
      <c r="D15" s="8"/>
      <c r="E15" s="9">
        <f>E7*Drivers!E22</f>
        <v>93055.04162151464</v>
      </c>
      <c r="F15" s="9">
        <f>F7*Drivers!F22</f>
        <v>113797.21318699684</v>
      </c>
      <c r="G15" s="9">
        <f>G7*Drivers!G22</f>
        <v>136503.05048675666</v>
      </c>
    </row>
    <row r="16" spans="1:14" x14ac:dyDescent="0.3">
      <c r="A16" s="10" t="s">
        <v>6</v>
      </c>
      <c r="B16" s="10"/>
      <c r="C16" s="10"/>
      <c r="D16" s="10"/>
      <c r="E16" s="11">
        <f>SUM(E12:E15)</f>
        <v>599447.76474807144</v>
      </c>
      <c r="F16" s="11">
        <f t="shared" ref="F16:G16" si="2">SUM(F12:F15)</f>
        <v>709766.00704771711</v>
      </c>
      <c r="G16" s="11">
        <f t="shared" si="2"/>
        <v>837893.07256856281</v>
      </c>
    </row>
    <row r="17" spans="1:7" x14ac:dyDescent="0.3">
      <c r="A17" s="8"/>
      <c r="B17" s="8"/>
      <c r="C17" s="8"/>
      <c r="D17" s="8"/>
      <c r="E17" s="45"/>
      <c r="F17" s="45"/>
      <c r="G17" s="45"/>
    </row>
    <row r="18" spans="1:7" x14ac:dyDescent="0.3">
      <c r="A18" s="10" t="s">
        <v>7</v>
      </c>
      <c r="B18" s="10"/>
      <c r="C18" s="10"/>
      <c r="D18" s="10"/>
      <c r="E18" s="11">
        <f>E9-E16</f>
        <v>111501.83525192866</v>
      </c>
      <c r="F18" s="11">
        <f t="shared" ref="F18:G18" si="3">F9-F16</f>
        <v>126943.83544713701</v>
      </c>
      <c r="G18" s="11">
        <f t="shared" si="3"/>
        <v>146822.80676769873</v>
      </c>
    </row>
    <row r="19" spans="1:7" x14ac:dyDescent="0.3">
      <c r="A19" s="8" t="s">
        <v>47</v>
      </c>
      <c r="B19" s="8"/>
      <c r="C19" s="8"/>
      <c r="D19" s="8"/>
      <c r="E19" s="141">
        <f>E18/E9</f>
        <v>0.15683507698988597</v>
      </c>
      <c r="F19" s="141">
        <f t="shared" ref="F19:G19" si="4">F18/F9</f>
        <v>0.15171787040131265</v>
      </c>
      <c r="G19" s="141">
        <f t="shared" si="4"/>
        <v>0.14910169506625937</v>
      </c>
    </row>
    <row r="20" spans="1:7" x14ac:dyDescent="0.3">
      <c r="A20" s="8"/>
      <c r="B20" s="8"/>
      <c r="C20" s="8"/>
      <c r="D20" s="8"/>
      <c r="E20" s="215"/>
      <c r="F20" s="215"/>
      <c r="G20" s="215"/>
    </row>
    <row r="21" spans="1:7" x14ac:dyDescent="0.3">
      <c r="A21" s="8" t="s">
        <v>8</v>
      </c>
      <c r="B21" s="8"/>
      <c r="C21" s="8"/>
      <c r="D21" s="8"/>
      <c r="E21" s="45">
        <f>'Capex &amp; Loan Schedule'!E14</f>
        <v>34908.007902303289</v>
      </c>
      <c r="F21" s="45">
        <f>'Capex &amp; Loan Schedule'!F14</f>
        <v>34209.394960070997</v>
      </c>
      <c r="G21" s="45">
        <f>'Capex &amp; Loan Schedule'!G14</f>
        <v>36581.486193145873</v>
      </c>
    </row>
    <row r="22" spans="1:7" x14ac:dyDescent="0.3">
      <c r="A22" s="10" t="s">
        <v>11</v>
      </c>
      <c r="B22" s="10"/>
      <c r="C22" s="10"/>
      <c r="D22" s="10"/>
      <c r="E22" s="13">
        <f>E18-E21</f>
        <v>76593.827349625368</v>
      </c>
      <c r="F22" s="13">
        <f t="shared" ref="F22:G22" si="5">F18-F21</f>
        <v>92734.440487066022</v>
      </c>
      <c r="G22" s="13">
        <f t="shared" si="5"/>
        <v>110241.32057455285</v>
      </c>
    </row>
  </sheetData>
  <pageMargins left="0.7" right="0.7" top="0.75" bottom="0.75" header="0.3" footer="0.3"/>
  <pageSetup orientation="portrait" r:id="rId1"/>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3:Q182"/>
  <sheetViews>
    <sheetView showGridLines="0" zoomScale="120" zoomScaleNormal="120" workbookViewId="0">
      <selection activeCell="I6" sqref="I6"/>
    </sheetView>
  </sheetViews>
  <sheetFormatPr defaultColWidth="9.109375" defaultRowHeight="13.8" outlineLevelRow="1" x14ac:dyDescent="0.3"/>
  <cols>
    <col min="1" max="1" width="33.77734375" style="3" bestFit="1" customWidth="1"/>
    <col min="2" max="2" width="11" style="3" bestFit="1" customWidth="1"/>
    <col min="3" max="3" width="11.6640625" style="3" bestFit="1" customWidth="1"/>
    <col min="4" max="4" width="13" style="3" customWidth="1"/>
    <col min="5" max="9" width="11" style="3" bestFit="1" customWidth="1"/>
    <col min="10" max="11" width="9.109375" style="3"/>
    <col min="12" max="12" width="11" style="3" bestFit="1" customWidth="1"/>
    <col min="13" max="16384" width="9.109375" style="3"/>
  </cols>
  <sheetData>
    <row r="3" spans="1:12" ht="14.4" x14ac:dyDescent="0.3">
      <c r="A3" s="5" t="s">
        <v>159</v>
      </c>
      <c r="B3" s="21" t="str">
        <f>Drivers!B5</f>
        <v>FY18</v>
      </c>
      <c r="C3" s="21" t="str">
        <f>Drivers!C5</f>
        <v>FY19</v>
      </c>
      <c r="D3" s="21" t="str">
        <f>Drivers!D5</f>
        <v>FY20</v>
      </c>
      <c r="E3" s="172" t="str">
        <f>Drivers!E5</f>
        <v>FY21</v>
      </c>
      <c r="F3" s="172" t="str">
        <f>Drivers!F5</f>
        <v>FY22</v>
      </c>
      <c r="G3" s="172" t="str">
        <f>Drivers!G5</f>
        <v>FY23</v>
      </c>
    </row>
    <row r="4" spans="1:12" x14ac:dyDescent="0.3">
      <c r="A4" s="8" t="s">
        <v>309</v>
      </c>
      <c r="B4" s="225">
        <v>39116</v>
      </c>
      <c r="C4" s="225">
        <v>48724</v>
      </c>
      <c r="D4" s="225">
        <v>34370</v>
      </c>
      <c r="E4" s="226">
        <f>E5*'Revenue &amp; Expense Model'!E7</f>
        <v>42849.450000000004</v>
      </c>
      <c r="F4" s="226">
        <f>F5*'Revenue &amp; Expense Model'!F7</f>
        <v>50429.111375111708</v>
      </c>
      <c r="G4" s="226">
        <f>G5*'Revenue &amp; Expense Model'!G7</f>
        <v>59349.542971576557</v>
      </c>
    </row>
    <row r="5" spans="1:12" x14ac:dyDescent="0.3">
      <c r="A5" s="8" t="s">
        <v>310</v>
      </c>
      <c r="B5" s="146">
        <f>B4/'Past Financials'!B19</f>
        <v>4.7678541609022795E-2</v>
      </c>
      <c r="C5" s="146">
        <f>C4/'Past Financials'!C19</f>
        <v>5.6610722854470566E-2</v>
      </c>
      <c r="D5" s="146">
        <f>D4/'Past Financials'!D19</f>
        <v>4.5426909859899549E-2</v>
      </c>
      <c r="E5" s="227">
        <f>D5+0.0175</f>
        <v>6.2926909859899544E-2</v>
      </c>
      <c r="F5" s="227">
        <f t="shared" ref="F5:G5" si="0">E5</f>
        <v>6.2926909859899544E-2</v>
      </c>
      <c r="G5" s="227">
        <f t="shared" si="0"/>
        <v>6.2926909859899544E-2</v>
      </c>
    </row>
    <row r="6" spans="1:12" x14ac:dyDescent="0.3">
      <c r="A6" s="8" t="s">
        <v>78</v>
      </c>
      <c r="B6" s="42"/>
      <c r="C6" s="43"/>
      <c r="D6" s="43"/>
      <c r="E6" s="43"/>
      <c r="F6" s="43"/>
      <c r="G6" s="43"/>
    </row>
    <row r="7" spans="1:12" x14ac:dyDescent="0.3">
      <c r="A7" s="24" t="s">
        <v>79</v>
      </c>
      <c r="B7" s="8"/>
      <c r="C7" s="8"/>
      <c r="D7" s="8"/>
      <c r="E7" s="45">
        <f>Drivers!$B$32/(1+Drivers!$B$32)*'Capex &amp; Loan Schedule'!E4</f>
        <v>106.85648379052371</v>
      </c>
      <c r="F7" s="45">
        <f>Drivers!$B$32/(1+Drivers!$B$32)*'Capex &amp; Loan Schedule'!F4</f>
        <v>125.75838248157535</v>
      </c>
      <c r="G7" s="45">
        <f>Drivers!$B$32/(1+Drivers!$B$32)*'Capex &amp; Loan Schedule'!G4</f>
        <v>148.00384780941786</v>
      </c>
      <c r="I7" s="14"/>
    </row>
    <row r="8" spans="1:12" x14ac:dyDescent="0.3">
      <c r="A8" s="24" t="s">
        <v>80</v>
      </c>
      <c r="B8" s="8"/>
      <c r="C8" s="8"/>
      <c r="D8" s="8"/>
      <c r="E8" s="45">
        <f>E4-E7</f>
        <v>42742.593516209483</v>
      </c>
      <c r="F8" s="45">
        <f t="shared" ref="F8:G8" si="1">F4-F7</f>
        <v>50303.352992630134</v>
      </c>
      <c r="G8" s="45">
        <f t="shared" si="1"/>
        <v>59201.539123767136</v>
      </c>
    </row>
    <row r="10" spans="1:12" ht="14.4" x14ac:dyDescent="0.3">
      <c r="A10" s="5" t="s">
        <v>74</v>
      </c>
      <c r="B10" s="36"/>
      <c r="C10" s="36"/>
      <c r="D10" s="36"/>
      <c r="E10" s="36"/>
      <c r="F10" s="36"/>
      <c r="G10" s="36"/>
      <c r="H10" s="36"/>
      <c r="I10" s="36"/>
      <c r="J10" s="36"/>
      <c r="K10" s="36"/>
      <c r="L10" s="36"/>
    </row>
    <row r="11" spans="1:12" x14ac:dyDescent="0.3">
      <c r="A11" s="37" t="s">
        <v>75</v>
      </c>
      <c r="B11" s="37"/>
      <c r="C11" s="37"/>
      <c r="D11" s="38"/>
      <c r="E11" s="228">
        <f>D15</f>
        <v>151972</v>
      </c>
      <c r="F11" s="228">
        <f t="shared" ref="F11:G11" si="2">E15</f>
        <v>130506.99209769671</v>
      </c>
      <c r="G11" s="228">
        <f t="shared" si="2"/>
        <v>139147.04713762572</v>
      </c>
    </row>
    <row r="12" spans="1:12" x14ac:dyDescent="0.3">
      <c r="A12" s="37" t="s">
        <v>160</v>
      </c>
      <c r="B12" s="37"/>
      <c r="C12" s="37"/>
      <c r="D12" s="38"/>
      <c r="E12" s="228">
        <f>'Past Financials'!D76</f>
        <v>13443</v>
      </c>
      <c r="F12" s="228">
        <f>E4</f>
        <v>42849.450000000004</v>
      </c>
      <c r="G12" s="228">
        <f>F4</f>
        <v>50429.111375111708</v>
      </c>
    </row>
    <row r="13" spans="1:12" x14ac:dyDescent="0.3">
      <c r="A13" s="40" t="s">
        <v>161</v>
      </c>
      <c r="B13" s="40"/>
      <c r="C13" s="40"/>
      <c r="D13" s="113"/>
      <c r="E13" s="230">
        <f>E11+E12</f>
        <v>165415</v>
      </c>
      <c r="F13" s="230">
        <f t="shared" ref="F13:G13" si="3">F11+F12</f>
        <v>173356.44209769671</v>
      </c>
      <c r="G13" s="230">
        <f t="shared" si="3"/>
        <v>189576.15851273743</v>
      </c>
    </row>
    <row r="14" spans="1:12" x14ac:dyDescent="0.3">
      <c r="A14" s="37" t="s">
        <v>69</v>
      </c>
      <c r="B14" s="37"/>
      <c r="C14" s="37"/>
      <c r="D14" s="39"/>
      <c r="E14" s="229">
        <f>AVERAGE(E11,E13)*Drivers!E24</f>
        <v>34908.007902303289</v>
      </c>
      <c r="F14" s="229">
        <f>AVERAGE(F11,F13)*Drivers!F24</f>
        <v>34209.394960070997</v>
      </c>
      <c r="G14" s="229">
        <f>AVERAGE(G11,G13)*Drivers!G24</f>
        <v>36581.486193145873</v>
      </c>
      <c r="I14" s="14"/>
    </row>
    <row r="15" spans="1:12" x14ac:dyDescent="0.3">
      <c r="A15" s="154" t="s">
        <v>76</v>
      </c>
      <c r="B15" s="155"/>
      <c r="C15" s="155"/>
      <c r="D15" s="156">
        <f>'Past Financials'!D106</f>
        <v>151972</v>
      </c>
      <c r="E15" s="231">
        <f>E13-E14</f>
        <v>130506.99209769671</v>
      </c>
      <c r="F15" s="231">
        <f t="shared" ref="F15:G15" si="4">F13-F14</f>
        <v>139147.04713762572</v>
      </c>
      <c r="G15" s="231">
        <f t="shared" si="4"/>
        <v>152994.67231959157</v>
      </c>
    </row>
    <row r="17" spans="1:17" x14ac:dyDescent="0.3">
      <c r="A17" s="8" t="s">
        <v>162</v>
      </c>
      <c r="B17" s="8"/>
      <c r="C17" s="8"/>
      <c r="D17" s="9"/>
      <c r="E17" s="9">
        <f>D20</f>
        <v>13443</v>
      </c>
      <c r="F17" s="9">
        <f t="shared" ref="F17:G17" si="5">E20</f>
        <v>42849.450000000004</v>
      </c>
      <c r="G17" s="9">
        <f t="shared" si="5"/>
        <v>50429.111375111708</v>
      </c>
    </row>
    <row r="18" spans="1:17" x14ac:dyDescent="0.3">
      <c r="A18" s="8" t="s">
        <v>160</v>
      </c>
      <c r="B18" s="8"/>
      <c r="C18" s="8"/>
      <c r="D18" s="9"/>
      <c r="E18" s="9">
        <f>E12</f>
        <v>13443</v>
      </c>
      <c r="F18" s="9">
        <f t="shared" ref="F18:G18" si="6">F12</f>
        <v>42849.450000000004</v>
      </c>
      <c r="G18" s="9">
        <f t="shared" si="6"/>
        <v>50429.111375111708</v>
      </c>
    </row>
    <row r="19" spans="1:17" x14ac:dyDescent="0.3">
      <c r="A19" s="8" t="s">
        <v>163</v>
      </c>
      <c r="B19" s="8"/>
      <c r="C19" s="8"/>
      <c r="D19" s="9"/>
      <c r="E19" s="9">
        <f>E4</f>
        <v>42849.450000000004</v>
      </c>
      <c r="F19" s="9">
        <f>F4</f>
        <v>50429.111375111708</v>
      </c>
      <c r="G19" s="9">
        <f>G4</f>
        <v>59349.542971576557</v>
      </c>
    </row>
    <row r="20" spans="1:17" x14ac:dyDescent="0.3">
      <c r="A20" s="129" t="s">
        <v>164</v>
      </c>
      <c r="B20" s="129"/>
      <c r="C20" s="129"/>
      <c r="D20" s="130">
        <f>'Past Financials'!D76</f>
        <v>13443</v>
      </c>
      <c r="E20" s="130">
        <f>E17-E18+E19</f>
        <v>42849.450000000004</v>
      </c>
      <c r="F20" s="130">
        <f t="shared" ref="F20:G20" si="7">F17-F18+F19</f>
        <v>50429.111375111708</v>
      </c>
      <c r="G20" s="130">
        <f t="shared" si="7"/>
        <v>59349.542971576557</v>
      </c>
    </row>
    <row r="21" spans="1:17" x14ac:dyDescent="0.3">
      <c r="I21" s="14"/>
    </row>
    <row r="25" spans="1:17" s="163" customFormat="1" ht="14.4" x14ac:dyDescent="0.3">
      <c r="A25" s="162" t="s">
        <v>77</v>
      </c>
    </row>
    <row r="26" spans="1:17" outlineLevel="1" x14ac:dyDescent="0.3"/>
    <row r="27" spans="1:17" outlineLevel="1" x14ac:dyDescent="0.3"/>
    <row r="28" spans="1:17" ht="14.4" outlineLevel="1" x14ac:dyDescent="0.3">
      <c r="A28" s="5" t="s">
        <v>77</v>
      </c>
      <c r="B28" s="31" t="str">
        <f>Drivers!B5</f>
        <v>FY18</v>
      </c>
      <c r="C28" s="31" t="str">
        <f>Drivers!C5</f>
        <v>FY19</v>
      </c>
      <c r="D28" s="31" t="str">
        <f>Drivers!D5</f>
        <v>FY20</v>
      </c>
      <c r="E28" s="224" t="str">
        <f>Drivers!E5</f>
        <v>FY21</v>
      </c>
      <c r="F28" s="224" t="str">
        <f>Drivers!F5</f>
        <v>FY22</v>
      </c>
      <c r="G28" s="224" t="str">
        <f>Drivers!G5</f>
        <v>FY23</v>
      </c>
      <c r="J28" s="19"/>
      <c r="L28" s="19"/>
    </row>
    <row r="29" spans="1:17" outlineLevel="1" x14ac:dyDescent="0.3">
      <c r="A29" s="8" t="s">
        <v>84</v>
      </c>
      <c r="B29" s="8"/>
      <c r="C29" s="8"/>
      <c r="D29" s="9"/>
      <c r="E29" s="9">
        <f>D34</f>
        <v>1795</v>
      </c>
      <c r="F29" s="9">
        <f t="shared" ref="F29:G29" si="8">E34</f>
        <v>2951.5231504571902</v>
      </c>
      <c r="G29" s="9">
        <f t="shared" si="8"/>
        <v>3913.0496413067785</v>
      </c>
      <c r="J29" s="19"/>
      <c r="L29" s="19"/>
      <c r="M29" s="14"/>
    </row>
    <row r="30" spans="1:17" outlineLevel="1" x14ac:dyDescent="0.3">
      <c r="A30" s="8" t="s">
        <v>85</v>
      </c>
      <c r="B30" s="8"/>
      <c r="C30" s="8"/>
      <c r="D30" s="9"/>
      <c r="E30" s="9">
        <f>E7</f>
        <v>106.85648379052371</v>
      </c>
      <c r="F30" s="9">
        <f t="shared" ref="F30:G30" si="9">F7</f>
        <v>125.75838248157535</v>
      </c>
      <c r="G30" s="9">
        <f t="shared" si="9"/>
        <v>148.00384780941786</v>
      </c>
      <c r="J30" s="19"/>
      <c r="L30" s="19"/>
      <c r="M30" s="112"/>
      <c r="N30" s="112"/>
      <c r="O30" s="112"/>
      <c r="P30" s="112"/>
      <c r="Q30" s="112"/>
    </row>
    <row r="31" spans="1:17" outlineLevel="1" x14ac:dyDescent="0.3">
      <c r="A31" s="8" t="s">
        <v>86</v>
      </c>
      <c r="B31" s="8"/>
      <c r="C31" s="8"/>
      <c r="D31" s="9"/>
      <c r="E31" s="9">
        <f>AVERAGE($C$46,$D$46)*D32</f>
        <v>116.33333333333333</v>
      </c>
      <c r="F31" s="9">
        <f>AVERAGE($C$46,$D$46)*E32</f>
        <v>330.23189163198703</v>
      </c>
      <c r="G31" s="9">
        <f>AVERAGE($C$46,$D$46)*F32</f>
        <v>508.06588490517527</v>
      </c>
      <c r="J31" s="20"/>
      <c r="L31" s="20"/>
    </row>
    <row r="32" spans="1:17" outlineLevel="1" x14ac:dyDescent="0.3">
      <c r="A32" s="10" t="s">
        <v>87</v>
      </c>
      <c r="B32" s="10"/>
      <c r="C32" s="10"/>
      <c r="D32" s="11">
        <f>'Past Financials'!D55</f>
        <v>629</v>
      </c>
      <c r="E32" s="11">
        <f>E29+E30-E31</f>
        <v>1785.5231504571905</v>
      </c>
      <c r="F32" s="11">
        <f t="shared" ref="F32:G32" si="10">F29+F30-F31</f>
        <v>2747.0496413067785</v>
      </c>
      <c r="G32" s="11">
        <f t="shared" si="10"/>
        <v>3552.9876042110213</v>
      </c>
      <c r="J32" s="20"/>
      <c r="L32" s="20"/>
    </row>
    <row r="33" spans="1:17" outlineLevel="1" x14ac:dyDescent="0.3">
      <c r="A33" s="10" t="s">
        <v>88</v>
      </c>
      <c r="B33" s="10"/>
      <c r="C33" s="10"/>
      <c r="D33" s="11">
        <f>'Past Financials'!D62</f>
        <v>1166</v>
      </c>
      <c r="E33" s="11">
        <f>D33</f>
        <v>1166</v>
      </c>
      <c r="F33" s="11">
        <f t="shared" ref="F33:G33" si="11">E33</f>
        <v>1166</v>
      </c>
      <c r="G33" s="11">
        <f t="shared" si="11"/>
        <v>1166</v>
      </c>
    </row>
    <row r="34" spans="1:17" outlineLevel="1" x14ac:dyDescent="0.3">
      <c r="A34" s="129" t="s">
        <v>61</v>
      </c>
      <c r="B34" s="129"/>
      <c r="C34" s="129"/>
      <c r="D34" s="130">
        <f>D32+D33</f>
        <v>1795</v>
      </c>
      <c r="E34" s="130">
        <f t="shared" ref="E34:G34" si="12">E32+E33</f>
        <v>2951.5231504571902</v>
      </c>
      <c r="F34" s="130">
        <f t="shared" si="12"/>
        <v>3913.0496413067785</v>
      </c>
      <c r="G34" s="130">
        <f t="shared" si="12"/>
        <v>4718.9876042110209</v>
      </c>
      <c r="M34" s="25"/>
      <c r="N34" s="25"/>
      <c r="O34" s="25"/>
      <c r="P34" s="25"/>
      <c r="Q34" s="25"/>
    </row>
    <row r="35" spans="1:17" outlineLevel="1" x14ac:dyDescent="0.3">
      <c r="A35" s="147"/>
      <c r="B35" s="148"/>
      <c r="C35" s="148"/>
      <c r="D35" s="148"/>
      <c r="E35" s="148"/>
      <c r="F35" s="148"/>
      <c r="G35" s="148"/>
    </row>
    <row r="36" spans="1:17" outlineLevel="1" x14ac:dyDescent="0.3">
      <c r="A36" s="150" t="s">
        <v>199</v>
      </c>
      <c r="B36" s="150"/>
      <c r="C36" s="150"/>
      <c r="D36" s="151"/>
      <c r="E36" s="151">
        <f>E20*Drivers!$B$32/(1+Drivers!$B$32)</f>
        <v>106.85648379052371</v>
      </c>
      <c r="F36" s="151">
        <f>F20*Drivers!$B$32/(1+Drivers!$B$32)</f>
        <v>125.75838248157534</v>
      </c>
      <c r="G36" s="151">
        <f>G20*Drivers!$B$32/(1+Drivers!$B$32)</f>
        <v>148.00384780941786</v>
      </c>
    </row>
    <row r="37" spans="1:17" outlineLevel="1" x14ac:dyDescent="0.3">
      <c r="A37" s="150" t="s">
        <v>200</v>
      </c>
      <c r="B37" s="150"/>
      <c r="C37" s="150"/>
      <c r="D37" s="152"/>
      <c r="E37" s="152">
        <f>E34-E36</f>
        <v>2844.6666666666665</v>
      </c>
      <c r="F37" s="152">
        <f t="shared" ref="F37:G37" si="13">F34-F36</f>
        <v>3787.2912588252034</v>
      </c>
      <c r="G37" s="152">
        <f t="shared" si="13"/>
        <v>4570.9837564016034</v>
      </c>
    </row>
    <row r="38" spans="1:17" outlineLevel="1" x14ac:dyDescent="0.3">
      <c r="A38" s="150" t="s">
        <v>25</v>
      </c>
      <c r="B38" s="150"/>
      <c r="C38" s="150"/>
      <c r="D38" s="152"/>
      <c r="E38" s="152">
        <f>'Projected Financials'!E85</f>
        <v>9040</v>
      </c>
      <c r="F38" s="152">
        <f>'Projected Financials'!F85</f>
        <v>9040</v>
      </c>
      <c r="G38" s="152">
        <f>'Projected Financials'!G85</f>
        <v>9040</v>
      </c>
    </row>
    <row r="39" spans="1:17" outlineLevel="1" x14ac:dyDescent="0.3">
      <c r="A39" s="153" t="s">
        <v>198</v>
      </c>
      <c r="B39" s="153"/>
      <c r="C39" s="153"/>
      <c r="D39" s="153"/>
      <c r="E39" s="188">
        <f>(E37+E38)*Drivers!E25</f>
        <v>1468.8913857677901</v>
      </c>
      <c r="F39" s="188">
        <f>(F37+F38)*Drivers!F25</f>
        <v>1585.3955488435645</v>
      </c>
      <c r="G39" s="188">
        <f>(G37+G38)*Drivers!G25</f>
        <v>1682.2564193305352</v>
      </c>
    </row>
    <row r="40" spans="1:17" outlineLevel="1" x14ac:dyDescent="0.3">
      <c r="A40" s="149"/>
      <c r="B40" s="149"/>
      <c r="C40" s="149"/>
      <c r="D40" s="149"/>
      <c r="E40" s="149"/>
      <c r="F40" s="149"/>
      <c r="G40" s="149"/>
      <c r="H40" s="149"/>
      <c r="I40" s="149"/>
    </row>
    <row r="41" spans="1:17" outlineLevel="1" x14ac:dyDescent="0.3"/>
    <row r="42" spans="1:17" outlineLevel="1" x14ac:dyDescent="0.3"/>
    <row r="43" spans="1:17" ht="14.4" outlineLevel="1" x14ac:dyDescent="0.3">
      <c r="A43" s="233" t="s">
        <v>210</v>
      </c>
      <c r="B43" s="234" t="str">
        <f t="shared" ref="B43:G43" si="14">B28</f>
        <v>FY18</v>
      </c>
      <c r="C43" s="234" t="str">
        <f t="shared" si="14"/>
        <v>FY19</v>
      </c>
      <c r="D43" s="234" t="str">
        <f t="shared" si="14"/>
        <v>FY20</v>
      </c>
      <c r="E43" s="235" t="str">
        <f t="shared" si="14"/>
        <v>FY21</v>
      </c>
      <c r="F43" s="235" t="str">
        <f t="shared" si="14"/>
        <v>FY22</v>
      </c>
      <c r="G43" s="236" t="str">
        <f t="shared" si="14"/>
        <v>FY23</v>
      </c>
      <c r="H43" s="22"/>
      <c r="I43" s="22"/>
      <c r="J43" s="22"/>
      <c r="K43" s="22"/>
      <c r="L43" s="22"/>
      <c r="M43" s="22"/>
    </row>
    <row r="44" spans="1:17" outlineLevel="1" x14ac:dyDescent="0.3">
      <c r="A44" s="8" t="s">
        <v>311</v>
      </c>
      <c r="B44" s="8"/>
      <c r="C44" s="8">
        <f>'Past Financials'!C65</f>
        <v>20</v>
      </c>
      <c r="D44" s="8">
        <f>'Past Financials'!D65</f>
        <v>23</v>
      </c>
      <c r="E44" s="8"/>
      <c r="F44" s="8"/>
      <c r="G44" s="8"/>
    </row>
    <row r="45" spans="1:17" outlineLevel="1" x14ac:dyDescent="0.3">
      <c r="A45" s="8" t="s">
        <v>312</v>
      </c>
      <c r="B45" s="8"/>
      <c r="C45" s="8">
        <f>'Past Financials'!C55</f>
        <v>60</v>
      </c>
      <c r="D45" s="8">
        <f>'Past Financials'!D55</f>
        <v>629</v>
      </c>
      <c r="E45" s="8"/>
      <c r="F45" s="8"/>
      <c r="G45" s="8"/>
    </row>
    <row r="46" spans="1:17" outlineLevel="1" x14ac:dyDescent="0.3">
      <c r="A46" s="8" t="s">
        <v>313</v>
      </c>
      <c r="B46" s="146"/>
      <c r="C46" s="146">
        <f t="shared" ref="C46:D46" si="15">C44/C45</f>
        <v>0.33333333333333331</v>
      </c>
      <c r="D46" s="146">
        <f t="shared" si="15"/>
        <v>3.6565977742448331E-2</v>
      </c>
      <c r="E46" s="8"/>
      <c r="F46" s="8"/>
      <c r="G46" s="8"/>
    </row>
    <row r="47" spans="1:17" outlineLevel="1" x14ac:dyDescent="0.3"/>
    <row r="48" spans="1:17" outlineLevel="1" x14ac:dyDescent="0.3"/>
    <row r="49" outlineLevel="1" x14ac:dyDescent="0.3"/>
    <row r="50" outlineLevel="1" x14ac:dyDescent="0.3"/>
    <row r="51" outlineLevel="1" x14ac:dyDescent="0.3"/>
    <row r="52" outlineLevel="1" x14ac:dyDescent="0.3"/>
    <row r="53" outlineLevel="1" x14ac:dyDescent="0.3"/>
    <row r="54" outlineLevel="1" x14ac:dyDescent="0.3"/>
    <row r="55" outlineLevel="1" x14ac:dyDescent="0.3"/>
    <row r="56" outlineLevel="1" x14ac:dyDescent="0.3"/>
    <row r="57" outlineLevel="1" x14ac:dyDescent="0.3"/>
    <row r="58" outlineLevel="1" x14ac:dyDescent="0.3"/>
    <row r="59" outlineLevel="1" x14ac:dyDescent="0.3"/>
    <row r="60" outlineLevel="1" x14ac:dyDescent="0.3"/>
    <row r="61" outlineLevel="1" x14ac:dyDescent="0.3"/>
    <row r="62" outlineLevel="1" x14ac:dyDescent="0.3"/>
    <row r="63" outlineLevel="1" x14ac:dyDescent="0.3"/>
    <row r="64" outlineLevel="1" x14ac:dyDescent="0.3"/>
    <row r="65" outlineLevel="1" x14ac:dyDescent="0.3"/>
    <row r="66" outlineLevel="1" x14ac:dyDescent="0.3"/>
    <row r="67" outlineLevel="1" x14ac:dyDescent="0.3"/>
    <row r="68" outlineLevel="1" x14ac:dyDescent="0.3"/>
    <row r="69" outlineLevel="1" x14ac:dyDescent="0.3"/>
    <row r="70" outlineLevel="1" x14ac:dyDescent="0.3"/>
    <row r="71" outlineLevel="1" x14ac:dyDescent="0.3"/>
    <row r="72" outlineLevel="1" x14ac:dyDescent="0.3"/>
    <row r="73" outlineLevel="1" x14ac:dyDescent="0.3"/>
    <row r="74" outlineLevel="1" x14ac:dyDescent="0.3"/>
    <row r="75" outlineLevel="1" x14ac:dyDescent="0.3"/>
    <row r="76" outlineLevel="1" x14ac:dyDescent="0.3"/>
    <row r="77" outlineLevel="1" x14ac:dyDescent="0.3"/>
    <row r="78" outlineLevel="1" x14ac:dyDescent="0.3"/>
    <row r="79" outlineLevel="1" x14ac:dyDescent="0.3"/>
    <row r="80" outlineLevel="1" x14ac:dyDescent="0.3"/>
    <row r="81" outlineLevel="1" x14ac:dyDescent="0.3"/>
    <row r="82" outlineLevel="1" x14ac:dyDescent="0.3"/>
    <row r="83" outlineLevel="1" x14ac:dyDescent="0.3"/>
    <row r="84" outlineLevel="1" x14ac:dyDescent="0.3"/>
    <row r="85" outlineLevel="1" x14ac:dyDescent="0.3"/>
    <row r="86" outlineLevel="1" x14ac:dyDescent="0.3"/>
    <row r="87" outlineLevel="1" x14ac:dyDescent="0.3"/>
    <row r="88" outlineLevel="1" x14ac:dyDescent="0.3"/>
    <row r="89" outlineLevel="1" x14ac:dyDescent="0.3"/>
    <row r="90" outlineLevel="1" x14ac:dyDescent="0.3"/>
    <row r="91" outlineLevel="1" x14ac:dyDescent="0.3"/>
    <row r="92" outlineLevel="1" x14ac:dyDescent="0.3"/>
    <row r="93" outlineLevel="1" x14ac:dyDescent="0.3"/>
    <row r="94" outlineLevel="1" x14ac:dyDescent="0.3"/>
    <row r="95" outlineLevel="1" x14ac:dyDescent="0.3"/>
    <row r="96" outlineLevel="1" x14ac:dyDescent="0.3"/>
    <row r="97" outlineLevel="1" x14ac:dyDescent="0.3"/>
    <row r="98" outlineLevel="1" x14ac:dyDescent="0.3"/>
    <row r="99" outlineLevel="1" x14ac:dyDescent="0.3"/>
    <row r="100" outlineLevel="1" x14ac:dyDescent="0.3"/>
    <row r="101" outlineLevel="1" x14ac:dyDescent="0.3"/>
    <row r="102" outlineLevel="1" x14ac:dyDescent="0.3"/>
    <row r="103" outlineLevel="1" x14ac:dyDescent="0.3"/>
    <row r="104" outlineLevel="1" x14ac:dyDescent="0.3"/>
    <row r="105" outlineLevel="1" x14ac:dyDescent="0.3"/>
    <row r="106" outlineLevel="1" x14ac:dyDescent="0.3"/>
    <row r="107" outlineLevel="1" x14ac:dyDescent="0.3"/>
    <row r="108" outlineLevel="1" x14ac:dyDescent="0.3"/>
    <row r="109" outlineLevel="1" x14ac:dyDescent="0.3"/>
    <row r="110" outlineLevel="1" x14ac:dyDescent="0.3"/>
    <row r="111" outlineLevel="1" x14ac:dyDescent="0.3"/>
    <row r="112" outlineLevel="1" x14ac:dyDescent="0.3"/>
    <row r="113" outlineLevel="1" x14ac:dyDescent="0.3"/>
    <row r="114" outlineLevel="1" x14ac:dyDescent="0.3"/>
    <row r="115" outlineLevel="1" x14ac:dyDescent="0.3"/>
    <row r="116" outlineLevel="1" x14ac:dyDescent="0.3"/>
    <row r="117" outlineLevel="1" x14ac:dyDescent="0.3"/>
    <row r="118" outlineLevel="1" x14ac:dyDescent="0.3"/>
    <row r="119" outlineLevel="1" x14ac:dyDescent="0.3"/>
    <row r="120" outlineLevel="1" x14ac:dyDescent="0.3"/>
    <row r="121" outlineLevel="1" x14ac:dyDescent="0.3"/>
    <row r="122" outlineLevel="1" x14ac:dyDescent="0.3"/>
    <row r="123" outlineLevel="1" x14ac:dyDescent="0.3"/>
    <row r="124" outlineLevel="1" x14ac:dyDescent="0.3"/>
    <row r="125" outlineLevel="1" x14ac:dyDescent="0.3"/>
    <row r="126" outlineLevel="1" x14ac:dyDescent="0.3"/>
    <row r="127" outlineLevel="1" x14ac:dyDescent="0.3"/>
    <row r="128" outlineLevel="1" x14ac:dyDescent="0.3"/>
    <row r="179" spans="2:2" x14ac:dyDescent="0.3">
      <c r="B179" s="14"/>
    </row>
    <row r="180" spans="2:2" x14ac:dyDescent="0.3">
      <c r="B180" s="14"/>
    </row>
    <row r="181" spans="2:2" x14ac:dyDescent="0.3">
      <c r="B181" s="14"/>
    </row>
    <row r="182" spans="2:2" x14ac:dyDescent="0.3">
      <c r="B182" s="14"/>
    </row>
  </sheetData>
  <pageMargins left="0.7" right="0.7" top="0.75" bottom="0.75" header="0.3" footer="0.3"/>
  <pageSetup orientation="portrait" r:id="rId1"/>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2:I12"/>
  <sheetViews>
    <sheetView showGridLines="0" zoomScale="120" zoomScaleNormal="120" workbookViewId="0">
      <selection activeCell="H15" sqref="H15"/>
    </sheetView>
  </sheetViews>
  <sheetFormatPr defaultColWidth="9.109375" defaultRowHeight="13.8" x14ac:dyDescent="0.3"/>
  <cols>
    <col min="1" max="1" width="27.6640625" style="3" bestFit="1" customWidth="1"/>
    <col min="2" max="4" width="9.5546875" style="3" bestFit="1" customWidth="1"/>
    <col min="5" max="8" width="9.33203125" style="3" bestFit="1" customWidth="1"/>
    <col min="9" max="9" width="10" style="3" bestFit="1" customWidth="1"/>
    <col min="10" max="16384" width="9.109375" style="3"/>
  </cols>
  <sheetData>
    <row r="2" spans="1:9" ht="14.4" x14ac:dyDescent="0.3">
      <c r="A2" s="5" t="s">
        <v>89</v>
      </c>
    </row>
    <row r="3" spans="1:9" x14ac:dyDescent="0.3">
      <c r="B3" s="31" t="str">
        <f>'Capex &amp; Loan Schedule'!B3</f>
        <v>FY18</v>
      </c>
      <c r="C3" s="31" t="str">
        <f>'Capex &amp; Loan Schedule'!C3</f>
        <v>FY19</v>
      </c>
      <c r="D3" s="31" t="str">
        <f>'Capex &amp; Loan Schedule'!D3</f>
        <v>FY20</v>
      </c>
      <c r="E3" s="171" t="str">
        <f>'Capex &amp; Loan Schedule'!E3</f>
        <v>FY21</v>
      </c>
      <c r="F3" s="171" t="str">
        <f>'Capex &amp; Loan Schedule'!F3</f>
        <v>FY22</v>
      </c>
      <c r="G3" s="171" t="str">
        <f>'Capex &amp; Loan Schedule'!G3</f>
        <v>FY23</v>
      </c>
    </row>
    <row r="4" spans="1:9" x14ac:dyDescent="0.3">
      <c r="A4" s="8" t="s">
        <v>70</v>
      </c>
      <c r="B4" s="9">
        <f>'Past Financials'!B87</f>
        <v>14654</v>
      </c>
      <c r="C4" s="9">
        <f>'Past Financials'!C87</f>
        <v>23128</v>
      </c>
      <c r="D4" s="9">
        <f>'Past Financials'!D87</f>
        <v>21298</v>
      </c>
      <c r="E4" s="9">
        <f>Drivers!E43*'Revenue &amp; Expense Model'!E7/365</f>
        <v>19168.200000000004</v>
      </c>
      <c r="F4" s="9">
        <f>Drivers!F43*'Revenue &amp; Expense Model'!F7/365</f>
        <v>22558.872813079663</v>
      </c>
      <c r="G4" s="9">
        <f>Drivers!G43*'Revenue &amp; Expense Model'!G7/365</f>
        <v>26549.323493948552</v>
      </c>
    </row>
    <row r="5" spans="1:9" x14ac:dyDescent="0.3">
      <c r="A5" s="8" t="s">
        <v>71</v>
      </c>
      <c r="B5" s="9">
        <f>'Past Financials'!B86</f>
        <v>31602</v>
      </c>
      <c r="C5" s="9">
        <f>'Past Financials'!C86</f>
        <v>33226</v>
      </c>
      <c r="D5" s="9">
        <f>'Past Financials'!D86</f>
        <v>32139</v>
      </c>
      <c r="E5" s="9">
        <f>Drivers!E44*'Revenue &amp; Expense Model'!E16/365</f>
        <v>28187.83408182062</v>
      </c>
      <c r="F5" s="9">
        <f>Drivers!F44*'Revenue &amp; Expense Model'!F16/365</f>
        <v>33375.329128111058</v>
      </c>
      <c r="G5" s="9">
        <f>Drivers!G44*'Revenue &amp; Expense Model'!G16/365</f>
        <v>39400.248523398164</v>
      </c>
    </row>
    <row r="6" spans="1:9" x14ac:dyDescent="0.3">
      <c r="A6" s="8" t="s">
        <v>23</v>
      </c>
      <c r="B6" s="9">
        <f>'Past Financials'!B63</f>
        <v>104993</v>
      </c>
      <c r="C6" s="9">
        <f>'Past Financials'!C63</f>
        <v>96377</v>
      </c>
      <c r="D6" s="9">
        <f>'Past Financials'!D63</f>
        <v>74988</v>
      </c>
      <c r="E6" s="9">
        <f>Drivers!E45*'Revenue &amp; Expense Model'!E12/365</f>
        <v>67489.200000000012</v>
      </c>
      <c r="F6" s="9">
        <f>Drivers!F45*'Revenue &amp; Expense Model'!F12/365</f>
        <v>79427.399497944294</v>
      </c>
      <c r="G6" s="9">
        <f>Drivers!G45*'Revenue &amp; Expense Model'!G12/365</f>
        <v>93477.353280318071</v>
      </c>
    </row>
    <row r="7" spans="1:9" x14ac:dyDescent="0.3">
      <c r="A7" s="42"/>
      <c r="B7" s="43"/>
      <c r="C7" s="43"/>
      <c r="D7" s="43"/>
      <c r="E7" s="43"/>
      <c r="F7" s="43"/>
      <c r="G7" s="43"/>
    </row>
    <row r="8" spans="1:9" x14ac:dyDescent="0.3">
      <c r="A8" s="10" t="s">
        <v>90</v>
      </c>
      <c r="B8" s="13">
        <f>B4+B5-B6</f>
        <v>-58737</v>
      </c>
      <c r="C8" s="13">
        <f t="shared" ref="C8:D8" si="0">C4+C5-C6</f>
        <v>-40023</v>
      </c>
      <c r="D8" s="13">
        <f t="shared" si="0"/>
        <v>-21551</v>
      </c>
      <c r="E8" s="13">
        <f>E4+E5-E6</f>
        <v>-20133.165918179388</v>
      </c>
      <c r="F8" s="13">
        <f t="shared" ref="F8:G8" si="1">F4+F5-F6</f>
        <v>-23493.19755675357</v>
      </c>
      <c r="G8" s="13">
        <f t="shared" si="1"/>
        <v>-27527.781262971359</v>
      </c>
    </row>
    <row r="9" spans="1:9" x14ac:dyDescent="0.3">
      <c r="A9" s="8" t="s">
        <v>91</v>
      </c>
      <c r="B9" s="9">
        <f>'Past Financials'!B62</f>
        <v>1108</v>
      </c>
      <c r="C9" s="9">
        <f>'Past Financials'!C62</f>
        <v>1496</v>
      </c>
      <c r="D9" s="9">
        <f>'Past Financials'!D62</f>
        <v>1166</v>
      </c>
      <c r="E9" s="9">
        <f>D9</f>
        <v>1166</v>
      </c>
      <c r="F9" s="9">
        <f t="shared" ref="F9:G9" si="2">E9</f>
        <v>1166</v>
      </c>
      <c r="G9" s="9">
        <f t="shared" si="2"/>
        <v>1166</v>
      </c>
    </row>
    <row r="10" spans="1:9" x14ac:dyDescent="0.3">
      <c r="A10" s="8" t="s">
        <v>92</v>
      </c>
      <c r="B10" s="27">
        <f>B9/B8</f>
        <v>-1.8863748574152579E-2</v>
      </c>
      <c r="C10" s="27">
        <f t="shared" ref="C10:D10" si="3">C9/C8</f>
        <v>-3.7378507358268996E-2</v>
      </c>
      <c r="D10" s="27">
        <f t="shared" si="3"/>
        <v>-5.4104217901721499E-2</v>
      </c>
      <c r="E10" s="27">
        <f>E9/E8</f>
        <v>-5.7914388861572533E-2</v>
      </c>
      <c r="F10" s="27">
        <f t="shared" ref="F10" si="4">F9/F8</f>
        <v>-4.9631387859538557E-2</v>
      </c>
      <c r="G10" s="27">
        <f t="shared" ref="G10" si="5">G9/G8</f>
        <v>-4.2357209571714738E-2</v>
      </c>
    </row>
    <row r="12" spans="1:9" x14ac:dyDescent="0.3">
      <c r="E12" s="25"/>
      <c r="F12" s="25"/>
      <c r="G12" s="25"/>
      <c r="H12" s="25"/>
      <c r="I12" s="25"/>
    </row>
  </sheetData>
  <pageMargins left="0.7" right="0.7" top="0.75" bottom="0.75" header="0.3" footer="0.3"/>
  <pictur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2:K137"/>
  <sheetViews>
    <sheetView showGridLines="0" topLeftCell="A25" zoomScale="120" zoomScaleNormal="120" workbookViewId="0">
      <selection activeCell="I64" sqref="I64"/>
    </sheetView>
  </sheetViews>
  <sheetFormatPr defaultColWidth="9.109375" defaultRowHeight="13.8" outlineLevelRow="1" x14ac:dyDescent="0.3"/>
  <cols>
    <col min="1" max="1" width="39.109375" style="3" bestFit="1" customWidth="1"/>
    <col min="2" max="2" width="11.77734375" style="3" bestFit="1" customWidth="1"/>
    <col min="3" max="4" width="10.6640625" style="3" bestFit="1" customWidth="1"/>
    <col min="5" max="6" width="11" style="3" bestFit="1" customWidth="1"/>
    <col min="7" max="7" width="11.21875" style="3" bestFit="1" customWidth="1"/>
    <col min="8" max="9" width="11.109375" style="3" bestFit="1" customWidth="1"/>
    <col min="10" max="16384" width="9.109375" style="3"/>
  </cols>
  <sheetData>
    <row r="2" spans="1:7" s="163" customFormat="1" ht="14.4" x14ac:dyDescent="0.3">
      <c r="A2" s="162" t="s">
        <v>1</v>
      </c>
    </row>
    <row r="3" spans="1:7" outlineLevel="1" x14ac:dyDescent="0.3"/>
    <row r="4" spans="1:7" outlineLevel="1" x14ac:dyDescent="0.3">
      <c r="A4" s="6" t="s">
        <v>15</v>
      </c>
      <c r="B4" s="21" t="str">
        <f>'Revenue &amp; Expense Model'!B4</f>
        <v>FY18</v>
      </c>
      <c r="C4" s="21" t="str">
        <f>'Revenue &amp; Expense Model'!C4</f>
        <v>FY19</v>
      </c>
      <c r="D4" s="21" t="str">
        <f>'Revenue &amp; Expense Model'!D4</f>
        <v>FY20</v>
      </c>
      <c r="E4" s="172" t="str">
        <f>'Revenue &amp; Expense Model'!E4</f>
        <v>FY21</v>
      </c>
      <c r="F4" s="172" t="str">
        <f>'Revenue &amp; Expense Model'!F4</f>
        <v>FY22</v>
      </c>
      <c r="G4" s="172" t="str">
        <f>'Revenue &amp; Expense Model'!G4</f>
        <v>FY23</v>
      </c>
    </row>
    <row r="5" spans="1:7" outlineLevel="1" x14ac:dyDescent="0.3">
      <c r="A5" s="9" t="s">
        <v>314</v>
      </c>
      <c r="B5" s="34">
        <f>Drivers!B6</f>
        <v>1.779574</v>
      </c>
      <c r="C5" s="34">
        <f>Drivers!C6</f>
        <v>1.862449</v>
      </c>
      <c r="D5" s="34">
        <f>Drivers!D6</f>
        <v>1.5632969999999999</v>
      </c>
      <c r="E5" s="34">
        <f>Drivers!E6</f>
        <v>1.4069673</v>
      </c>
      <c r="F5" s="34">
        <f>Drivers!F6</f>
        <v>1.655846473474927</v>
      </c>
      <c r="G5" s="34">
        <f>Drivers!G6</f>
        <v>1.9487500126828476</v>
      </c>
    </row>
    <row r="6" spans="1:7" outlineLevel="1" x14ac:dyDescent="0.3">
      <c r="A6" s="9" t="str">
        <f>'Revenue &amp; Expense Model'!A6</f>
        <v>Average Selling Price</v>
      </c>
      <c r="B6" s="9">
        <f>Drivers!B9</f>
        <v>461015.38907626207</v>
      </c>
      <c r="C6" s="9">
        <f>Drivers!C9</f>
        <v>462125.40585003939</v>
      </c>
      <c r="D6" s="9">
        <f>Drivers!D9</f>
        <v>483977.13294402795</v>
      </c>
      <c r="E6" s="9">
        <f>Drivers!E9</f>
        <v>483977.13294402795</v>
      </c>
      <c r="F6" s="9">
        <f>Drivers!F9</f>
        <v>483977.13294402795</v>
      </c>
      <c r="G6" s="9">
        <f>Drivers!G9</f>
        <v>483977.13294402795</v>
      </c>
    </row>
    <row r="7" spans="1:7" outlineLevel="1" x14ac:dyDescent="0.3">
      <c r="A7" s="11" t="str">
        <f>'Past Financials'!A19</f>
        <v>Revenue from Operations</v>
      </c>
      <c r="B7" s="11">
        <f>B5*B6</f>
        <v>820411</v>
      </c>
      <c r="C7" s="11">
        <f t="shared" ref="C7:G7" si="0">C5*C6</f>
        <v>860685</v>
      </c>
      <c r="D7" s="11">
        <f t="shared" si="0"/>
        <v>756600</v>
      </c>
      <c r="E7" s="11">
        <f t="shared" si="0"/>
        <v>680940.00000000012</v>
      </c>
      <c r="F7" s="11">
        <f t="shared" si="0"/>
        <v>801391.82882787462</v>
      </c>
      <c r="G7" s="11">
        <f t="shared" si="0"/>
        <v>943150.44396288274</v>
      </c>
    </row>
    <row r="8" spans="1:7" outlineLevel="1" x14ac:dyDescent="0.3">
      <c r="A8" s="8" t="str">
        <f>'Past Financials'!A20</f>
        <v>Other Income</v>
      </c>
      <c r="B8" s="9">
        <f>'Past Financials'!B20</f>
        <v>20458</v>
      </c>
      <c r="C8" s="9">
        <f>'Past Financials'!C20</f>
        <v>25616</v>
      </c>
      <c r="D8" s="9">
        <f>'Past Financials'!D20</f>
        <v>33344</v>
      </c>
      <c r="E8" s="9">
        <f>'Revenue &amp; Expense Model'!E8</f>
        <v>30009.600000000006</v>
      </c>
      <c r="F8" s="9">
        <f>'Revenue &amp; Expense Model'!F8</f>
        <v>35318.013666979452</v>
      </c>
      <c r="G8" s="9">
        <f>'Revenue &amp; Expense Model'!G8</f>
        <v>41565.43537337875</v>
      </c>
    </row>
    <row r="9" spans="1:7" outlineLevel="1" x14ac:dyDescent="0.3">
      <c r="A9" s="10" t="str">
        <f>'Past Financials'!A21</f>
        <v>Total Income</v>
      </c>
      <c r="B9" s="11">
        <f>B7+B8</f>
        <v>840869</v>
      </c>
      <c r="C9" s="11">
        <f t="shared" ref="C9:G9" si="1">C7+C8</f>
        <v>886301</v>
      </c>
      <c r="D9" s="11">
        <f t="shared" si="1"/>
        <v>789944</v>
      </c>
      <c r="E9" s="11">
        <f t="shared" si="1"/>
        <v>710949.60000000009</v>
      </c>
      <c r="F9" s="11">
        <f t="shared" si="1"/>
        <v>836709.84249485412</v>
      </c>
      <c r="G9" s="11">
        <f t="shared" si="1"/>
        <v>984715.87933626154</v>
      </c>
    </row>
    <row r="10" spans="1:7" outlineLevel="1" x14ac:dyDescent="0.3">
      <c r="A10" s="8"/>
      <c r="B10" s="9"/>
      <c r="C10" s="9"/>
      <c r="D10" s="9"/>
      <c r="E10" s="9"/>
      <c r="F10" s="9"/>
      <c r="G10" s="9"/>
    </row>
    <row r="11" spans="1:7" outlineLevel="1" x14ac:dyDescent="0.3">
      <c r="A11" s="12" t="str">
        <f>'Past Financials'!A23</f>
        <v>Expenses</v>
      </c>
      <c r="B11" s="139"/>
      <c r="C11" s="9"/>
      <c r="D11" s="9"/>
      <c r="E11" s="9"/>
      <c r="F11" s="9"/>
      <c r="G11" s="9"/>
    </row>
    <row r="12" spans="1:7" outlineLevel="1" x14ac:dyDescent="0.3">
      <c r="A12" s="8" t="str">
        <f>'Revenue &amp; Expense Model'!A12</f>
        <v>Raw Material</v>
      </c>
      <c r="B12" s="9">
        <f>'Past Financials'!B24</f>
        <v>549861</v>
      </c>
      <c r="C12" s="9">
        <f>'Past Financials'!C24</f>
        <v>602639</v>
      </c>
      <c r="D12" s="9">
        <f>'Past Financials'!D24</f>
        <v>531633</v>
      </c>
      <c r="E12" s="9">
        <f>'Revenue &amp; Expense Model'!E12</f>
        <v>478469.70000000007</v>
      </c>
      <c r="F12" s="9">
        <f>'Revenue &amp; Expense Model'!F12</f>
        <v>563106.45272964507</v>
      </c>
      <c r="G12" s="9">
        <f>'Revenue &amp; Expense Model'!G12</f>
        <v>662714.64442944655</v>
      </c>
    </row>
    <row r="13" spans="1:7" outlineLevel="1" x14ac:dyDescent="0.3">
      <c r="A13" s="8" t="str">
        <f>'Revenue &amp; Expense Model'!A13</f>
        <v>Excise duty</v>
      </c>
      <c r="B13" s="9">
        <f>'Past Financials'!B25</f>
        <v>22317</v>
      </c>
      <c r="C13" s="9">
        <f>'Past Financials'!C25</f>
        <v>0</v>
      </c>
      <c r="D13" s="9">
        <f>'Past Financials'!D25</f>
        <v>0</v>
      </c>
      <c r="E13" s="9">
        <f>'Revenue &amp; Expense Model'!E13</f>
        <v>0</v>
      </c>
      <c r="F13" s="9">
        <f>'Revenue &amp; Expense Model'!F13</f>
        <v>0</v>
      </c>
      <c r="G13" s="9">
        <f>'Revenue &amp; Expense Model'!G13</f>
        <v>0</v>
      </c>
    </row>
    <row r="14" spans="1:7" outlineLevel="1" x14ac:dyDescent="0.3">
      <c r="A14" s="8" t="str">
        <f>'Revenue &amp; Expense Model'!A14</f>
        <v>Employee benefits expense</v>
      </c>
      <c r="B14" s="9">
        <f>'Past Financials'!B26</f>
        <v>28634</v>
      </c>
      <c r="C14" s="9">
        <f>'Past Financials'!C26</f>
        <v>32850</v>
      </c>
      <c r="D14" s="9">
        <f>'Past Financials'!D26</f>
        <v>34162</v>
      </c>
      <c r="E14" s="9">
        <f>'Revenue &amp; Expense Model'!E14</f>
        <v>27923.023126556734</v>
      </c>
      <c r="F14" s="9">
        <f>'Revenue &amp; Expense Model'!F14</f>
        <v>32862.341131075184</v>
      </c>
      <c r="G14" s="9">
        <f>'Revenue &amp; Expense Model'!G14</f>
        <v>38675.377652359712</v>
      </c>
    </row>
    <row r="15" spans="1:7" outlineLevel="1" x14ac:dyDescent="0.3">
      <c r="A15" s="8" t="str">
        <f>'Revenue &amp; Expense Model'!A15</f>
        <v>Other expenses</v>
      </c>
      <c r="B15" s="9">
        <f>'Past Financials'!B27</f>
        <v>98965</v>
      </c>
      <c r="C15" s="9">
        <f>'Past Financials'!C27</f>
        <v>115164</v>
      </c>
      <c r="D15" s="9">
        <f>'Past Financials'!D27</f>
        <v>117679</v>
      </c>
      <c r="E15" s="9">
        <f>'Revenue &amp; Expense Model'!E15</f>
        <v>93055.04162151464</v>
      </c>
      <c r="F15" s="9">
        <f>'Revenue &amp; Expense Model'!F15</f>
        <v>113797.21318699684</v>
      </c>
      <c r="G15" s="9">
        <f>'Revenue &amp; Expense Model'!G15</f>
        <v>136503.05048675666</v>
      </c>
    </row>
    <row r="16" spans="1:7" outlineLevel="1" x14ac:dyDescent="0.3">
      <c r="A16" s="8" t="str">
        <f>'Revenue &amp; Expense Model'!A16</f>
        <v>Total Expenses</v>
      </c>
      <c r="B16" s="11">
        <f>SUM(B12:B15)</f>
        <v>699777</v>
      </c>
      <c r="C16" s="11">
        <f t="shared" ref="C16:G16" si="2">SUM(C12:C15)</f>
        <v>750653</v>
      </c>
      <c r="D16" s="11">
        <f t="shared" si="2"/>
        <v>683474</v>
      </c>
      <c r="E16" s="11">
        <f t="shared" si="2"/>
        <v>599447.76474807144</v>
      </c>
      <c r="F16" s="11">
        <f t="shared" si="2"/>
        <v>709766.00704771711</v>
      </c>
      <c r="G16" s="11">
        <f t="shared" si="2"/>
        <v>837893.07256856281</v>
      </c>
    </row>
    <row r="17" spans="1:7" outlineLevel="1" x14ac:dyDescent="0.3">
      <c r="A17" s="8"/>
      <c r="B17" s="9"/>
      <c r="C17" s="9"/>
      <c r="D17" s="9"/>
      <c r="E17" s="9"/>
      <c r="F17" s="9"/>
      <c r="G17" s="9"/>
    </row>
    <row r="18" spans="1:7" outlineLevel="1" x14ac:dyDescent="0.3">
      <c r="A18" s="10" t="str">
        <f>'Past Financials'!A30</f>
        <v>EBITDA</v>
      </c>
      <c r="B18" s="11">
        <f>B9-B16</f>
        <v>141092</v>
      </c>
      <c r="C18" s="11">
        <f t="shared" ref="C18:G18" si="3">C9-C16</f>
        <v>135648</v>
      </c>
      <c r="D18" s="11">
        <f t="shared" si="3"/>
        <v>106470</v>
      </c>
      <c r="E18" s="11">
        <f t="shared" si="3"/>
        <v>111501.83525192866</v>
      </c>
      <c r="F18" s="11">
        <f t="shared" si="3"/>
        <v>126943.83544713701</v>
      </c>
      <c r="G18" s="11">
        <f t="shared" si="3"/>
        <v>146822.80676769873</v>
      </c>
    </row>
    <row r="19" spans="1:7" outlineLevel="1" x14ac:dyDescent="0.3">
      <c r="A19" s="8" t="str">
        <f>'Past Financials'!A31</f>
        <v>Depreciation &amp; Amortization</v>
      </c>
      <c r="B19" s="9">
        <f>'Past Financials'!B31</f>
        <v>27598</v>
      </c>
      <c r="C19" s="9">
        <f>'Past Financials'!C31</f>
        <v>30208</v>
      </c>
      <c r="D19" s="9">
        <f>'Past Financials'!D31</f>
        <v>35284</v>
      </c>
      <c r="E19" s="9">
        <f>'Revenue &amp; Expense Model'!E21</f>
        <v>34908.007902303289</v>
      </c>
      <c r="F19" s="9">
        <f>'Revenue &amp; Expense Model'!F21</f>
        <v>34209.394960070997</v>
      </c>
      <c r="G19" s="9">
        <f>'Revenue &amp; Expense Model'!G21</f>
        <v>36581.486193145873</v>
      </c>
    </row>
    <row r="20" spans="1:7" outlineLevel="1" x14ac:dyDescent="0.3">
      <c r="A20" s="10" t="str">
        <f>'Past Financials'!A32</f>
        <v>EBIT</v>
      </c>
      <c r="B20" s="11">
        <f>B18-B19</f>
        <v>113494</v>
      </c>
      <c r="C20" s="11">
        <f>C18-C19</f>
        <v>105440</v>
      </c>
      <c r="D20" s="11">
        <f>D18-D19</f>
        <v>71186</v>
      </c>
      <c r="E20" s="11">
        <f>E18-E19</f>
        <v>76593.827349625368</v>
      </c>
      <c r="F20" s="11">
        <f t="shared" ref="F20:G20" si="4">F18-F19</f>
        <v>92734.440487066022</v>
      </c>
      <c r="G20" s="11">
        <f t="shared" si="4"/>
        <v>110241.32057455285</v>
      </c>
    </row>
    <row r="21" spans="1:7" outlineLevel="1" x14ac:dyDescent="0.3">
      <c r="A21" s="8" t="str">
        <f>'Past Financials'!A33</f>
        <v>Finance Expenses</v>
      </c>
      <c r="B21" s="9">
        <f>'Past Financials'!B33</f>
        <v>3458</v>
      </c>
      <c r="C21" s="9">
        <f>'Past Financials'!C33</f>
        <v>759</v>
      </c>
      <c r="D21" s="9">
        <f>'Past Financials'!D33</f>
        <v>1342</v>
      </c>
      <c r="E21" s="128">
        <f>'Capex &amp; Loan Schedule'!E39</f>
        <v>1468.8913857677901</v>
      </c>
      <c r="F21" s="128">
        <f>'Capex &amp; Loan Schedule'!F39</f>
        <v>1585.3955488435645</v>
      </c>
      <c r="G21" s="128">
        <f>'Capex &amp; Loan Schedule'!G39</f>
        <v>1682.2564193305352</v>
      </c>
    </row>
    <row r="22" spans="1:7" outlineLevel="1" x14ac:dyDescent="0.3">
      <c r="A22" s="10" t="str">
        <f>'Past Financials'!A34</f>
        <v>PBT before profits of JVs</v>
      </c>
      <c r="B22" s="11">
        <f t="shared" ref="B22:D22" si="5">B20-B21</f>
        <v>110036</v>
      </c>
      <c r="C22" s="11">
        <f t="shared" si="5"/>
        <v>104681</v>
      </c>
      <c r="D22" s="11">
        <f t="shared" si="5"/>
        <v>69844</v>
      </c>
      <c r="E22" s="11">
        <f>E20-E21</f>
        <v>75124.935963857584</v>
      </c>
      <c r="F22" s="11">
        <f t="shared" ref="F22:G22" si="6">F20-F21</f>
        <v>91149.044938222461</v>
      </c>
      <c r="G22" s="11">
        <f t="shared" si="6"/>
        <v>108559.06415522232</v>
      </c>
    </row>
    <row r="23" spans="1:7" outlineLevel="1" x14ac:dyDescent="0.3">
      <c r="A23" s="8" t="str">
        <f>'Past Financials'!A36</f>
        <v>Add: Share of Profits of JVs</v>
      </c>
      <c r="B23" s="9">
        <f>'Past Financials'!B36</f>
        <v>267</v>
      </c>
      <c r="C23" s="9">
        <f>'Past Financials'!C36</f>
        <v>284</v>
      </c>
      <c r="D23" s="9">
        <f>'Past Financials'!D36</f>
        <v>9</v>
      </c>
      <c r="E23" s="128">
        <f>AVERAGE(B23:C23)</f>
        <v>275.5</v>
      </c>
      <c r="F23" s="128">
        <f t="shared" ref="F23:G23" si="7">E23</f>
        <v>275.5</v>
      </c>
      <c r="G23" s="128">
        <f t="shared" si="7"/>
        <v>275.5</v>
      </c>
    </row>
    <row r="24" spans="1:7" outlineLevel="1" x14ac:dyDescent="0.3">
      <c r="A24" s="8" t="str">
        <f>'Past Financials'!A35</f>
        <v>Add: Share of Profits of Associates</v>
      </c>
      <c r="B24" s="9">
        <f>'Past Financials'!B35</f>
        <v>1366</v>
      </c>
      <c r="C24" s="9">
        <f>'Past Financials'!C35</f>
        <v>1273</v>
      </c>
      <c r="D24" s="9">
        <f>'Past Financials'!D35</f>
        <v>1175</v>
      </c>
      <c r="E24" s="128">
        <f>AVERAGE(B24:D24)</f>
        <v>1271.3333333333333</v>
      </c>
      <c r="F24" s="128">
        <f t="shared" ref="F24:G24" si="8">AVERAGE(C24:E24)</f>
        <v>1239.7777777777776</v>
      </c>
      <c r="G24" s="128">
        <f t="shared" si="8"/>
        <v>1228.7037037037035</v>
      </c>
    </row>
    <row r="25" spans="1:7" outlineLevel="1" x14ac:dyDescent="0.3">
      <c r="A25" s="10" t="str">
        <f>'Past Financials'!A37</f>
        <v>PBT</v>
      </c>
      <c r="B25" s="11">
        <f>B22+B23+B24</f>
        <v>111669</v>
      </c>
      <c r="C25" s="11">
        <f t="shared" ref="C25:G25" si="9">C22+C23+C24</f>
        <v>106238</v>
      </c>
      <c r="D25" s="11">
        <f t="shared" si="9"/>
        <v>71028</v>
      </c>
      <c r="E25" s="11">
        <f t="shared" si="9"/>
        <v>76671.769297190913</v>
      </c>
      <c r="F25" s="11">
        <f t="shared" si="9"/>
        <v>92664.322716000243</v>
      </c>
      <c r="G25" s="11">
        <f t="shared" si="9"/>
        <v>110063.26785892603</v>
      </c>
    </row>
    <row r="26" spans="1:7" outlineLevel="1" x14ac:dyDescent="0.3">
      <c r="A26" s="8" t="str">
        <f>'Past Financials'!A38</f>
        <v>Tax</v>
      </c>
      <c r="B26" s="9">
        <f>'Past Financials'!B38</f>
        <v>32862</v>
      </c>
      <c r="C26" s="9">
        <f>'Past Financials'!C38</f>
        <v>29732</v>
      </c>
      <c r="D26" s="9">
        <f>'Past Financials'!D38</f>
        <v>14252</v>
      </c>
      <c r="E26" s="9">
        <f>E25*Drivers!$B$37</f>
        <v>19296.750896717011</v>
      </c>
      <c r="F26" s="9">
        <f>F25*Drivers!$B$37</f>
        <v>23321.756741162942</v>
      </c>
      <c r="G26" s="9">
        <f>G25*Drivers!$B$37</f>
        <v>27700.723254734505</v>
      </c>
    </row>
    <row r="27" spans="1:7" outlineLevel="1" x14ac:dyDescent="0.3">
      <c r="A27" s="10" t="str">
        <f>'Past Financials'!A39</f>
        <v>PAT</v>
      </c>
      <c r="B27" s="11">
        <f>B25-B26</f>
        <v>78807</v>
      </c>
      <c r="C27" s="11">
        <f>C25-C26</f>
        <v>76506</v>
      </c>
      <c r="D27" s="11">
        <f>D25-D26</f>
        <v>56776</v>
      </c>
      <c r="E27" s="11">
        <f>E25-E26</f>
        <v>57375.018400473899</v>
      </c>
      <c r="F27" s="11">
        <f t="shared" ref="F27:G27" si="10">F25-F26</f>
        <v>69342.5659748373</v>
      </c>
      <c r="G27" s="11">
        <f t="shared" si="10"/>
        <v>82362.544604191527</v>
      </c>
    </row>
    <row r="28" spans="1:7" outlineLevel="1" x14ac:dyDescent="0.3">
      <c r="A28" s="10" t="str">
        <f>'Past Financials'!A40</f>
        <v>PAT for Equity Shareholders</v>
      </c>
      <c r="B28" s="11">
        <f>'Past Financials'!B40</f>
        <v>78807</v>
      </c>
      <c r="C28" s="11">
        <f>'Past Financials'!C40</f>
        <v>76506</v>
      </c>
      <c r="D28" s="11">
        <f>'Past Financials'!D40</f>
        <v>56776</v>
      </c>
      <c r="E28" s="11">
        <f>E27</f>
        <v>57375.018400473899</v>
      </c>
      <c r="F28" s="11">
        <f t="shared" ref="F28:G28" si="11">F27</f>
        <v>69342.5659748373</v>
      </c>
      <c r="G28" s="11">
        <f t="shared" si="11"/>
        <v>82362.544604191527</v>
      </c>
    </row>
    <row r="29" spans="1:7" outlineLevel="1" x14ac:dyDescent="0.3">
      <c r="A29" s="10" t="str">
        <f>'Past Financials'!A41</f>
        <v>Dividend</v>
      </c>
      <c r="B29" s="9">
        <f>'Past Financials'!B41</f>
        <v>22656</v>
      </c>
      <c r="C29" s="9">
        <f>'Past Financials'!C41</f>
        <v>24166</v>
      </c>
      <c r="D29" s="9">
        <f>'Past Financials'!D41</f>
        <v>24166</v>
      </c>
      <c r="E29" s="9">
        <f>E28*Drivers!E27</f>
        <v>24420.96475034966</v>
      </c>
      <c r="F29" s="9">
        <f>F28*Drivers!F27</f>
        <v>29514.802898194979</v>
      </c>
      <c r="G29" s="9">
        <f>G28*Drivers!G27</f>
        <v>35056.595267452663</v>
      </c>
    </row>
    <row r="30" spans="1:7" x14ac:dyDescent="0.3">
      <c r="B30" s="19"/>
      <c r="C30" s="19"/>
      <c r="D30" s="19"/>
      <c r="E30" s="15"/>
      <c r="F30" s="15"/>
      <c r="G30" s="15"/>
    </row>
    <row r="31" spans="1:7" x14ac:dyDescent="0.3">
      <c r="B31" s="19"/>
      <c r="C31" s="19"/>
      <c r="D31" s="19"/>
    </row>
    <row r="32" spans="1:7" s="163" customFormat="1" ht="14.4" x14ac:dyDescent="0.3">
      <c r="A32" s="162" t="s">
        <v>68</v>
      </c>
    </row>
    <row r="33" spans="1:7" outlineLevel="1" x14ac:dyDescent="0.3">
      <c r="A33" s="19"/>
      <c r="B33" s="19"/>
      <c r="C33" s="19"/>
      <c r="D33" s="19"/>
    </row>
    <row r="34" spans="1:7" outlineLevel="1" x14ac:dyDescent="0.3">
      <c r="A34" s="131" t="str">
        <f t="shared" ref="A34:G34" si="12">A4</f>
        <v>Particulars</v>
      </c>
      <c r="B34" s="21" t="str">
        <f t="shared" si="12"/>
        <v>FY18</v>
      </c>
      <c r="C34" s="21" t="str">
        <f t="shared" si="12"/>
        <v>FY19</v>
      </c>
      <c r="D34" s="21" t="str">
        <f t="shared" si="12"/>
        <v>FY20</v>
      </c>
      <c r="E34" s="172" t="str">
        <f t="shared" si="12"/>
        <v>FY21</v>
      </c>
      <c r="F34" s="172" t="str">
        <f t="shared" si="12"/>
        <v>FY22</v>
      </c>
      <c r="G34" s="172" t="str">
        <f t="shared" si="12"/>
        <v>FY23</v>
      </c>
    </row>
    <row r="35" spans="1:7" outlineLevel="1" x14ac:dyDescent="0.3">
      <c r="A35" s="132" t="s">
        <v>169</v>
      </c>
      <c r="B35" s="128"/>
      <c r="C35" s="128"/>
      <c r="D35" s="128"/>
      <c r="E35" s="128"/>
      <c r="F35" s="128"/>
      <c r="G35" s="128"/>
    </row>
    <row r="36" spans="1:7" outlineLevel="1" x14ac:dyDescent="0.3">
      <c r="A36" s="8" t="s">
        <v>14</v>
      </c>
      <c r="B36" s="9"/>
      <c r="C36" s="9"/>
      <c r="D36" s="9"/>
      <c r="E36" s="9">
        <f>E28</f>
        <v>57375.018400473899</v>
      </c>
      <c r="F36" s="9">
        <f t="shared" ref="F36:G36" si="13">F28</f>
        <v>69342.5659748373</v>
      </c>
      <c r="G36" s="9">
        <f t="shared" si="13"/>
        <v>82362.544604191527</v>
      </c>
    </row>
    <row r="37" spans="1:7" outlineLevel="1" x14ac:dyDescent="0.3">
      <c r="A37" s="8" t="s">
        <v>69</v>
      </c>
      <c r="B37" s="9"/>
      <c r="C37" s="9"/>
      <c r="D37" s="9"/>
      <c r="E37" s="9">
        <f>E19</f>
        <v>34908.007902303289</v>
      </c>
      <c r="F37" s="9">
        <f>F19</f>
        <v>34209.394960070997</v>
      </c>
      <c r="G37" s="9">
        <f>G19</f>
        <v>36581.486193145873</v>
      </c>
    </row>
    <row r="38" spans="1:7" outlineLevel="1" x14ac:dyDescent="0.3">
      <c r="A38" s="8" t="s">
        <v>176</v>
      </c>
      <c r="B38" s="9"/>
      <c r="C38" s="9"/>
      <c r="D38" s="9"/>
      <c r="E38" s="9"/>
      <c r="F38" s="9"/>
      <c r="G38" s="9"/>
    </row>
    <row r="39" spans="1:7" outlineLevel="1" x14ac:dyDescent="0.3">
      <c r="A39" s="8" t="s">
        <v>177</v>
      </c>
      <c r="B39" s="9"/>
      <c r="C39" s="9"/>
      <c r="D39" s="9"/>
      <c r="E39" s="9"/>
      <c r="F39" s="9"/>
      <c r="G39" s="9"/>
    </row>
    <row r="40" spans="1:7" outlineLevel="1" x14ac:dyDescent="0.3">
      <c r="A40" s="8" t="s">
        <v>175</v>
      </c>
      <c r="B40" s="9"/>
      <c r="C40" s="9"/>
      <c r="D40" s="9"/>
      <c r="E40" s="9">
        <f>'Capex &amp; Loan Schedule'!E30</f>
        <v>106.85648379052371</v>
      </c>
      <c r="F40" s="9">
        <f>'Capex &amp; Loan Schedule'!F30</f>
        <v>125.75838248157535</v>
      </c>
      <c r="G40" s="9">
        <f>'Capex &amp; Loan Schedule'!G30</f>
        <v>148.00384780941786</v>
      </c>
    </row>
    <row r="41" spans="1:7" outlineLevel="1" x14ac:dyDescent="0.3">
      <c r="A41" s="8" t="s">
        <v>316</v>
      </c>
      <c r="B41" s="9"/>
      <c r="C41" s="9"/>
      <c r="D41" s="9"/>
      <c r="E41" s="9"/>
      <c r="F41" s="9"/>
      <c r="G41" s="9"/>
    </row>
    <row r="42" spans="1:7" outlineLevel="1" x14ac:dyDescent="0.3">
      <c r="A42" s="8" t="str">
        <f>A78</f>
        <v xml:space="preserve">Deferred Tax Liabilities </v>
      </c>
      <c r="B42" s="9"/>
      <c r="C42" s="9"/>
      <c r="D42" s="9"/>
      <c r="E42" s="9"/>
      <c r="F42" s="9"/>
      <c r="G42" s="9"/>
    </row>
    <row r="43" spans="1:7" outlineLevel="1" x14ac:dyDescent="0.3">
      <c r="A43" s="8" t="str">
        <f>A79</f>
        <v>Other Non-Current Liabilities</v>
      </c>
      <c r="B43" s="9"/>
      <c r="C43" s="9"/>
      <c r="D43" s="9"/>
      <c r="E43" s="9"/>
      <c r="F43" s="9"/>
      <c r="G43" s="9"/>
    </row>
    <row r="44" spans="1:7" outlineLevel="1" x14ac:dyDescent="0.3">
      <c r="A44" s="8" t="s">
        <v>174</v>
      </c>
      <c r="B44" s="9"/>
      <c r="C44" s="9"/>
      <c r="D44" s="9"/>
      <c r="E44" s="9">
        <f>'Working Capital'!E9-'Working Capital'!D9</f>
        <v>0</v>
      </c>
      <c r="F44" s="9">
        <f>'Working Capital'!F9-'Working Capital'!E9</f>
        <v>0</v>
      </c>
      <c r="G44" s="9">
        <f>'Working Capital'!G9-'Working Capital'!F9</f>
        <v>0</v>
      </c>
    </row>
    <row r="45" spans="1:7" outlineLevel="1" x14ac:dyDescent="0.3">
      <c r="A45" s="8" t="str">
        <f>A83</f>
        <v>Trade Payables</v>
      </c>
      <c r="B45" s="9"/>
      <c r="C45" s="9"/>
      <c r="D45" s="9"/>
      <c r="E45" s="9">
        <f>'Working Capital'!E6-'Working Capital'!D6</f>
        <v>-7498.7999999999884</v>
      </c>
      <c r="F45" s="9">
        <f>'Working Capital'!F6-'Working Capital'!E6</f>
        <v>11938.199497944282</v>
      </c>
      <c r="G45" s="9">
        <f>'Working Capital'!G6-'Working Capital'!F6</f>
        <v>14049.953782373777</v>
      </c>
    </row>
    <row r="46" spans="1:7" outlineLevel="1" x14ac:dyDescent="0.3">
      <c r="A46" s="8" t="s">
        <v>317</v>
      </c>
      <c r="B46" s="9"/>
      <c r="C46" s="9"/>
      <c r="D46" s="9"/>
      <c r="E46" s="9"/>
      <c r="F46" s="9"/>
      <c r="G46" s="9"/>
    </row>
    <row r="47" spans="1:7" outlineLevel="1" x14ac:dyDescent="0.3">
      <c r="A47" s="8" t="s">
        <v>25</v>
      </c>
      <c r="B47" s="9"/>
      <c r="C47" s="9"/>
      <c r="D47" s="9"/>
      <c r="E47" s="9"/>
      <c r="F47" s="9"/>
      <c r="G47" s="9"/>
    </row>
    <row r="48" spans="1:7" outlineLevel="1" x14ac:dyDescent="0.3">
      <c r="A48" s="8" t="s">
        <v>44</v>
      </c>
      <c r="B48" s="9"/>
      <c r="C48" s="9"/>
      <c r="D48" s="9"/>
      <c r="E48" s="9"/>
      <c r="F48" s="9"/>
      <c r="G48" s="9"/>
    </row>
    <row r="49" spans="1:7" outlineLevel="1" x14ac:dyDescent="0.3">
      <c r="A49" s="3" t="s">
        <v>291</v>
      </c>
      <c r="B49" s="9"/>
      <c r="C49" s="9"/>
      <c r="D49" s="9"/>
      <c r="E49" s="9"/>
      <c r="F49" s="9"/>
      <c r="G49" s="9"/>
    </row>
    <row r="50" spans="1:7" outlineLevel="1" x14ac:dyDescent="0.3">
      <c r="A50" s="133" t="s">
        <v>180</v>
      </c>
      <c r="B50" s="134"/>
      <c r="C50" s="134"/>
      <c r="D50" s="134"/>
      <c r="E50" s="134">
        <f>SUM(E36:E49)</f>
        <v>84891.082786567727</v>
      </c>
      <c r="F50" s="134">
        <f>SUM(F36:F49)</f>
        <v>115615.91881533417</v>
      </c>
      <c r="G50" s="134">
        <f>SUM(G36:G49)</f>
        <v>133141.98842752061</v>
      </c>
    </row>
    <row r="51" spans="1:7" outlineLevel="1" x14ac:dyDescent="0.3">
      <c r="A51" s="8"/>
      <c r="B51" s="9"/>
      <c r="C51" s="9"/>
      <c r="D51" s="9"/>
      <c r="E51" s="9"/>
      <c r="F51" s="9"/>
      <c r="G51" s="9"/>
    </row>
    <row r="52" spans="1:7" outlineLevel="1" x14ac:dyDescent="0.3">
      <c r="A52" s="12" t="s">
        <v>170</v>
      </c>
      <c r="B52" s="9"/>
      <c r="C52" s="9"/>
      <c r="D52" s="9"/>
      <c r="E52" s="9"/>
      <c r="F52" s="9"/>
      <c r="G52" s="9"/>
    </row>
    <row r="53" spans="1:7" outlineLevel="1" x14ac:dyDescent="0.3">
      <c r="A53" s="8" t="s">
        <v>60</v>
      </c>
      <c r="B53" s="9"/>
      <c r="C53" s="9"/>
      <c r="D53" s="9"/>
      <c r="E53" s="9">
        <f>E29</f>
        <v>24420.96475034966</v>
      </c>
      <c r="F53" s="9">
        <f>F29</f>
        <v>29514.802898194979</v>
      </c>
      <c r="G53" s="9">
        <f>G29</f>
        <v>35056.595267452663</v>
      </c>
    </row>
    <row r="54" spans="1:7" outlineLevel="1" x14ac:dyDescent="0.3">
      <c r="A54" s="8" t="s">
        <v>235</v>
      </c>
      <c r="B54" s="9"/>
      <c r="C54" s="9"/>
      <c r="D54" s="9"/>
      <c r="E54" s="9">
        <f>'Capex &amp; Loan Schedule'!E31</f>
        <v>116.33333333333333</v>
      </c>
      <c r="F54" s="9">
        <f>'Capex &amp; Loan Schedule'!F31</f>
        <v>330.23189163198703</v>
      </c>
      <c r="G54" s="9">
        <f>'Capex &amp; Loan Schedule'!G31</f>
        <v>508.06588490517527</v>
      </c>
    </row>
    <row r="55" spans="1:7" outlineLevel="1" x14ac:dyDescent="0.3">
      <c r="A55" s="8" t="s">
        <v>171</v>
      </c>
      <c r="B55" s="9"/>
      <c r="C55" s="9"/>
      <c r="D55" s="9"/>
      <c r="E55" s="9">
        <f>'Capex &amp; Loan Schedule'!E4</f>
        <v>42849.450000000004</v>
      </c>
      <c r="F55" s="9">
        <f>'Capex &amp; Loan Schedule'!F4</f>
        <v>50429.111375111708</v>
      </c>
      <c r="G55" s="9">
        <f>'Capex &amp; Loan Schedule'!G4</f>
        <v>59349.542971576557</v>
      </c>
    </row>
    <row r="56" spans="1:7" outlineLevel="1" x14ac:dyDescent="0.3">
      <c r="A56" s="8" t="s">
        <v>168</v>
      </c>
      <c r="B56" s="9"/>
      <c r="C56" s="9"/>
      <c r="D56" s="9"/>
      <c r="E56" s="9"/>
      <c r="F56" s="9"/>
      <c r="G56" s="9"/>
    </row>
    <row r="57" spans="1:7" outlineLevel="1" x14ac:dyDescent="0.3">
      <c r="A57" s="8" t="s">
        <v>182</v>
      </c>
      <c r="B57" s="9"/>
      <c r="C57" s="9"/>
      <c r="D57" s="9"/>
      <c r="E57" s="9"/>
      <c r="F57" s="9"/>
      <c r="G57" s="9"/>
    </row>
    <row r="58" spans="1:7" outlineLevel="1" x14ac:dyDescent="0.3">
      <c r="A58" s="8" t="s">
        <v>36</v>
      </c>
      <c r="B58" s="9"/>
      <c r="C58" s="9"/>
      <c r="D58" s="9"/>
      <c r="E58" s="9"/>
      <c r="F58" s="9"/>
      <c r="G58" s="9"/>
    </row>
    <row r="59" spans="1:7" outlineLevel="1" x14ac:dyDescent="0.3">
      <c r="A59" s="8" t="s">
        <v>315</v>
      </c>
      <c r="B59" s="9"/>
      <c r="C59" s="9"/>
      <c r="D59" s="9"/>
      <c r="E59" s="9"/>
      <c r="F59" s="9"/>
      <c r="G59" s="9"/>
    </row>
    <row r="60" spans="1:7" outlineLevel="1" x14ac:dyDescent="0.3">
      <c r="A60" s="8" t="s">
        <v>39</v>
      </c>
      <c r="B60" s="9"/>
      <c r="C60" s="9"/>
      <c r="D60" s="9"/>
      <c r="E60" s="9">
        <f>'Working Capital'!E5-'Working Capital'!D5</f>
        <v>-3951.1659181793802</v>
      </c>
      <c r="F60" s="9">
        <f>'Working Capital'!F5-'Working Capital'!E5</f>
        <v>5187.495046290438</v>
      </c>
      <c r="G60" s="9">
        <f>'Working Capital'!G5-'Working Capital'!F5</f>
        <v>6024.9193952871065</v>
      </c>
    </row>
    <row r="61" spans="1:7" outlineLevel="1" x14ac:dyDescent="0.3">
      <c r="A61" s="8" t="s">
        <v>35</v>
      </c>
      <c r="B61" s="9"/>
      <c r="C61" s="9"/>
      <c r="D61" s="9"/>
      <c r="E61" s="9">
        <f>'Working Capital'!E4-'Working Capital'!D4</f>
        <v>-2129.7999999999956</v>
      </c>
      <c r="F61" s="9">
        <f>'Working Capital'!F4-'Working Capital'!E4</f>
        <v>3390.6728130796582</v>
      </c>
      <c r="G61" s="9">
        <f>'Working Capital'!G4-'Working Capital'!F4</f>
        <v>3990.4506808688893</v>
      </c>
    </row>
    <row r="62" spans="1:7" outlineLevel="1" x14ac:dyDescent="0.3">
      <c r="A62" s="8" t="s">
        <v>40</v>
      </c>
      <c r="B62" s="9"/>
      <c r="C62" s="9"/>
      <c r="D62" s="9"/>
      <c r="E62" s="9"/>
      <c r="F62" s="9"/>
      <c r="G62" s="9"/>
    </row>
    <row r="63" spans="1:7" outlineLevel="1" x14ac:dyDescent="0.3">
      <c r="A63" s="8" t="s">
        <v>295</v>
      </c>
      <c r="B63" s="9"/>
      <c r="C63" s="9"/>
      <c r="D63" s="9"/>
      <c r="E63" s="9"/>
      <c r="F63" s="9"/>
      <c r="G63" s="9"/>
    </row>
    <row r="64" spans="1:7" outlineLevel="1" x14ac:dyDescent="0.3">
      <c r="A64" s="8" t="s">
        <v>318</v>
      </c>
      <c r="B64" s="9"/>
      <c r="C64" s="9"/>
      <c r="D64" s="9"/>
      <c r="E64" s="9"/>
      <c r="F64" s="9"/>
      <c r="G64" s="9"/>
    </row>
    <row r="65" spans="1:11" outlineLevel="1" x14ac:dyDescent="0.3">
      <c r="A65" s="133" t="s">
        <v>178</v>
      </c>
      <c r="B65" s="134"/>
      <c r="C65" s="134"/>
      <c r="D65" s="134"/>
      <c r="E65" s="134">
        <f>SUM(E53:E64)</f>
        <v>61305.782165503617</v>
      </c>
      <c r="F65" s="134">
        <f t="shared" ref="F65:G65" si="14">SUM(F53:F64)</f>
        <v>88852.314024308769</v>
      </c>
      <c r="G65" s="134">
        <f t="shared" si="14"/>
        <v>104929.57420009038</v>
      </c>
    </row>
    <row r="66" spans="1:11" outlineLevel="1" x14ac:dyDescent="0.3">
      <c r="A66" s="129" t="s">
        <v>179</v>
      </c>
      <c r="B66" s="130"/>
      <c r="C66" s="130"/>
      <c r="D66" s="130"/>
      <c r="E66" s="130">
        <f>E50-E65</f>
        <v>23585.300621064111</v>
      </c>
      <c r="F66" s="130">
        <f>F50-F65</f>
        <v>26763.604791025398</v>
      </c>
      <c r="G66" s="130">
        <f>G50-G65</f>
        <v>28212.414227430228</v>
      </c>
    </row>
    <row r="67" spans="1:11" x14ac:dyDescent="0.3">
      <c r="B67" s="19"/>
      <c r="C67" s="19"/>
      <c r="D67" s="19"/>
    </row>
    <row r="68" spans="1:11" x14ac:dyDescent="0.3">
      <c r="B68" s="19"/>
      <c r="C68" s="19"/>
      <c r="D68" s="19"/>
    </row>
    <row r="69" spans="1:11" s="163" customFormat="1" ht="14.4" x14ac:dyDescent="0.3">
      <c r="A69" s="162" t="s">
        <v>17</v>
      </c>
    </row>
    <row r="71" spans="1:11" outlineLevel="1" x14ac:dyDescent="0.3">
      <c r="A71" s="6" t="str">
        <f t="shared" ref="A71:G71" si="15">A4</f>
        <v>Particulars</v>
      </c>
      <c r="B71" s="21" t="str">
        <f t="shared" si="15"/>
        <v>FY18</v>
      </c>
      <c r="C71" s="21" t="str">
        <f t="shared" si="15"/>
        <v>FY19</v>
      </c>
      <c r="D71" s="21" t="str">
        <f t="shared" si="15"/>
        <v>FY20</v>
      </c>
      <c r="E71" s="172" t="str">
        <f t="shared" si="15"/>
        <v>FY21</v>
      </c>
      <c r="F71" s="172" t="str">
        <f t="shared" si="15"/>
        <v>FY22</v>
      </c>
      <c r="G71" s="172" t="str">
        <f t="shared" si="15"/>
        <v>FY23</v>
      </c>
    </row>
    <row r="72" spans="1:11" outlineLevel="1" x14ac:dyDescent="0.3">
      <c r="A72" s="185" t="s">
        <v>173</v>
      </c>
      <c r="B72" s="185"/>
      <c r="C72" s="185"/>
      <c r="D72" s="185"/>
      <c r="E72" s="185"/>
      <c r="F72" s="185"/>
      <c r="G72" s="185"/>
    </row>
    <row r="73" spans="1:11" outlineLevel="1" x14ac:dyDescent="0.3">
      <c r="A73" s="8" t="str">
        <f>'Past Financials'!A51</f>
        <v>Total Equity</v>
      </c>
      <c r="B73" s="9">
        <f>'Past Financials'!B51</f>
        <v>425594</v>
      </c>
      <c r="C73" s="9">
        <f>'Past Financials'!C51</f>
        <v>470921</v>
      </c>
      <c r="D73" s="9">
        <f>'Past Financials'!D51</f>
        <v>494130</v>
      </c>
      <c r="E73" s="28">
        <f>D73+E38+E36-E53</f>
        <v>527084.05365012423</v>
      </c>
      <c r="F73" s="28">
        <f>E73+F38+F36-F53</f>
        <v>566911.81672676653</v>
      </c>
      <c r="G73" s="28">
        <f>F73+G38+G36-G53</f>
        <v>614217.76606350543</v>
      </c>
      <c r="I73" s="25"/>
      <c r="K73" s="25"/>
    </row>
    <row r="74" spans="1:11" outlineLevel="1" x14ac:dyDescent="0.3">
      <c r="A74" s="8" t="str">
        <f>'Past Financials'!A52</f>
        <v>Non-Controlling Interest</v>
      </c>
      <c r="B74" s="9">
        <f>'Past Financials'!B52</f>
        <v>161</v>
      </c>
      <c r="C74" s="9">
        <f>'Past Financials'!C52</f>
        <v>176</v>
      </c>
      <c r="D74" s="9">
        <f>'Past Financials'!D52</f>
        <v>192</v>
      </c>
      <c r="E74" s="28">
        <f>D74+E39</f>
        <v>192</v>
      </c>
      <c r="F74" s="28">
        <f>E74+F39</f>
        <v>192</v>
      </c>
      <c r="G74" s="28">
        <f>F74+G39</f>
        <v>192</v>
      </c>
      <c r="I74" s="25"/>
      <c r="K74" s="25"/>
    </row>
    <row r="75" spans="1:11" outlineLevel="1" x14ac:dyDescent="0.3">
      <c r="A75" s="12" t="str">
        <f>'Past Financials'!A54</f>
        <v>Non-Current Liabilities</v>
      </c>
      <c r="B75" s="9"/>
      <c r="C75" s="9"/>
      <c r="D75" s="9"/>
      <c r="E75" s="8"/>
      <c r="F75" s="8"/>
      <c r="G75" s="8"/>
    </row>
    <row r="76" spans="1:11" outlineLevel="1" x14ac:dyDescent="0.3">
      <c r="A76" s="8" t="str">
        <f>'Past Financials'!A55 &amp; " (incl CM)"</f>
        <v>Borrowings (incl CM)</v>
      </c>
      <c r="B76" s="9">
        <f>'Past Financials'!B55+'Past Financials'!B65</f>
        <v>100</v>
      </c>
      <c r="C76" s="9">
        <f>'Past Financials'!C55+'Past Financials'!C65</f>
        <v>80</v>
      </c>
      <c r="D76" s="9">
        <f>'Past Financials'!D55+'Past Financials'!D65</f>
        <v>652</v>
      </c>
      <c r="E76" s="28">
        <f>D76+E40-E54</f>
        <v>642.52315045719035</v>
      </c>
      <c r="F76" s="28">
        <f>E76+F40-F54</f>
        <v>438.04964130677871</v>
      </c>
      <c r="G76" s="28">
        <f>F76+G40-G54</f>
        <v>77.987604211021335</v>
      </c>
      <c r="I76" s="25"/>
      <c r="K76" s="25"/>
    </row>
    <row r="77" spans="1:11" outlineLevel="1" x14ac:dyDescent="0.3">
      <c r="A77" s="8" t="s">
        <v>289</v>
      </c>
      <c r="B77" s="9">
        <f>'Past Financials'!B56</f>
        <v>265</v>
      </c>
      <c r="C77" s="9">
        <f>'Past Financials'!C56</f>
        <v>395</v>
      </c>
      <c r="D77" s="9">
        <f>'Past Financials'!D56</f>
        <v>516</v>
      </c>
      <c r="E77" s="28">
        <f t="shared" ref="E77:G78" si="16">D77+E41</f>
        <v>516</v>
      </c>
      <c r="F77" s="28">
        <f t="shared" si="16"/>
        <v>516</v>
      </c>
      <c r="G77" s="28">
        <f t="shared" si="16"/>
        <v>516</v>
      </c>
      <c r="I77" s="25"/>
      <c r="K77" s="25"/>
    </row>
    <row r="78" spans="1:11" outlineLevel="1" x14ac:dyDescent="0.3">
      <c r="A78" s="8" t="str">
        <f>'Past Financials'!A57</f>
        <v xml:space="preserve">Deferred Tax Liabilities </v>
      </c>
      <c r="B78" s="9">
        <f>'Past Financials'!B57</f>
        <v>6020</v>
      </c>
      <c r="C78" s="9">
        <f>'Past Financials'!C57</f>
        <v>6139</v>
      </c>
      <c r="D78" s="9">
        <f>'Past Financials'!D57</f>
        <v>6575</v>
      </c>
      <c r="E78" s="28">
        <f t="shared" si="16"/>
        <v>6575</v>
      </c>
      <c r="F78" s="28">
        <f t="shared" si="16"/>
        <v>6575</v>
      </c>
      <c r="G78" s="28">
        <f t="shared" si="16"/>
        <v>6575</v>
      </c>
      <c r="I78" s="25"/>
      <c r="K78" s="25"/>
    </row>
    <row r="79" spans="1:11" outlineLevel="1" x14ac:dyDescent="0.3">
      <c r="A79" s="8" t="str">
        <f>'Past Financials'!A58</f>
        <v>Other Non-Current Liabilities</v>
      </c>
      <c r="B79" s="9">
        <f>'Past Financials'!B58</f>
        <v>15859</v>
      </c>
      <c r="C79" s="9">
        <f>'Past Financials'!C58</f>
        <v>20371</v>
      </c>
      <c r="D79" s="9">
        <f>'Past Financials'!D58</f>
        <v>21158</v>
      </c>
      <c r="E79" s="28">
        <f t="shared" ref="E79:G79" si="17">D79+E43</f>
        <v>21158</v>
      </c>
      <c r="F79" s="28">
        <f t="shared" si="17"/>
        <v>21158</v>
      </c>
      <c r="G79" s="28">
        <f t="shared" si="17"/>
        <v>21158</v>
      </c>
      <c r="I79" s="25"/>
      <c r="K79" s="25"/>
    </row>
    <row r="80" spans="1:11" outlineLevel="1" x14ac:dyDescent="0.3">
      <c r="A80" s="10" t="str">
        <f>'Past Financials'!A59</f>
        <v>Total Non-Current Liabilities</v>
      </c>
      <c r="B80" s="11">
        <f>SUM(B76:B79)</f>
        <v>22244</v>
      </c>
      <c r="C80" s="11">
        <f>SUM(C76:C79)</f>
        <v>26985</v>
      </c>
      <c r="D80" s="11">
        <f>SUM(D76:D79)</f>
        <v>28901</v>
      </c>
      <c r="E80" s="13">
        <f>SUM(E76:E79)</f>
        <v>28891.523150457189</v>
      </c>
      <c r="F80" s="13">
        <f t="shared" ref="F80:G80" si="18">SUM(F76:F79)</f>
        <v>28687.049641306778</v>
      </c>
      <c r="G80" s="13">
        <f t="shared" si="18"/>
        <v>28326.987604211019</v>
      </c>
    </row>
    <row r="81" spans="1:11" outlineLevel="1" x14ac:dyDescent="0.3">
      <c r="A81" s="12" t="str">
        <f>'Past Financials'!A61</f>
        <v>Current Liabilities</v>
      </c>
      <c r="B81" s="9"/>
      <c r="C81" s="9"/>
      <c r="D81" s="9"/>
      <c r="E81" s="8"/>
      <c r="F81" s="8"/>
      <c r="G81" s="8"/>
    </row>
    <row r="82" spans="1:11" outlineLevel="1" x14ac:dyDescent="0.3">
      <c r="A82" s="8" t="str">
        <f>'Past Financials'!A62</f>
        <v>Short Term Borrowings</v>
      </c>
      <c r="B82" s="9">
        <f>'Past Financials'!B62</f>
        <v>1108</v>
      </c>
      <c r="C82" s="9">
        <f>'Past Financials'!C62</f>
        <v>1496</v>
      </c>
      <c r="D82" s="9">
        <f>'Past Financials'!D62</f>
        <v>1166</v>
      </c>
      <c r="E82" s="28">
        <f t="shared" ref="E82:G84" si="19">D82+E44</f>
        <v>1166</v>
      </c>
      <c r="F82" s="28">
        <f t="shared" si="19"/>
        <v>1166</v>
      </c>
      <c r="G82" s="28">
        <f t="shared" si="19"/>
        <v>1166</v>
      </c>
      <c r="I82" s="25"/>
      <c r="K82" s="25"/>
    </row>
    <row r="83" spans="1:11" outlineLevel="1" x14ac:dyDescent="0.3">
      <c r="A83" s="8" t="str">
        <f>'Past Financials'!A63</f>
        <v>Trade Payables</v>
      </c>
      <c r="B83" s="9">
        <f>'Past Financials'!B63</f>
        <v>104993</v>
      </c>
      <c r="C83" s="9">
        <f>'Past Financials'!C63</f>
        <v>96377</v>
      </c>
      <c r="D83" s="9">
        <f>'Past Financials'!D63</f>
        <v>74988</v>
      </c>
      <c r="E83" s="28">
        <f t="shared" si="19"/>
        <v>67489.200000000012</v>
      </c>
      <c r="F83" s="28">
        <f t="shared" si="19"/>
        <v>79427.399497944294</v>
      </c>
      <c r="G83" s="28">
        <f t="shared" si="19"/>
        <v>93477.353280318071</v>
      </c>
      <c r="I83" s="25"/>
      <c r="K83" s="25"/>
    </row>
    <row r="84" spans="1:11" outlineLevel="1" x14ac:dyDescent="0.3">
      <c r="A84" s="8" t="s">
        <v>290</v>
      </c>
      <c r="B84" s="9">
        <f>'Past Financials'!B66</f>
        <v>5609</v>
      </c>
      <c r="C84" s="9">
        <f>'Past Financials'!C66</f>
        <v>6254</v>
      </c>
      <c r="D84" s="9">
        <f>'Past Financials'!D66</f>
        <v>6807</v>
      </c>
      <c r="E84" s="28">
        <f t="shared" si="19"/>
        <v>6807</v>
      </c>
      <c r="F84" s="28">
        <f t="shared" si="19"/>
        <v>6807</v>
      </c>
      <c r="G84" s="28">
        <f t="shared" si="19"/>
        <v>6807</v>
      </c>
      <c r="I84" s="25"/>
      <c r="K84" s="25"/>
    </row>
    <row r="85" spans="1:11" outlineLevel="1" x14ac:dyDescent="0.3">
      <c r="A85" s="8" t="s">
        <v>25</v>
      </c>
      <c r="B85" s="9">
        <f>'Past Financials'!B64</f>
        <v>13338</v>
      </c>
      <c r="C85" s="9">
        <f>'Past Financials'!C64</f>
        <v>14420</v>
      </c>
      <c r="D85" s="9">
        <f>'Past Financials'!D64</f>
        <v>9040</v>
      </c>
      <c r="E85" s="28">
        <f>D85+E47</f>
        <v>9040</v>
      </c>
      <c r="F85" s="28">
        <f t="shared" ref="F85:G85" si="20">E85+F47</f>
        <v>9040</v>
      </c>
      <c r="G85" s="28">
        <f t="shared" si="20"/>
        <v>9040</v>
      </c>
      <c r="I85" s="25"/>
      <c r="K85" s="25"/>
    </row>
    <row r="86" spans="1:11" outlineLevel="1" x14ac:dyDescent="0.3">
      <c r="A86" s="8" t="str">
        <f>'Past Financials'!A67</f>
        <v>Other Current Liabilities</v>
      </c>
      <c r="B86" s="9">
        <f>'Past Financials'!B67</f>
        <v>20896</v>
      </c>
      <c r="C86" s="9">
        <f>'Past Financials'!C67</f>
        <v>16329</v>
      </c>
      <c r="D86" s="9">
        <f>'Past Financials'!D67</f>
        <v>14091</v>
      </c>
      <c r="E86" s="28">
        <f>D86+E48</f>
        <v>14091</v>
      </c>
      <c r="F86" s="28">
        <f>E86+F48</f>
        <v>14091</v>
      </c>
      <c r="G86" s="28">
        <f>F86+G48</f>
        <v>14091</v>
      </c>
      <c r="I86" s="25"/>
      <c r="K86" s="25"/>
    </row>
    <row r="87" spans="1:11" outlineLevel="1" x14ac:dyDescent="0.3">
      <c r="A87" s="8" t="s">
        <v>291</v>
      </c>
      <c r="B87" s="9">
        <f>'Past Financials'!B68</f>
        <v>8541</v>
      </c>
      <c r="C87" s="9">
        <f>'Past Financials'!C68</f>
        <v>6729</v>
      </c>
      <c r="D87" s="9">
        <f>'Past Financials'!D68</f>
        <v>6962</v>
      </c>
      <c r="E87" s="28">
        <f>D87+E49</f>
        <v>6962</v>
      </c>
      <c r="F87" s="28">
        <f>E87+F49</f>
        <v>6962</v>
      </c>
      <c r="G87" s="28">
        <f>F87+G49</f>
        <v>6962</v>
      </c>
      <c r="I87" s="25"/>
      <c r="K87" s="25"/>
    </row>
    <row r="88" spans="1:11" outlineLevel="1" x14ac:dyDescent="0.3">
      <c r="A88" s="10" t="str">
        <f>'Past Financials'!A69</f>
        <v>Total Current Liabilities</v>
      </c>
      <c r="B88" s="11">
        <f>SUM(B82:B87)</f>
        <v>154485</v>
      </c>
      <c r="C88" s="11">
        <f t="shared" ref="C88:G88" si="21">SUM(C82:C87)</f>
        <v>141605</v>
      </c>
      <c r="D88" s="11">
        <f t="shared" si="21"/>
        <v>113054</v>
      </c>
      <c r="E88" s="11">
        <f t="shared" si="21"/>
        <v>105555.20000000001</v>
      </c>
      <c r="F88" s="11">
        <f t="shared" si="21"/>
        <v>117493.39949794429</v>
      </c>
      <c r="G88" s="11">
        <f t="shared" si="21"/>
        <v>131543.35328031809</v>
      </c>
    </row>
    <row r="89" spans="1:11" outlineLevel="1" x14ac:dyDescent="0.3">
      <c r="A89" s="129" t="s">
        <v>29</v>
      </c>
      <c r="B89" s="130">
        <f>B73+B74+B80+B88</f>
        <v>602484</v>
      </c>
      <c r="C89" s="130">
        <f t="shared" ref="C89:E89" si="22">C73+C74+C80+C88</f>
        <v>639687</v>
      </c>
      <c r="D89" s="130">
        <f t="shared" si="22"/>
        <v>636277</v>
      </c>
      <c r="E89" s="130">
        <f t="shared" si="22"/>
        <v>661722.77680058149</v>
      </c>
      <c r="F89" s="130">
        <f t="shared" ref="F89" si="23">F73+F74+F80+F88</f>
        <v>713284.26586601755</v>
      </c>
      <c r="G89" s="130">
        <f t="shared" ref="G89" si="24">G73+G74+G80+G88</f>
        <v>774280.10694803449</v>
      </c>
    </row>
    <row r="90" spans="1:11" outlineLevel="1" x14ac:dyDescent="0.3">
      <c r="A90" s="185" t="s">
        <v>172</v>
      </c>
      <c r="B90" s="185"/>
      <c r="C90" s="185"/>
      <c r="D90" s="185"/>
      <c r="E90" s="185"/>
      <c r="F90" s="185"/>
      <c r="G90" s="185"/>
    </row>
    <row r="91" spans="1:11" outlineLevel="1" x14ac:dyDescent="0.3">
      <c r="A91" s="12" t="s">
        <v>31</v>
      </c>
      <c r="B91" s="8"/>
      <c r="C91" s="8"/>
      <c r="D91" s="8"/>
      <c r="E91" s="8"/>
      <c r="F91" s="8"/>
      <c r="G91" s="8"/>
    </row>
    <row r="92" spans="1:11" outlineLevel="1" x14ac:dyDescent="0.3">
      <c r="A92" s="8" t="s">
        <v>250</v>
      </c>
      <c r="B92" s="9">
        <f>'Past Financials'!B74+'Past Financials'!B75+'Past Financials'!B76</f>
        <v>155209</v>
      </c>
      <c r="C92" s="9">
        <f>'Past Financials'!C74+'Past Financials'!C75+'Past Financials'!C76</f>
        <v>170442</v>
      </c>
      <c r="D92" s="9">
        <f>'Past Financials'!D74+'Past Financials'!D75+'Past Financials'!D76</f>
        <v>165415</v>
      </c>
      <c r="E92" s="28">
        <f>D92+E55-E37</f>
        <v>173356.44209769671</v>
      </c>
      <c r="F92" s="28">
        <f>E92+F55-F37</f>
        <v>189576.15851273743</v>
      </c>
      <c r="G92" s="28">
        <f>F92+G55-G37</f>
        <v>212344.21529116813</v>
      </c>
      <c r="I92" s="25"/>
      <c r="K92" s="25"/>
    </row>
    <row r="93" spans="1:11" outlineLevel="1" x14ac:dyDescent="0.3">
      <c r="A93" s="8" t="str">
        <f>'Past Financials'!A78</f>
        <v>Financial Assets</v>
      </c>
      <c r="B93" s="9">
        <f>'Past Financials'!B79+'Past Financials'!B80+'Past Financials'!B81</f>
        <v>349388</v>
      </c>
      <c r="C93" s="9">
        <f>'Past Financials'!C79+'Past Financials'!C80+'Past Financials'!C81</f>
        <v>324927</v>
      </c>
      <c r="D93" s="9">
        <f>'Past Financials'!D79+'Past Financials'!D80+'Past Financials'!D81</f>
        <v>363059</v>
      </c>
      <c r="E93" s="9">
        <f t="shared" ref="E93:G94" si="25">D93+E57</f>
        <v>363059</v>
      </c>
      <c r="F93" s="9">
        <f t="shared" si="25"/>
        <v>363059</v>
      </c>
      <c r="G93" s="9">
        <f t="shared" si="25"/>
        <v>363059</v>
      </c>
      <c r="I93" s="25"/>
      <c r="K93" s="25"/>
    </row>
    <row r="94" spans="1:11" outlineLevel="1" x14ac:dyDescent="0.3">
      <c r="A94" s="8" t="s">
        <v>36</v>
      </c>
      <c r="B94" s="9">
        <f>'Past Financials'!B82</f>
        <v>18587</v>
      </c>
      <c r="C94" s="9">
        <f>'Past Financials'!C82</f>
        <v>20591</v>
      </c>
      <c r="D94" s="9">
        <f>'Past Financials'!D82</f>
        <v>17216</v>
      </c>
      <c r="E94" s="28">
        <f t="shared" si="25"/>
        <v>17216</v>
      </c>
      <c r="F94" s="28">
        <f t="shared" si="25"/>
        <v>17216</v>
      </c>
      <c r="G94" s="28">
        <f t="shared" si="25"/>
        <v>17216</v>
      </c>
      <c r="I94" s="25"/>
      <c r="K94" s="25"/>
    </row>
    <row r="95" spans="1:11" outlineLevel="1" x14ac:dyDescent="0.3">
      <c r="A95" s="8" t="s">
        <v>299</v>
      </c>
      <c r="B95" s="9">
        <f>'Past Financials'!B77</f>
        <v>0</v>
      </c>
      <c r="C95" s="9">
        <f>'Past Financials'!C77</f>
        <v>0</v>
      </c>
      <c r="D95" s="9">
        <f>'Past Financials'!D77</f>
        <v>6181</v>
      </c>
      <c r="E95" s="28">
        <f>D95+E64</f>
        <v>6181</v>
      </c>
      <c r="F95" s="28">
        <f t="shared" ref="F95:G95" si="26">E95+F64</f>
        <v>6181</v>
      </c>
      <c r="G95" s="28">
        <f t="shared" si="26"/>
        <v>6181</v>
      </c>
      <c r="I95" s="25"/>
      <c r="K95" s="25"/>
    </row>
    <row r="96" spans="1:11" outlineLevel="1" x14ac:dyDescent="0.3">
      <c r="A96" s="10" t="s">
        <v>37</v>
      </c>
      <c r="B96" s="11">
        <f>SUM(B92:B94)</f>
        <v>523184</v>
      </c>
      <c r="C96" s="11">
        <f>SUM(C92:C94)</f>
        <v>515960</v>
      </c>
      <c r="D96" s="11">
        <f>SUM(D92:D95)</f>
        <v>551871</v>
      </c>
      <c r="E96" s="11">
        <f t="shared" ref="E96:G96" si="27">SUM(E92:E95)</f>
        <v>559812.44209769671</v>
      </c>
      <c r="F96" s="11">
        <f t="shared" si="27"/>
        <v>576032.15851273737</v>
      </c>
      <c r="G96" s="11">
        <f t="shared" si="27"/>
        <v>598800.21529116808</v>
      </c>
    </row>
    <row r="97" spans="1:11" outlineLevel="1" x14ac:dyDescent="0.3">
      <c r="A97" s="12" t="s">
        <v>38</v>
      </c>
      <c r="B97" s="9"/>
      <c r="C97" s="9"/>
      <c r="D97" s="9"/>
      <c r="E97" s="8"/>
      <c r="F97" s="8"/>
      <c r="G97" s="8"/>
    </row>
    <row r="98" spans="1:11" outlineLevel="1" x14ac:dyDescent="0.3">
      <c r="A98" s="8" t="s">
        <v>315</v>
      </c>
      <c r="B98" s="9">
        <f>'Past Financials'!B90+'Past Financials'!B91+'Past Financials'!B92</f>
        <v>15049</v>
      </c>
      <c r="C98" s="9">
        <f>'Past Financials'!C90+'Past Financials'!C91+'Past Financials'!C92</f>
        <v>55580</v>
      </c>
      <c r="D98" s="9">
        <f>'Past Financials'!D90+'Past Financials'!D91+'Past Financials'!D92</f>
        <v>17433</v>
      </c>
      <c r="E98" s="28">
        <f t="shared" ref="E98:G100" si="28">D98+E59</f>
        <v>17433</v>
      </c>
      <c r="F98" s="28">
        <f t="shared" si="28"/>
        <v>17433</v>
      </c>
      <c r="G98" s="28">
        <f t="shared" si="28"/>
        <v>17433</v>
      </c>
      <c r="I98" s="25"/>
      <c r="K98" s="25"/>
    </row>
    <row r="99" spans="1:11" outlineLevel="1" x14ac:dyDescent="0.3">
      <c r="A99" s="8" t="s">
        <v>39</v>
      </c>
      <c r="B99" s="9">
        <f>'Past Financials'!B86</f>
        <v>31602</v>
      </c>
      <c r="C99" s="9">
        <f>'Past Financials'!C86</f>
        <v>33226</v>
      </c>
      <c r="D99" s="9">
        <f>'Past Financials'!D86</f>
        <v>32139</v>
      </c>
      <c r="E99" s="28">
        <f t="shared" si="28"/>
        <v>28187.83408182062</v>
      </c>
      <c r="F99" s="28">
        <f t="shared" si="28"/>
        <v>33375.329128111058</v>
      </c>
      <c r="G99" s="28">
        <f t="shared" si="28"/>
        <v>39400.248523398164</v>
      </c>
      <c r="I99" s="25"/>
      <c r="K99" s="25"/>
    </row>
    <row r="100" spans="1:11" outlineLevel="1" x14ac:dyDescent="0.3">
      <c r="A100" s="8" t="s">
        <v>35</v>
      </c>
      <c r="B100" s="9">
        <f>'Past Financials'!B87</f>
        <v>14654</v>
      </c>
      <c r="C100" s="9">
        <f>'Past Financials'!C87</f>
        <v>23128</v>
      </c>
      <c r="D100" s="9">
        <f>'Past Financials'!D87</f>
        <v>21298</v>
      </c>
      <c r="E100" s="28">
        <f t="shared" si="28"/>
        <v>19168.200000000004</v>
      </c>
      <c r="F100" s="28">
        <f t="shared" si="28"/>
        <v>22558.872813079663</v>
      </c>
      <c r="G100" s="28">
        <f t="shared" si="28"/>
        <v>26549.323493948552</v>
      </c>
      <c r="I100" s="25"/>
      <c r="K100" s="25"/>
    </row>
    <row r="101" spans="1:11" outlineLevel="1" x14ac:dyDescent="0.3">
      <c r="A101" s="8" t="s">
        <v>206</v>
      </c>
      <c r="B101" s="9">
        <f>'Past Financials'!B88</f>
        <v>740</v>
      </c>
      <c r="C101" s="9">
        <f>'Past Financials'!C88</f>
        <v>1878</v>
      </c>
      <c r="D101" s="9">
        <f>'Past Financials'!D88</f>
        <v>290</v>
      </c>
      <c r="E101" s="28">
        <f>D101+E66</f>
        <v>23875.300621064111</v>
      </c>
      <c r="F101" s="28">
        <f>E101+F66</f>
        <v>50638.905412089509</v>
      </c>
      <c r="G101" s="28">
        <f>F101+G66</f>
        <v>78851.31963951973</v>
      </c>
      <c r="I101" s="25"/>
      <c r="K101" s="25"/>
    </row>
    <row r="102" spans="1:11" outlineLevel="1" x14ac:dyDescent="0.3">
      <c r="A102" s="8" t="s">
        <v>40</v>
      </c>
      <c r="B102" s="9">
        <f>'Past Financials'!B93</f>
        <v>13140</v>
      </c>
      <c r="C102" s="9">
        <f>'Past Financials'!C93</f>
        <v>5638</v>
      </c>
      <c r="D102" s="9">
        <f>'Past Financials'!D93</f>
        <v>7974</v>
      </c>
      <c r="E102" s="28">
        <f>D102+E62</f>
        <v>7974</v>
      </c>
      <c r="F102" s="28">
        <f>E102+F63</f>
        <v>7974</v>
      </c>
      <c r="G102" s="28">
        <f>F102+G63</f>
        <v>7974</v>
      </c>
      <c r="I102" s="25"/>
      <c r="K102" s="25"/>
    </row>
    <row r="103" spans="1:11" outlineLevel="1" x14ac:dyDescent="0.3">
      <c r="A103" s="8" t="s">
        <v>295</v>
      </c>
      <c r="B103" s="9">
        <f>'Past Financials'!B94</f>
        <v>4115</v>
      </c>
      <c r="C103" s="9">
        <f>'Past Financials'!C94</f>
        <v>4277</v>
      </c>
      <c r="D103" s="9">
        <f>'Past Financials'!D94</f>
        <v>5272</v>
      </c>
      <c r="E103" s="28">
        <f>D103+E63</f>
        <v>5272</v>
      </c>
      <c r="F103" s="28">
        <f>E103+F62</f>
        <v>5272</v>
      </c>
      <c r="G103" s="28">
        <f>F103+G62</f>
        <v>5272</v>
      </c>
      <c r="I103" s="25"/>
      <c r="K103" s="25"/>
    </row>
    <row r="104" spans="1:11" outlineLevel="1" x14ac:dyDescent="0.3">
      <c r="A104" s="10" t="s">
        <v>41</v>
      </c>
      <c r="B104" s="11">
        <f>SUM(B98:B103)</f>
        <v>79300</v>
      </c>
      <c r="C104" s="11">
        <f t="shared" ref="C104:G104" si="29">SUM(C98:C103)</f>
        <v>123727</v>
      </c>
      <c r="D104" s="11">
        <f t="shared" si="29"/>
        <v>84406</v>
      </c>
      <c r="E104" s="11">
        <f t="shared" si="29"/>
        <v>101910.33470288473</v>
      </c>
      <c r="F104" s="11">
        <f t="shared" si="29"/>
        <v>137252.10735328024</v>
      </c>
      <c r="G104" s="11">
        <f t="shared" si="29"/>
        <v>175479.89165686644</v>
      </c>
    </row>
    <row r="105" spans="1:11" outlineLevel="1" x14ac:dyDescent="0.3">
      <c r="A105" s="129" t="s">
        <v>42</v>
      </c>
      <c r="B105" s="130">
        <f t="shared" ref="B105:G105" si="30">B96+B104</f>
        <v>602484</v>
      </c>
      <c r="C105" s="130">
        <f t="shared" si="30"/>
        <v>639687</v>
      </c>
      <c r="D105" s="130">
        <f t="shared" si="30"/>
        <v>636277</v>
      </c>
      <c r="E105" s="130">
        <f t="shared" si="30"/>
        <v>661722.77680058149</v>
      </c>
      <c r="F105" s="130">
        <f t="shared" si="30"/>
        <v>713284.26586601767</v>
      </c>
      <c r="G105" s="130">
        <f t="shared" si="30"/>
        <v>774280.10694803449</v>
      </c>
    </row>
    <row r="106" spans="1:11" outlineLevel="1" x14ac:dyDescent="0.3">
      <c r="B106" s="20"/>
      <c r="C106" s="20"/>
      <c r="D106" s="20"/>
    </row>
    <row r="107" spans="1:11" outlineLevel="1" x14ac:dyDescent="0.3">
      <c r="A107" s="3" t="s">
        <v>43</v>
      </c>
      <c r="B107" s="20">
        <f t="shared" ref="B107:G107" si="31">ROUND(B105-B89,0)</f>
        <v>0</v>
      </c>
      <c r="C107" s="20">
        <f t="shared" si="31"/>
        <v>0</v>
      </c>
      <c r="D107" s="20">
        <f t="shared" si="31"/>
        <v>0</v>
      </c>
      <c r="E107" s="20">
        <f t="shared" si="31"/>
        <v>0</v>
      </c>
      <c r="F107" s="20">
        <f t="shared" si="31"/>
        <v>0</v>
      </c>
      <c r="G107" s="20">
        <f t="shared" si="31"/>
        <v>0</v>
      </c>
    </row>
    <row r="108" spans="1:11" outlineLevel="1" x14ac:dyDescent="0.3">
      <c r="B108" s="20"/>
      <c r="C108" s="20"/>
      <c r="D108" s="20"/>
    </row>
    <row r="109" spans="1:11" outlineLevel="1" x14ac:dyDescent="0.3">
      <c r="A109" s="3" t="s">
        <v>61</v>
      </c>
      <c r="B109" s="25">
        <f t="shared" ref="B109:G109" si="32">B76+B82</f>
        <v>1208</v>
      </c>
      <c r="C109" s="25">
        <f t="shared" si="32"/>
        <v>1576</v>
      </c>
      <c r="D109" s="25">
        <f t="shared" si="32"/>
        <v>1818</v>
      </c>
      <c r="E109" s="25">
        <f t="shared" si="32"/>
        <v>1808.5231504571902</v>
      </c>
      <c r="F109" s="25">
        <f t="shared" si="32"/>
        <v>1604.0496413067788</v>
      </c>
      <c r="G109" s="25">
        <f t="shared" si="32"/>
        <v>1243.9876042110213</v>
      </c>
    </row>
    <row r="110" spans="1:11" outlineLevel="1" x14ac:dyDescent="0.3">
      <c r="A110" s="3" t="s">
        <v>62</v>
      </c>
      <c r="B110" s="25">
        <f>B109-B101</f>
        <v>468</v>
      </c>
      <c r="C110" s="25">
        <f t="shared" ref="C110:G110" si="33">C109-C101</f>
        <v>-302</v>
      </c>
      <c r="D110" s="25">
        <f t="shared" si="33"/>
        <v>1528</v>
      </c>
      <c r="E110" s="25">
        <f t="shared" si="33"/>
        <v>-22066.777470606921</v>
      </c>
      <c r="F110" s="25">
        <f t="shared" si="33"/>
        <v>-49034.855770782728</v>
      </c>
      <c r="G110" s="25">
        <f t="shared" si="33"/>
        <v>-77607.332035308704</v>
      </c>
    </row>
    <row r="112" spans="1:11" s="163" customFormat="1" ht="14.4" x14ac:dyDescent="0.3">
      <c r="A112" s="162" t="s">
        <v>46</v>
      </c>
    </row>
    <row r="113" spans="1:7" ht="13.5" customHeight="1" outlineLevel="1" x14ac:dyDescent="0.3"/>
    <row r="114" spans="1:7" ht="15" customHeight="1" outlineLevel="1" x14ac:dyDescent="0.3">
      <c r="A114" s="5" t="s">
        <v>49</v>
      </c>
    </row>
    <row r="115" spans="1:7" ht="13.5" customHeight="1" outlineLevel="1" x14ac:dyDescent="0.3">
      <c r="A115" s="8" t="s">
        <v>47</v>
      </c>
      <c r="B115" s="30">
        <f t="shared" ref="B115:G115" si="34">B18/B9</f>
        <v>0.16779308072957858</v>
      </c>
      <c r="C115" s="30">
        <f t="shared" si="34"/>
        <v>0.15304958473475716</v>
      </c>
      <c r="D115" s="30">
        <f t="shared" si="34"/>
        <v>0.13478170604498546</v>
      </c>
      <c r="E115" s="30">
        <f t="shared" si="34"/>
        <v>0.15683507698988597</v>
      </c>
      <c r="F115" s="30">
        <f t="shared" si="34"/>
        <v>0.15171787040131265</v>
      </c>
      <c r="G115" s="30">
        <f t="shared" si="34"/>
        <v>0.14910169506625937</v>
      </c>
    </row>
    <row r="116" spans="1:7" ht="13.5" customHeight="1" outlineLevel="1" x14ac:dyDescent="0.3">
      <c r="A116" s="8" t="s">
        <v>48</v>
      </c>
      <c r="B116" s="30">
        <f t="shared" ref="B116:G116" si="35">B27/B9</f>
        <v>9.3720900639695362E-2</v>
      </c>
      <c r="C116" s="30">
        <f t="shared" si="35"/>
        <v>8.6320561524809297E-2</v>
      </c>
      <c r="D116" s="30">
        <f t="shared" si="35"/>
        <v>7.1873449257162533E-2</v>
      </c>
      <c r="E116" s="30">
        <f t="shared" si="35"/>
        <v>8.0701949055845712E-2</v>
      </c>
      <c r="F116" s="30">
        <f t="shared" si="35"/>
        <v>8.2875284182238801E-2</v>
      </c>
      <c r="G116" s="30">
        <f t="shared" si="35"/>
        <v>8.3640922556978789E-2</v>
      </c>
    </row>
    <row r="117" spans="1:7" ht="15" customHeight="1" outlineLevel="1" x14ac:dyDescent="0.3">
      <c r="A117" s="5" t="s">
        <v>223</v>
      </c>
    </row>
    <row r="118" spans="1:7" ht="13.5" customHeight="1" outlineLevel="1" x14ac:dyDescent="0.3">
      <c r="A118" s="8" t="s">
        <v>63</v>
      </c>
      <c r="B118" s="208">
        <f t="shared" ref="B118:G118" si="36">B109/(B73+B74)</f>
        <v>2.837312538901481E-3</v>
      </c>
      <c r="C118" s="208">
        <f t="shared" si="36"/>
        <v>3.3453832225635062E-3</v>
      </c>
      <c r="D118" s="208">
        <f t="shared" si="36"/>
        <v>3.6777646958864869E-3</v>
      </c>
      <c r="E118" s="208">
        <f t="shared" si="36"/>
        <v>3.4299360608878358E-3</v>
      </c>
      <c r="F118" s="208">
        <f t="shared" si="36"/>
        <v>2.8284938206995314E-3</v>
      </c>
      <c r="G118" s="208">
        <f t="shared" si="36"/>
        <v>2.0246872249137437E-3</v>
      </c>
    </row>
    <row r="119" spans="1:7" ht="13.5" customHeight="1" outlineLevel="1" x14ac:dyDescent="0.3">
      <c r="A119" s="8" t="s">
        <v>50</v>
      </c>
      <c r="B119" s="16">
        <f t="shared" ref="B119:G119" si="37">B110/B18</f>
        <v>3.3169846624897231E-3</v>
      </c>
      <c r="C119" s="16">
        <f t="shared" si="37"/>
        <v>-2.2263505543760323E-3</v>
      </c>
      <c r="D119" s="16">
        <f t="shared" si="37"/>
        <v>1.4351460505306659E-2</v>
      </c>
      <c r="E119" s="16">
        <f t="shared" si="37"/>
        <v>-0.19790506067231059</v>
      </c>
      <c r="F119" s="16">
        <f t="shared" si="37"/>
        <v>-0.38627205171536055</v>
      </c>
      <c r="G119" s="16">
        <f t="shared" si="37"/>
        <v>-0.52857818035108184</v>
      </c>
    </row>
    <row r="120" spans="1:7" ht="13.5" customHeight="1" outlineLevel="1" x14ac:dyDescent="0.3">
      <c r="A120" s="8" t="s">
        <v>51</v>
      </c>
      <c r="B120" s="29">
        <f t="shared" ref="B120:G120" si="38">B18/B21</f>
        <v>40.801619433198383</v>
      </c>
      <c r="C120" s="29">
        <f t="shared" si="38"/>
        <v>178.71936758893281</v>
      </c>
      <c r="D120" s="29">
        <f t="shared" si="38"/>
        <v>79.336810730253347</v>
      </c>
      <c r="E120" s="29">
        <f t="shared" si="38"/>
        <v>75.908835964509791</v>
      </c>
      <c r="F120" s="29">
        <f t="shared" si="38"/>
        <v>80.070765645667223</v>
      </c>
      <c r="G120" s="29">
        <f t="shared" si="38"/>
        <v>87.277305100804909</v>
      </c>
    </row>
    <row r="121" spans="1:7" ht="15" customHeight="1" outlineLevel="1" x14ac:dyDescent="0.3">
      <c r="A121" s="5" t="s">
        <v>53</v>
      </c>
    </row>
    <row r="122" spans="1:7" ht="13.5" customHeight="1" outlineLevel="1" x14ac:dyDescent="0.3">
      <c r="A122" s="8" t="s">
        <v>52</v>
      </c>
      <c r="B122" s="16">
        <f t="shared" ref="B122:G122" si="39">B104/B88</f>
        <v>0.51331844515648772</v>
      </c>
      <c r="C122" s="16">
        <f t="shared" si="39"/>
        <v>0.87374739592528516</v>
      </c>
      <c r="D122" s="16">
        <f t="shared" si="39"/>
        <v>0.74659897040352396</v>
      </c>
      <c r="E122" s="16">
        <f t="shared" si="39"/>
        <v>0.965469580872233</v>
      </c>
      <c r="F122" s="16">
        <f t="shared" si="39"/>
        <v>1.1681686625782042</v>
      </c>
      <c r="G122" s="16">
        <f t="shared" si="39"/>
        <v>1.3340080458715375</v>
      </c>
    </row>
    <row r="123" spans="1:7" ht="13.5" customHeight="1" outlineLevel="1" x14ac:dyDescent="0.3">
      <c r="A123" s="8" t="s">
        <v>54</v>
      </c>
      <c r="B123" s="28">
        <f t="shared" ref="B123:G123" si="40">B100/B7*365</f>
        <v>6.5195493478268816</v>
      </c>
      <c r="C123" s="28">
        <f t="shared" si="40"/>
        <v>9.8081411898662108</v>
      </c>
      <c r="D123" s="28">
        <f t="shared" si="40"/>
        <v>10.274610097805974</v>
      </c>
      <c r="E123" s="28">
        <f t="shared" si="40"/>
        <v>10.274610097805974</v>
      </c>
      <c r="F123" s="28">
        <f t="shared" si="40"/>
        <v>10.274610097805974</v>
      </c>
      <c r="G123" s="28">
        <f t="shared" si="40"/>
        <v>10.274610097805974</v>
      </c>
    </row>
    <row r="124" spans="1:7" ht="13.5" customHeight="1" outlineLevel="1" x14ac:dyDescent="0.3">
      <c r="A124" s="8" t="s">
        <v>55</v>
      </c>
      <c r="B124" s="9">
        <f t="shared" ref="B124:G124" si="41">B99/B16*365</f>
        <v>16.483436866315984</v>
      </c>
      <c r="C124" s="9">
        <f t="shared" si="41"/>
        <v>16.155920245439638</v>
      </c>
      <c r="D124" s="9">
        <f t="shared" si="41"/>
        <v>17.163396120408382</v>
      </c>
      <c r="E124" s="9">
        <f t="shared" si="41"/>
        <v>17.163396120408382</v>
      </c>
      <c r="F124" s="9">
        <f t="shared" si="41"/>
        <v>17.163396120408382</v>
      </c>
      <c r="G124" s="9">
        <f t="shared" si="41"/>
        <v>17.163396120408382</v>
      </c>
    </row>
    <row r="125" spans="1:7" ht="13.5" customHeight="1" outlineLevel="1" x14ac:dyDescent="0.3">
      <c r="A125" s="8" t="s">
        <v>56</v>
      </c>
      <c r="B125" s="9">
        <f t="shared" ref="B125:G125" si="42">B83/B12*365</f>
        <v>69.694786500588336</v>
      </c>
      <c r="C125" s="9">
        <f t="shared" si="42"/>
        <v>58.372599516460106</v>
      </c>
      <c r="D125" s="9">
        <f t="shared" si="42"/>
        <v>51.484050087184201</v>
      </c>
      <c r="E125" s="9">
        <f t="shared" si="42"/>
        <v>51.484050087184201</v>
      </c>
      <c r="F125" s="9">
        <f t="shared" si="42"/>
        <v>51.484050087184194</v>
      </c>
      <c r="G125" s="9">
        <f t="shared" si="42"/>
        <v>51.484050087184201</v>
      </c>
    </row>
    <row r="126" spans="1:7" ht="15" customHeight="1" outlineLevel="1" x14ac:dyDescent="0.3">
      <c r="A126" s="5" t="s">
        <v>224</v>
      </c>
    </row>
    <row r="127" spans="1:7" ht="13.5" customHeight="1" outlineLevel="1" x14ac:dyDescent="0.3">
      <c r="A127" s="8" t="s">
        <v>57</v>
      </c>
      <c r="B127" s="30">
        <f t="shared" ref="B127:G127" si="43">B28/B73</f>
        <v>0.18516943377961156</v>
      </c>
      <c r="C127" s="30">
        <f t="shared" si="43"/>
        <v>0.16246037021071474</v>
      </c>
      <c r="D127" s="30">
        <f t="shared" si="43"/>
        <v>0.11490093700038452</v>
      </c>
      <c r="E127" s="30">
        <f t="shared" si="43"/>
        <v>0.10885364109034334</v>
      </c>
      <c r="F127" s="30">
        <f t="shared" si="43"/>
        <v>0.12231631786263897</v>
      </c>
      <c r="G127" s="30">
        <f t="shared" si="43"/>
        <v>0.13409339350772845</v>
      </c>
    </row>
    <row r="128" spans="1:7" ht="13.5" customHeight="1" outlineLevel="1" x14ac:dyDescent="0.3">
      <c r="A128" s="8" t="s">
        <v>58</v>
      </c>
      <c r="B128" s="16">
        <f>B27/'Past Financials'!B103</f>
        <v>260.88122351694915</v>
      </c>
      <c r="C128" s="16">
        <f>C27/'Past Financials'!C103</f>
        <v>253.26403601694918</v>
      </c>
      <c r="D128" s="16">
        <f>D27/'Past Financials'!D103</f>
        <v>187.95021186440678</v>
      </c>
      <c r="E128" s="16">
        <f>E27/shares</f>
        <v>189.93319120919591</v>
      </c>
      <c r="F128" s="16">
        <f>F27/shares</f>
        <v>229.5503375756002</v>
      </c>
      <c r="G128" s="16">
        <f>G27/shares</f>
        <v>272.65143208485017</v>
      </c>
    </row>
    <row r="129" spans="1:7" ht="13.5" customHeight="1" outlineLevel="1" x14ac:dyDescent="0.3">
      <c r="A129" s="8" t="s">
        <v>59</v>
      </c>
      <c r="B129" s="27">
        <f t="shared" ref="B129:G129" si="44">B29/B27</f>
        <v>0.28748715215653431</v>
      </c>
      <c r="C129" s="27">
        <f t="shared" si="44"/>
        <v>0.31587065066792147</v>
      </c>
      <c r="D129" s="27">
        <f t="shared" si="44"/>
        <v>0.42563759334930251</v>
      </c>
      <c r="E129" s="27">
        <f t="shared" si="44"/>
        <v>0.42563759334930257</v>
      </c>
      <c r="F129" s="27">
        <f t="shared" si="44"/>
        <v>0.42563759334930251</v>
      </c>
      <c r="G129" s="27">
        <f t="shared" si="44"/>
        <v>0.42563759334930251</v>
      </c>
    </row>
    <row r="130" spans="1:7" ht="13.5" customHeight="1" outlineLevel="1" x14ac:dyDescent="0.3">
      <c r="A130" s="8" t="s">
        <v>225</v>
      </c>
      <c r="B130" s="8"/>
      <c r="C130" s="146">
        <f>C128/B128-1</f>
        <v>-2.9197913890897875E-2</v>
      </c>
      <c r="D130" s="146">
        <f t="shared" ref="D130:G130" si="45">D128/C128-1</f>
        <v>-0.25788827020103</v>
      </c>
      <c r="E130" s="146">
        <f t="shared" si="45"/>
        <v>1.0550556581546688E-2</v>
      </c>
      <c r="F130" s="146">
        <f t="shared" si="45"/>
        <v>0.20858464028422086</v>
      </c>
      <c r="G130" s="146">
        <f t="shared" si="45"/>
        <v>0.18776315018510936</v>
      </c>
    </row>
    <row r="133" spans="1:7" s="163" customFormat="1" ht="14.4" x14ac:dyDescent="0.3">
      <c r="A133" s="162" t="s">
        <v>229</v>
      </c>
    </row>
    <row r="134" spans="1:7" ht="13.5" customHeight="1" outlineLevel="1" x14ac:dyDescent="0.3"/>
    <row r="135" spans="1:7" ht="13.5" customHeight="1" outlineLevel="1" x14ac:dyDescent="0.3">
      <c r="A135" s="8" t="s">
        <v>230</v>
      </c>
      <c r="B135" s="9">
        <f>B7/B5</f>
        <v>461015.38907626207</v>
      </c>
      <c r="C135" s="9">
        <f t="shared" ref="C135:G135" si="46">C7/C5</f>
        <v>462125.40585003939</v>
      </c>
      <c r="D135" s="9">
        <f t="shared" si="46"/>
        <v>483977.13294402795</v>
      </c>
      <c r="E135" s="9">
        <f t="shared" si="46"/>
        <v>483977.13294402801</v>
      </c>
      <c r="F135" s="9">
        <f t="shared" si="46"/>
        <v>483977.13294402795</v>
      </c>
      <c r="G135" s="9">
        <f t="shared" si="46"/>
        <v>483977.13294402795</v>
      </c>
    </row>
    <row r="136" spans="1:7" ht="13.5" customHeight="1" outlineLevel="1" x14ac:dyDescent="0.3">
      <c r="A136" s="8" t="s">
        <v>232</v>
      </c>
      <c r="B136" s="9">
        <f>B12/B5</f>
        <v>308984.6221623827</v>
      </c>
      <c r="C136" s="9">
        <f t="shared" ref="C136:G136" si="47">C12/C5</f>
        <v>323573.42402395984</v>
      </c>
      <c r="D136" s="9">
        <f t="shared" si="47"/>
        <v>340071.65624958021</v>
      </c>
      <c r="E136" s="9">
        <f t="shared" si="47"/>
        <v>340071.65624958026</v>
      </c>
      <c r="F136" s="9">
        <f t="shared" si="47"/>
        <v>340071.65624958026</v>
      </c>
      <c r="G136" s="9">
        <f t="shared" si="47"/>
        <v>340071.65624958026</v>
      </c>
    </row>
    <row r="137" spans="1:7" ht="13.5" customHeight="1" outlineLevel="1" x14ac:dyDescent="0.3">
      <c r="A137" s="8" t="s">
        <v>233</v>
      </c>
      <c r="B137" s="9">
        <f>B18/B5</f>
        <v>79284.143283729703</v>
      </c>
      <c r="C137" s="9">
        <f t="shared" ref="C137:G137" si="48">C18/C5</f>
        <v>72833.13529659067</v>
      </c>
      <c r="D137" s="9">
        <f t="shared" si="48"/>
        <v>68106.060460680223</v>
      </c>
      <c r="E137" s="9">
        <f t="shared" si="48"/>
        <v>79249.770234126016</v>
      </c>
      <c r="F137" s="9">
        <f t="shared" si="48"/>
        <v>76664.012926714859</v>
      </c>
      <c r="G137" s="9">
        <f t="shared" si="48"/>
        <v>75342.042751582849</v>
      </c>
    </row>
  </sheetData>
  <conditionalFormatting sqref="E101:G101">
    <cfRule type="cellIs" dxfId="0" priority="1" operator="lessThan">
      <formula>0</formula>
    </cfRule>
  </conditionalFormatting>
  <pageMargins left="0.7" right="0.7" top="0.75" bottom="0.75" header="0.3" footer="0.3"/>
  <pictur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M252"/>
  <sheetViews>
    <sheetView showGridLines="0" zoomScale="110" zoomScaleNormal="110" workbookViewId="0">
      <selection activeCell="B13" sqref="B13"/>
    </sheetView>
  </sheetViews>
  <sheetFormatPr defaultColWidth="10.6640625" defaultRowHeight="13.8" x14ac:dyDescent="0.3"/>
  <cols>
    <col min="1" max="1" width="44.109375" style="3" bestFit="1" customWidth="1"/>
    <col min="2" max="2" width="15.6640625" style="3" customWidth="1"/>
    <col min="3" max="4" width="10.6640625" style="3"/>
    <col min="5" max="5" width="5.6640625" style="3" customWidth="1"/>
    <col min="6" max="6" width="26.109375" style="3" bestFit="1" customWidth="1"/>
    <col min="7" max="7" width="12.109375" style="3" bestFit="1" customWidth="1"/>
    <col min="8" max="8" width="10.6640625" style="3"/>
    <col min="9" max="9" width="11.33203125" style="3" bestFit="1" customWidth="1"/>
    <col min="10" max="10" width="10.88671875" style="240" bestFit="1" customWidth="1"/>
    <col min="11" max="11" width="10.88671875" style="3" bestFit="1" customWidth="1"/>
    <col min="12" max="12" width="13.77734375" style="240" bestFit="1" customWidth="1"/>
    <col min="13" max="13" width="10.88671875" style="3" bestFit="1" customWidth="1"/>
    <col min="14" max="15" width="10.6640625" style="3"/>
    <col min="16" max="16" width="13.44140625" style="3" bestFit="1" customWidth="1"/>
    <col min="17" max="16384" width="10.6640625" style="3"/>
  </cols>
  <sheetData>
    <row r="1" spans="1:13" ht="14.4" thickBot="1" x14ac:dyDescent="0.35"/>
    <row r="2" spans="1:13" ht="15" thickBot="1" x14ac:dyDescent="0.35">
      <c r="A2" s="5" t="s">
        <v>93</v>
      </c>
      <c r="F2" s="5" t="s">
        <v>137</v>
      </c>
      <c r="I2" s="245" t="s">
        <v>97</v>
      </c>
      <c r="J2" s="246">
        <f>SLOPE(M5:M245,K5:K245)</f>
        <v>1.1412445236448345</v>
      </c>
    </row>
    <row r="3" spans="1:13" x14ac:dyDescent="0.3">
      <c r="A3" s="84" t="s">
        <v>94</v>
      </c>
      <c r="B3" s="76">
        <v>5.7799999999999997E-2</v>
      </c>
      <c r="C3" s="46" t="s">
        <v>95</v>
      </c>
      <c r="E3" s="47"/>
      <c r="F3" s="6" t="s">
        <v>15</v>
      </c>
      <c r="G3" s="7" t="s">
        <v>96</v>
      </c>
      <c r="I3" s="243" t="s">
        <v>99</v>
      </c>
      <c r="J3" s="244" t="s">
        <v>222</v>
      </c>
      <c r="K3" s="232" t="s">
        <v>100</v>
      </c>
      <c r="L3" s="239" t="s">
        <v>257</v>
      </c>
      <c r="M3" s="232" t="s">
        <v>100</v>
      </c>
    </row>
    <row r="4" spans="1:13" ht="14.4" x14ac:dyDescent="0.3">
      <c r="A4" s="85" t="s">
        <v>98</v>
      </c>
      <c r="B4" s="179">
        <f>J2</f>
        <v>1.1412445236448345</v>
      </c>
      <c r="C4" s="46"/>
      <c r="E4" s="47"/>
      <c r="F4" s="165">
        <v>42737</v>
      </c>
      <c r="G4" s="48">
        <f>J4</f>
        <v>37327.359375</v>
      </c>
      <c r="I4" s="237">
        <v>43685</v>
      </c>
      <c r="J4" s="238">
        <v>37327.359375</v>
      </c>
      <c r="K4" s="173"/>
      <c r="L4" s="238">
        <v>5821.4653319999998</v>
      </c>
      <c r="M4" s="173"/>
    </row>
    <row r="5" spans="1:13" ht="14.4" x14ac:dyDescent="0.3">
      <c r="A5" s="85" t="s">
        <v>101</v>
      </c>
      <c r="B5" s="77">
        <f>G6</f>
        <v>1.8701827712665597E-2</v>
      </c>
      <c r="E5" s="47"/>
      <c r="F5" s="165">
        <v>43463</v>
      </c>
      <c r="G5" s="48">
        <f>J245</f>
        <v>38025.449219000002</v>
      </c>
      <c r="I5" s="237">
        <v>43686</v>
      </c>
      <c r="J5" s="238">
        <v>37581.910155999998</v>
      </c>
      <c r="K5" s="173">
        <f t="shared" ref="K5:K36" si="0">J5/J4-1</f>
        <v>6.819415711749599E-3</v>
      </c>
      <c r="L5" s="238">
        <v>6017.2333980000003</v>
      </c>
      <c r="M5" s="173">
        <f t="shared" ref="M5:M36" si="1">L5/L4-1</f>
        <v>3.3628657878263635E-2</v>
      </c>
    </row>
    <row r="6" spans="1:13" ht="14.4" x14ac:dyDescent="0.3">
      <c r="A6" s="86" t="s">
        <v>102</v>
      </c>
      <c r="B6" s="170">
        <f>B3+B4*(B5-B3)</f>
        <v>1.3179424992557379E-2</v>
      </c>
      <c r="E6" s="47"/>
      <c r="F6" s="137" t="s">
        <v>104</v>
      </c>
      <c r="G6" s="138">
        <f>G5/G4-1</f>
        <v>1.8701827712665597E-2</v>
      </c>
      <c r="I6" s="237">
        <v>43690</v>
      </c>
      <c r="J6" s="238">
        <v>36958.160155999998</v>
      </c>
      <c r="K6" s="173">
        <f t="shared" si="0"/>
        <v>-1.6597080813903653E-2</v>
      </c>
      <c r="L6" s="238">
        <v>5732.9501950000003</v>
      </c>
      <c r="M6" s="173">
        <f t="shared" si="1"/>
        <v>-4.7244835657278883E-2</v>
      </c>
    </row>
    <row r="7" spans="1:13" ht="14.4" x14ac:dyDescent="0.3">
      <c r="A7" s="86"/>
      <c r="B7" s="78"/>
      <c r="E7" s="47"/>
      <c r="I7" s="237">
        <v>43691</v>
      </c>
      <c r="J7" s="238">
        <v>37311.53125</v>
      </c>
      <c r="K7" s="173">
        <f t="shared" si="0"/>
        <v>9.5613821821332046E-3</v>
      </c>
      <c r="L7" s="238">
        <v>5815.5498049999997</v>
      </c>
      <c r="M7" s="173">
        <f t="shared" si="1"/>
        <v>1.4407871547887918E-2</v>
      </c>
    </row>
    <row r="8" spans="1:13" ht="14.4" x14ac:dyDescent="0.3">
      <c r="A8" s="85" t="s">
        <v>239</v>
      </c>
      <c r="B8" s="79">
        <f>Drivers!D25</f>
        <v>0.12359550561797752</v>
      </c>
      <c r="E8" s="47"/>
      <c r="I8" s="237">
        <v>43693</v>
      </c>
      <c r="J8" s="238">
        <v>37350.328125</v>
      </c>
      <c r="K8" s="173">
        <f t="shared" si="0"/>
        <v>1.0398092412784443E-3</v>
      </c>
      <c r="L8" s="238">
        <v>5975.1499020000001</v>
      </c>
      <c r="M8" s="173">
        <f t="shared" si="1"/>
        <v>2.7443681569502276E-2</v>
      </c>
    </row>
    <row r="9" spans="1:13" ht="14.4" x14ac:dyDescent="0.3">
      <c r="A9" s="85" t="s">
        <v>103</v>
      </c>
      <c r="B9" s="79">
        <f>Drivers!B37</f>
        <v>0.25168000000000001</v>
      </c>
      <c r="E9" s="47"/>
      <c r="I9" s="237">
        <v>43696</v>
      </c>
      <c r="J9" s="238">
        <v>37402.488280999998</v>
      </c>
      <c r="K9" s="173">
        <f t="shared" si="0"/>
        <v>1.3965113191358736E-3</v>
      </c>
      <c r="L9" s="238">
        <v>5974.9501950000003</v>
      </c>
      <c r="M9" s="173">
        <f t="shared" si="1"/>
        <v>-3.342292716923545E-5</v>
      </c>
    </row>
    <row r="10" spans="1:13" ht="14.4" x14ac:dyDescent="0.3">
      <c r="A10" s="86" t="s">
        <v>105</v>
      </c>
      <c r="B10" s="170">
        <f>B8*(1-B9)</f>
        <v>9.2488988764044933E-2</v>
      </c>
      <c r="E10" s="47"/>
      <c r="I10" s="237">
        <v>43697</v>
      </c>
      <c r="J10" s="238">
        <v>37328.011719000002</v>
      </c>
      <c r="K10" s="173">
        <f t="shared" si="0"/>
        <v>-1.9912194461626509E-3</v>
      </c>
      <c r="L10" s="238">
        <v>6198.75</v>
      </c>
      <c r="M10" s="173">
        <f t="shared" si="1"/>
        <v>3.7456346529429085E-2</v>
      </c>
    </row>
    <row r="11" spans="1:13" ht="14.4" x14ac:dyDescent="0.3">
      <c r="A11" s="85"/>
      <c r="B11" s="80"/>
      <c r="E11" s="47"/>
      <c r="F11" s="47"/>
      <c r="G11" s="47"/>
      <c r="I11" s="237">
        <v>43698</v>
      </c>
      <c r="J11" s="238">
        <v>37060.371094000002</v>
      </c>
      <c r="K11" s="173">
        <f t="shared" si="0"/>
        <v>-7.1699673428834432E-3</v>
      </c>
      <c r="L11" s="238">
        <v>6222.9501950000003</v>
      </c>
      <c r="M11" s="173">
        <f t="shared" si="1"/>
        <v>3.9040443637829991E-3</v>
      </c>
    </row>
    <row r="12" spans="1:13" ht="14.4" x14ac:dyDescent="0.3">
      <c r="A12" s="85" t="s">
        <v>19</v>
      </c>
      <c r="B12" s="81">
        <f>'Past Financials'!D51+'Past Financials'!D52</f>
        <v>494322</v>
      </c>
      <c r="C12" s="41"/>
      <c r="E12" s="47"/>
      <c r="F12" s="47"/>
      <c r="G12" s="47"/>
      <c r="I12" s="237">
        <v>43699</v>
      </c>
      <c r="J12" s="238">
        <v>36472.929687999997</v>
      </c>
      <c r="K12" s="173">
        <f t="shared" si="0"/>
        <v>-1.5850931565418391E-2</v>
      </c>
      <c r="L12" s="238">
        <v>6206.9501950000003</v>
      </c>
      <c r="M12" s="173">
        <f t="shared" si="1"/>
        <v>-2.5711277607292082E-3</v>
      </c>
    </row>
    <row r="13" spans="1:13" ht="14.4" x14ac:dyDescent="0.3">
      <c r="A13" s="85" t="s">
        <v>106</v>
      </c>
      <c r="B13" s="81">
        <f>'Past Financials'!D104</f>
        <v>1818</v>
      </c>
      <c r="C13" s="41"/>
      <c r="E13" s="47"/>
      <c r="F13" s="47"/>
      <c r="G13" s="47"/>
      <c r="I13" s="237">
        <v>43700</v>
      </c>
      <c r="J13" s="238">
        <v>36701.160155999998</v>
      </c>
      <c r="K13" s="173">
        <f t="shared" si="0"/>
        <v>6.2575304466174764E-3</v>
      </c>
      <c r="L13" s="238">
        <v>6255.1499020000001</v>
      </c>
      <c r="M13" s="173">
        <f t="shared" si="1"/>
        <v>7.7654412369583259E-3</v>
      </c>
    </row>
    <row r="14" spans="1:13" ht="14.4" x14ac:dyDescent="0.3">
      <c r="A14" s="86" t="s">
        <v>107</v>
      </c>
      <c r="B14" s="169">
        <f>B12+B13</f>
        <v>496140</v>
      </c>
      <c r="E14" s="47"/>
      <c r="F14" s="49"/>
      <c r="G14" s="49"/>
      <c r="I14" s="237">
        <v>43703</v>
      </c>
      <c r="J14" s="238">
        <v>37494.121094000002</v>
      </c>
      <c r="K14" s="173">
        <f t="shared" si="0"/>
        <v>2.1605882065566462E-2</v>
      </c>
      <c r="L14" s="238">
        <v>6253.5498049999997</v>
      </c>
      <c r="M14" s="173">
        <f t="shared" si="1"/>
        <v>-2.5580474090458605E-4</v>
      </c>
    </row>
    <row r="15" spans="1:13" ht="14.4" x14ac:dyDescent="0.3">
      <c r="A15" s="87"/>
      <c r="B15" s="82"/>
      <c r="E15" s="47"/>
      <c r="F15" s="47"/>
      <c r="G15" s="47"/>
      <c r="I15" s="237">
        <v>43704</v>
      </c>
      <c r="J15" s="238">
        <v>37641.269530999998</v>
      </c>
      <c r="K15" s="173">
        <f t="shared" si="0"/>
        <v>3.9245735786441749E-3</v>
      </c>
      <c r="L15" s="238">
        <v>6276.7001950000003</v>
      </c>
      <c r="M15" s="173">
        <f t="shared" si="1"/>
        <v>3.7019598023335654E-3</v>
      </c>
    </row>
    <row r="16" spans="1:13" ht="14.4" x14ac:dyDescent="0.3">
      <c r="A16" s="86" t="s">
        <v>108</v>
      </c>
      <c r="B16" s="170">
        <f>B13/B14</f>
        <v>3.6642883057201596E-3</v>
      </c>
      <c r="D16" s="51"/>
      <c r="E16" s="52"/>
      <c r="F16" s="47"/>
      <c r="G16" s="47"/>
      <c r="I16" s="237">
        <v>43705</v>
      </c>
      <c r="J16" s="238">
        <v>37451.839844000002</v>
      </c>
      <c r="K16" s="173">
        <f t="shared" si="0"/>
        <v>-5.0324999491313527E-3</v>
      </c>
      <c r="L16" s="238">
        <v>6094.8999020000001</v>
      </c>
      <c r="M16" s="173">
        <f t="shared" si="1"/>
        <v>-2.8964310442104901E-2</v>
      </c>
    </row>
    <row r="17" spans="1:13" ht="14.4" x14ac:dyDescent="0.3">
      <c r="A17" s="86" t="s">
        <v>109</v>
      </c>
      <c r="B17" s="170">
        <f>B12/B14</f>
        <v>0.99633571169427981</v>
      </c>
      <c r="D17" s="51"/>
      <c r="E17" s="52"/>
      <c r="F17" s="47"/>
      <c r="G17" s="47"/>
      <c r="I17" s="237">
        <v>43706</v>
      </c>
      <c r="J17" s="238">
        <v>37068.929687999997</v>
      </c>
      <c r="K17" s="173">
        <f t="shared" si="0"/>
        <v>-1.0224067965551531E-2</v>
      </c>
      <c r="L17" s="238">
        <v>6111.75</v>
      </c>
      <c r="M17" s="173">
        <f t="shared" si="1"/>
        <v>2.7646225977346894E-3</v>
      </c>
    </row>
    <row r="18" spans="1:13" ht="14.4" x14ac:dyDescent="0.3">
      <c r="A18" s="87"/>
      <c r="B18" s="82"/>
      <c r="D18" s="51"/>
      <c r="E18" s="52"/>
      <c r="F18" s="47"/>
      <c r="G18" s="47"/>
      <c r="I18" s="237">
        <v>43707</v>
      </c>
      <c r="J18" s="238">
        <v>37332.789062999997</v>
      </c>
      <c r="K18" s="173">
        <f t="shared" si="0"/>
        <v>7.118073740483899E-3</v>
      </c>
      <c r="L18" s="238">
        <v>6121.6000979999999</v>
      </c>
      <c r="M18" s="173">
        <f t="shared" si="1"/>
        <v>1.6116657258558043E-3</v>
      </c>
    </row>
    <row r="19" spans="1:13" ht="14.4" x14ac:dyDescent="0.3">
      <c r="A19" s="87"/>
      <c r="B19" s="79"/>
      <c r="D19" s="51"/>
      <c r="E19" s="52"/>
      <c r="F19" s="47"/>
      <c r="G19" s="47"/>
      <c r="I19" s="237">
        <v>43711</v>
      </c>
      <c r="J19" s="238">
        <v>36562.910155999998</v>
      </c>
      <c r="K19" s="173">
        <f t="shared" si="0"/>
        <v>-2.0622057079657474E-2</v>
      </c>
      <c r="L19" s="238">
        <v>6049.75</v>
      </c>
      <c r="M19" s="173">
        <f t="shared" si="1"/>
        <v>-1.1737143369341285E-2</v>
      </c>
    </row>
    <row r="20" spans="1:13" ht="14.4" x14ac:dyDescent="0.3">
      <c r="A20" s="55" t="s">
        <v>93</v>
      </c>
      <c r="B20" s="83">
        <f>B17*B6+B16*B10</f>
        <v>1.3470038099617008E-2</v>
      </c>
      <c r="D20" s="51"/>
      <c r="E20" s="52"/>
      <c r="F20" s="53"/>
      <c r="G20" s="53"/>
      <c r="I20" s="237">
        <v>43712</v>
      </c>
      <c r="J20" s="238">
        <v>36724.738280999998</v>
      </c>
      <c r="K20" s="173">
        <f t="shared" si="0"/>
        <v>4.4260187252476157E-3</v>
      </c>
      <c r="L20" s="238">
        <v>5829.75</v>
      </c>
      <c r="M20" s="173">
        <f t="shared" si="1"/>
        <v>-3.6365139055332896E-2</v>
      </c>
    </row>
    <row r="21" spans="1:13" ht="14.4" x14ac:dyDescent="0.3">
      <c r="C21" s="47"/>
      <c r="D21" s="51"/>
      <c r="E21" s="52"/>
      <c r="F21" s="50"/>
      <c r="G21" s="47"/>
      <c r="I21" s="237">
        <v>43713</v>
      </c>
      <c r="J21" s="238">
        <v>36644.421875</v>
      </c>
      <c r="K21" s="173">
        <f t="shared" si="0"/>
        <v>-2.1869837542600745E-3</v>
      </c>
      <c r="L21" s="238">
        <v>5970.2998049999997</v>
      </c>
      <c r="M21" s="173">
        <f t="shared" si="1"/>
        <v>2.4109062138170545E-2</v>
      </c>
    </row>
    <row r="22" spans="1:13" ht="14.4" x14ac:dyDescent="0.3">
      <c r="D22" s="51"/>
      <c r="E22" s="52"/>
      <c r="I22" s="237">
        <v>43714</v>
      </c>
      <c r="J22" s="238">
        <v>36981.769530999998</v>
      </c>
      <c r="K22" s="173">
        <f t="shared" si="0"/>
        <v>9.2059756639291113E-3</v>
      </c>
      <c r="L22" s="238">
        <v>6185.8500979999999</v>
      </c>
      <c r="M22" s="173">
        <f t="shared" si="1"/>
        <v>3.610376363670742E-2</v>
      </c>
    </row>
    <row r="23" spans="1:13" ht="14.4" x14ac:dyDescent="0.3">
      <c r="B23" s="177"/>
      <c r="C23" s="178"/>
      <c r="D23" s="51"/>
      <c r="E23" s="52"/>
      <c r="I23" s="237">
        <v>43717</v>
      </c>
      <c r="J23" s="238">
        <v>37145.449219000002</v>
      </c>
      <c r="K23" s="173">
        <f t="shared" si="0"/>
        <v>4.4259560879800208E-3</v>
      </c>
      <c r="L23" s="238">
        <v>6333.5</v>
      </c>
      <c r="M23" s="173">
        <f t="shared" si="1"/>
        <v>2.3868975106224877E-2</v>
      </c>
    </row>
    <row r="24" spans="1:13" ht="14.4" x14ac:dyDescent="0.3">
      <c r="D24" s="51"/>
      <c r="E24" s="52"/>
      <c r="I24" s="237">
        <v>43719</v>
      </c>
      <c r="J24" s="238">
        <v>37270.820312999997</v>
      </c>
      <c r="K24" s="173">
        <f t="shared" si="0"/>
        <v>3.3751400679216115E-3</v>
      </c>
      <c r="L24" s="238">
        <v>6598.3500979999999</v>
      </c>
      <c r="M24" s="173">
        <f t="shared" si="1"/>
        <v>4.1817336070103295E-2</v>
      </c>
    </row>
    <row r="25" spans="1:13" ht="14.4" x14ac:dyDescent="0.3">
      <c r="D25" s="51"/>
      <c r="E25" s="52"/>
      <c r="I25" s="237">
        <v>43720</v>
      </c>
      <c r="J25" s="238">
        <v>37104.28125</v>
      </c>
      <c r="K25" s="173">
        <f t="shared" si="0"/>
        <v>-4.4683498136451894E-3</v>
      </c>
      <c r="L25" s="238">
        <v>6391.7998049999997</v>
      </c>
      <c r="M25" s="173">
        <f t="shared" si="1"/>
        <v>-3.1303324305663405E-2</v>
      </c>
    </row>
    <row r="26" spans="1:13" ht="14.4" x14ac:dyDescent="0.3">
      <c r="D26" s="51"/>
      <c r="E26" s="52"/>
      <c r="I26" s="237">
        <v>43721</v>
      </c>
      <c r="J26" s="238">
        <v>37384.988280999998</v>
      </c>
      <c r="K26" s="173">
        <f t="shared" si="0"/>
        <v>7.5653542271485463E-3</v>
      </c>
      <c r="L26" s="238">
        <v>6449.7998049999997</v>
      </c>
      <c r="M26" s="173">
        <f t="shared" si="1"/>
        <v>9.0741265010567673E-3</v>
      </c>
    </row>
    <row r="27" spans="1:13" ht="14.4" x14ac:dyDescent="0.3">
      <c r="D27" s="51"/>
      <c r="E27" s="52"/>
      <c r="I27" s="237">
        <v>43724</v>
      </c>
      <c r="J27" s="238">
        <v>37123.308594000002</v>
      </c>
      <c r="K27" s="173">
        <f t="shared" si="0"/>
        <v>-6.9995925913660662E-3</v>
      </c>
      <c r="L27" s="238">
        <v>6412.2998049999997</v>
      </c>
      <c r="M27" s="173">
        <f t="shared" si="1"/>
        <v>-5.8141339473714027E-3</v>
      </c>
    </row>
    <row r="28" spans="1:13" ht="14.4" x14ac:dyDescent="0.3">
      <c r="I28" s="237">
        <v>43725</v>
      </c>
      <c r="J28" s="238">
        <v>36481.089844000002</v>
      </c>
      <c r="K28" s="173">
        <f t="shared" si="0"/>
        <v>-1.7299609714846342E-2</v>
      </c>
      <c r="L28" s="238">
        <v>6130.6499020000001</v>
      </c>
      <c r="M28" s="173">
        <f t="shared" si="1"/>
        <v>-4.3923383429511964E-2</v>
      </c>
    </row>
    <row r="29" spans="1:13" ht="14.4" x14ac:dyDescent="0.3">
      <c r="I29" s="237">
        <v>43726</v>
      </c>
      <c r="J29" s="238">
        <v>36563.878905999998</v>
      </c>
      <c r="K29" s="173">
        <f t="shared" si="0"/>
        <v>2.269369208924843E-3</v>
      </c>
      <c r="L29" s="238">
        <v>6093.5498049999997</v>
      </c>
      <c r="M29" s="173">
        <f t="shared" si="1"/>
        <v>-6.051576520116897E-3</v>
      </c>
    </row>
    <row r="30" spans="1:13" ht="14.4" x14ac:dyDescent="0.3">
      <c r="I30" s="237">
        <v>43727</v>
      </c>
      <c r="J30" s="238">
        <v>36093.46875</v>
      </c>
      <c r="K30" s="173">
        <f t="shared" si="0"/>
        <v>-1.2865433593885034E-2</v>
      </c>
      <c r="L30" s="238">
        <v>5938.2998049999997</v>
      </c>
      <c r="M30" s="173">
        <f t="shared" si="1"/>
        <v>-2.5477760085362955E-2</v>
      </c>
    </row>
    <row r="31" spans="1:13" ht="14.4" x14ac:dyDescent="0.3">
      <c r="I31" s="237">
        <v>43728</v>
      </c>
      <c r="J31" s="238">
        <v>38014.621094000002</v>
      </c>
      <c r="K31" s="173">
        <f t="shared" si="0"/>
        <v>5.322714636564263E-2</v>
      </c>
      <c r="L31" s="238">
        <v>6585.25</v>
      </c>
      <c r="M31" s="173">
        <f t="shared" si="1"/>
        <v>0.10894535746667322</v>
      </c>
    </row>
    <row r="32" spans="1:13" ht="14.4" x14ac:dyDescent="0.3">
      <c r="I32" s="237">
        <v>43731</v>
      </c>
      <c r="J32" s="238">
        <v>39090.03125</v>
      </c>
      <c r="K32" s="173">
        <f t="shared" si="0"/>
        <v>2.8289382481040626E-2</v>
      </c>
      <c r="L32" s="238">
        <v>6899.2001950000003</v>
      </c>
      <c r="M32" s="173">
        <f t="shared" si="1"/>
        <v>4.7674757222580855E-2</v>
      </c>
    </row>
    <row r="33" spans="9:13" ht="14.4" x14ac:dyDescent="0.3">
      <c r="I33" s="237">
        <v>43732</v>
      </c>
      <c r="J33" s="238">
        <v>39097.140625</v>
      </c>
      <c r="K33" s="173">
        <f t="shared" si="0"/>
        <v>1.8187181674345076E-4</v>
      </c>
      <c r="L33" s="238">
        <v>7009.6499020000001</v>
      </c>
      <c r="M33" s="173">
        <f t="shared" si="1"/>
        <v>1.6009059583463658E-2</v>
      </c>
    </row>
    <row r="34" spans="9:13" ht="14.4" x14ac:dyDescent="0.3">
      <c r="I34" s="237">
        <v>43733</v>
      </c>
      <c r="J34" s="238">
        <v>38593.519530999998</v>
      </c>
      <c r="K34" s="173">
        <f t="shared" si="0"/>
        <v>-1.2881276890053917E-2</v>
      </c>
      <c r="L34" s="238">
        <v>6641.5</v>
      </c>
      <c r="M34" s="173">
        <f t="shared" si="1"/>
        <v>-5.2520440699179494E-2</v>
      </c>
    </row>
    <row r="35" spans="9:13" ht="14.4" x14ac:dyDescent="0.3">
      <c r="I35" s="237">
        <v>43734</v>
      </c>
      <c r="J35" s="238">
        <v>38989.738280999998</v>
      </c>
      <c r="K35" s="173">
        <f t="shared" si="0"/>
        <v>1.0266458068996176E-2</v>
      </c>
      <c r="L35" s="238">
        <v>6860.1000979999999</v>
      </c>
      <c r="M35" s="173">
        <f t="shared" si="1"/>
        <v>3.2914266054355101E-2</v>
      </c>
    </row>
    <row r="36" spans="9:13" ht="14.4" x14ac:dyDescent="0.3">
      <c r="I36" s="237">
        <v>43735</v>
      </c>
      <c r="J36" s="238">
        <v>38822.570312999997</v>
      </c>
      <c r="K36" s="173">
        <f t="shared" si="0"/>
        <v>-4.2874862815240888E-3</v>
      </c>
      <c r="L36" s="238">
        <v>6773.1499020000001</v>
      </c>
      <c r="M36" s="173">
        <f t="shared" si="1"/>
        <v>-1.2674770740641161E-2</v>
      </c>
    </row>
    <row r="37" spans="9:13" ht="14.4" x14ac:dyDescent="0.3">
      <c r="I37" s="237">
        <v>43738</v>
      </c>
      <c r="J37" s="238">
        <v>38667.328125</v>
      </c>
      <c r="K37" s="173">
        <f t="shared" ref="K37:K54" si="2">J37/J36-1</f>
        <v>-3.9987612038148157E-3</v>
      </c>
      <c r="L37" s="238">
        <v>6717.2998049999997</v>
      </c>
      <c r="M37" s="173">
        <f t="shared" ref="M37:M100" si="3">L37/L36-1</f>
        <v>-8.2458084950266519E-3</v>
      </c>
    </row>
    <row r="38" spans="9:13" ht="14.4" x14ac:dyDescent="0.3">
      <c r="I38" s="237">
        <v>43739</v>
      </c>
      <c r="J38" s="238">
        <v>38305.410155999998</v>
      </c>
      <c r="K38" s="173">
        <f t="shared" si="2"/>
        <v>-9.3597873592410341E-3</v>
      </c>
      <c r="L38" s="238">
        <v>6783.75</v>
      </c>
      <c r="M38" s="173">
        <f t="shared" si="3"/>
        <v>9.8923967857647011E-3</v>
      </c>
    </row>
    <row r="39" spans="9:13" ht="14.4" x14ac:dyDescent="0.3">
      <c r="I39" s="237">
        <v>43741</v>
      </c>
      <c r="J39" s="238">
        <v>38106.871094000002</v>
      </c>
      <c r="K39" s="173">
        <f t="shared" si="2"/>
        <v>-5.1830553749833141E-3</v>
      </c>
      <c r="L39" s="238">
        <v>6752.25</v>
      </c>
      <c r="M39" s="173">
        <f t="shared" si="3"/>
        <v>-4.6434494195688458E-3</v>
      </c>
    </row>
    <row r="40" spans="9:13" ht="14.4" x14ac:dyDescent="0.3">
      <c r="I40" s="237">
        <v>43742</v>
      </c>
      <c r="J40" s="238">
        <v>37673.308594000002</v>
      </c>
      <c r="K40" s="173">
        <f t="shared" si="2"/>
        <v>-1.1377541308246197E-2</v>
      </c>
      <c r="L40" s="238">
        <v>6649.2001950000003</v>
      </c>
      <c r="M40" s="173">
        <f t="shared" si="3"/>
        <v>-1.5261550594246276E-2</v>
      </c>
    </row>
    <row r="41" spans="9:13" ht="14.4" x14ac:dyDescent="0.3">
      <c r="I41" s="237">
        <v>43745</v>
      </c>
      <c r="J41" s="238">
        <v>37531.980469000002</v>
      </c>
      <c r="K41" s="173">
        <f t="shared" si="2"/>
        <v>-3.7514126121247493E-3</v>
      </c>
      <c r="L41" s="238">
        <v>6631.0498049999997</v>
      </c>
      <c r="M41" s="173">
        <f t="shared" si="3"/>
        <v>-2.7297102610399637E-3</v>
      </c>
    </row>
    <row r="42" spans="9:13" ht="14.4" x14ac:dyDescent="0.3">
      <c r="I42" s="237">
        <v>43747</v>
      </c>
      <c r="J42" s="238">
        <v>38177.949219000002</v>
      </c>
      <c r="K42" s="173">
        <f t="shared" si="2"/>
        <v>1.7211155444715853E-2</v>
      </c>
      <c r="L42" s="238">
        <v>6721.1000979999999</v>
      </c>
      <c r="M42" s="173">
        <f t="shared" si="3"/>
        <v>1.3580096010151976E-2</v>
      </c>
    </row>
    <row r="43" spans="9:13" ht="14.4" x14ac:dyDescent="0.3">
      <c r="I43" s="237">
        <v>43748</v>
      </c>
      <c r="J43" s="238">
        <v>37880.398437999997</v>
      </c>
      <c r="K43" s="173">
        <f t="shared" si="2"/>
        <v>-7.7937863894460557E-3</v>
      </c>
      <c r="L43" s="238">
        <v>6610.1499020000001</v>
      </c>
      <c r="M43" s="173">
        <f t="shared" si="3"/>
        <v>-1.6507743432212174E-2</v>
      </c>
    </row>
    <row r="44" spans="9:13" ht="14.4" x14ac:dyDescent="0.3">
      <c r="I44" s="237">
        <v>43749</v>
      </c>
      <c r="J44" s="238">
        <v>38127.078125</v>
      </c>
      <c r="K44" s="173">
        <f t="shared" si="2"/>
        <v>6.5120668517717473E-3</v>
      </c>
      <c r="L44" s="238">
        <v>6700.1499020000001</v>
      </c>
      <c r="M44" s="173">
        <f t="shared" si="3"/>
        <v>1.3615424965290002E-2</v>
      </c>
    </row>
    <row r="45" spans="9:13" ht="14.4" x14ac:dyDescent="0.3">
      <c r="I45" s="237">
        <v>43752</v>
      </c>
      <c r="J45" s="238">
        <v>38214.46875</v>
      </c>
      <c r="K45" s="173">
        <f t="shared" si="2"/>
        <v>2.292088177160867E-3</v>
      </c>
      <c r="L45" s="238">
        <v>6819.5498049999997</v>
      </c>
      <c r="M45" s="173">
        <f t="shared" si="3"/>
        <v>1.7820482339411248E-2</v>
      </c>
    </row>
    <row r="46" spans="9:13" ht="14.4" x14ac:dyDescent="0.3">
      <c r="I46" s="237">
        <v>43753</v>
      </c>
      <c r="J46" s="238">
        <v>38506.089844000002</v>
      </c>
      <c r="K46" s="173">
        <f t="shared" si="2"/>
        <v>7.6311696469679724E-3</v>
      </c>
      <c r="L46" s="238">
        <v>6987.7001950000003</v>
      </c>
      <c r="M46" s="173">
        <f t="shared" si="3"/>
        <v>2.4657110045111175E-2</v>
      </c>
    </row>
    <row r="47" spans="9:13" ht="14.4" x14ac:dyDescent="0.3">
      <c r="I47" s="237">
        <v>43754</v>
      </c>
      <c r="J47" s="238">
        <v>38598.988280999998</v>
      </c>
      <c r="K47" s="173">
        <f t="shared" si="2"/>
        <v>2.412564801473227E-3</v>
      </c>
      <c r="L47" s="238">
        <v>6976.8500979999999</v>
      </c>
      <c r="M47" s="173">
        <f t="shared" si="3"/>
        <v>-1.5527422037603378E-3</v>
      </c>
    </row>
    <row r="48" spans="9:13" ht="14.4" x14ac:dyDescent="0.3">
      <c r="I48" s="237">
        <v>43755</v>
      </c>
      <c r="J48" s="238">
        <v>39052.058594000002</v>
      </c>
      <c r="K48" s="173">
        <f t="shared" si="2"/>
        <v>1.1737880529449685E-2</v>
      </c>
      <c r="L48" s="238">
        <v>7123.1000979999999</v>
      </c>
      <c r="M48" s="173">
        <f t="shared" si="3"/>
        <v>2.0962181779127675E-2</v>
      </c>
    </row>
    <row r="49" spans="9:13" ht="14.4" x14ac:dyDescent="0.3">
      <c r="I49" s="237">
        <v>43756</v>
      </c>
      <c r="J49" s="238">
        <v>39298.378905999998</v>
      </c>
      <c r="K49" s="173">
        <f t="shared" si="2"/>
        <v>6.3074859781615533E-3</v>
      </c>
      <c r="L49" s="238">
        <v>7318.1499020000001</v>
      </c>
      <c r="M49" s="173">
        <f t="shared" si="3"/>
        <v>2.7382712767825002E-2</v>
      </c>
    </row>
    <row r="50" spans="9:13" ht="14.4" x14ac:dyDescent="0.3">
      <c r="I50" s="237">
        <v>43760</v>
      </c>
      <c r="J50" s="238">
        <v>38963.839844000002</v>
      </c>
      <c r="K50" s="173">
        <f t="shared" si="2"/>
        <v>-8.5127954717979515E-3</v>
      </c>
      <c r="L50" s="238">
        <v>7254.2001950000003</v>
      </c>
      <c r="M50" s="173">
        <f t="shared" si="3"/>
        <v>-8.7385073900334564E-3</v>
      </c>
    </row>
    <row r="51" spans="9:13" ht="14.4" x14ac:dyDescent="0.3">
      <c r="I51" s="237">
        <v>43761</v>
      </c>
      <c r="J51" s="238">
        <v>39058.828125</v>
      </c>
      <c r="K51" s="173">
        <f t="shared" si="2"/>
        <v>2.4378572897409967E-3</v>
      </c>
      <c r="L51" s="238">
        <v>7439.5</v>
      </c>
      <c r="M51" s="173">
        <f t="shared" si="3"/>
        <v>2.5543795321187668E-2</v>
      </c>
    </row>
    <row r="52" spans="9:13" ht="14.4" x14ac:dyDescent="0.3">
      <c r="I52" s="237">
        <v>43762</v>
      </c>
      <c r="J52" s="238">
        <v>39020.390625</v>
      </c>
      <c r="K52" s="173">
        <f t="shared" si="2"/>
        <v>-9.8409250469544407E-4</v>
      </c>
      <c r="L52" s="238">
        <v>7390.3999020000001</v>
      </c>
      <c r="M52" s="173">
        <f t="shared" si="3"/>
        <v>-6.5999190805833274E-3</v>
      </c>
    </row>
    <row r="53" spans="9:13" ht="14.4" x14ac:dyDescent="0.3">
      <c r="I53" s="237">
        <v>43763</v>
      </c>
      <c r="J53" s="238">
        <v>39058.058594000002</v>
      </c>
      <c r="K53" s="173">
        <f t="shared" si="2"/>
        <v>9.6534064361386562E-4</v>
      </c>
      <c r="L53" s="238">
        <v>7469.1499020000001</v>
      </c>
      <c r="M53" s="173">
        <f t="shared" si="3"/>
        <v>1.0655715664140031E-2</v>
      </c>
    </row>
    <row r="54" spans="9:13" ht="14.4" x14ac:dyDescent="0.3">
      <c r="I54" s="237">
        <v>43767</v>
      </c>
      <c r="J54" s="238">
        <v>39831.839844000002</v>
      </c>
      <c r="K54" s="173">
        <f t="shared" si="2"/>
        <v>1.9811052516544247E-2</v>
      </c>
      <c r="L54" s="238">
        <v>7718.8999020000001</v>
      </c>
      <c r="M54" s="173">
        <f t="shared" si="3"/>
        <v>3.3437540185547121E-2</v>
      </c>
    </row>
    <row r="55" spans="9:13" ht="14.4" x14ac:dyDescent="0.3">
      <c r="I55" s="237">
        <v>43768</v>
      </c>
      <c r="J55" s="238">
        <v>40051.871094000002</v>
      </c>
      <c r="K55" s="173">
        <f t="shared" ref="K55:K66" si="4">J55/J54-1</f>
        <v>5.5240041851378763E-3</v>
      </c>
      <c r="L55" s="238">
        <v>7554.2001950000003</v>
      </c>
      <c r="M55" s="173">
        <f t="shared" si="3"/>
        <v>-2.1337199483222435E-2</v>
      </c>
    </row>
    <row r="56" spans="9:13" ht="14.4" x14ac:dyDescent="0.3">
      <c r="I56" s="237">
        <v>43769</v>
      </c>
      <c r="J56" s="238">
        <v>40129.050780999998</v>
      </c>
      <c r="K56" s="173">
        <f t="shared" si="4"/>
        <v>1.9269932937429068E-3</v>
      </c>
      <c r="L56" s="238">
        <v>7557.5</v>
      </c>
      <c r="M56" s="173">
        <f t="shared" si="3"/>
        <v>4.3681725593969212E-4</v>
      </c>
    </row>
    <row r="57" spans="9:13" ht="14.4" x14ac:dyDescent="0.3">
      <c r="I57" s="237">
        <v>43770</v>
      </c>
      <c r="J57" s="238">
        <v>40165.03125</v>
      </c>
      <c r="K57" s="173">
        <f t="shared" si="4"/>
        <v>8.966189904755506E-4</v>
      </c>
      <c r="L57" s="238">
        <v>7616.25</v>
      </c>
      <c r="M57" s="173">
        <f t="shared" si="3"/>
        <v>7.7737347006285873E-3</v>
      </c>
    </row>
    <row r="58" spans="9:13" ht="14.4" x14ac:dyDescent="0.3">
      <c r="I58" s="237">
        <v>43773</v>
      </c>
      <c r="J58" s="238">
        <v>40301.960937999997</v>
      </c>
      <c r="K58" s="173">
        <f t="shared" si="4"/>
        <v>3.4091766827641923E-3</v>
      </c>
      <c r="L58" s="238">
        <v>7423.0498049999997</v>
      </c>
      <c r="M58" s="173">
        <f t="shared" si="3"/>
        <v>-2.5366839980305311E-2</v>
      </c>
    </row>
    <row r="59" spans="9:13" ht="14.4" x14ac:dyDescent="0.3">
      <c r="I59" s="237">
        <v>43774</v>
      </c>
      <c r="J59" s="238">
        <v>40248.230469000002</v>
      </c>
      <c r="K59" s="173">
        <f t="shared" si="4"/>
        <v>-1.3331973866644864E-3</v>
      </c>
      <c r="L59" s="238">
        <v>7385.2998049999997</v>
      </c>
      <c r="M59" s="173">
        <f t="shared" si="3"/>
        <v>-5.0855108064306043E-3</v>
      </c>
    </row>
    <row r="60" spans="9:13" ht="14.4" x14ac:dyDescent="0.3">
      <c r="I60" s="237">
        <v>43775</v>
      </c>
      <c r="J60" s="238">
        <v>40469.78125</v>
      </c>
      <c r="K60" s="173">
        <f t="shared" si="4"/>
        <v>5.5046092317185824E-3</v>
      </c>
      <c r="L60" s="238">
        <v>7311.5498049999997</v>
      </c>
      <c r="M60" s="173">
        <f t="shared" si="3"/>
        <v>-9.9860536399714039E-3</v>
      </c>
    </row>
    <row r="61" spans="9:13" ht="14.4" x14ac:dyDescent="0.3">
      <c r="I61" s="237">
        <v>43776</v>
      </c>
      <c r="J61" s="238">
        <v>40653.738280999998</v>
      </c>
      <c r="K61" s="173">
        <f t="shared" si="4"/>
        <v>4.5455405321717102E-3</v>
      </c>
      <c r="L61" s="238">
        <v>7286.5</v>
      </c>
      <c r="M61" s="173">
        <f t="shared" si="3"/>
        <v>-3.4260595452512144E-3</v>
      </c>
    </row>
    <row r="62" spans="9:13" ht="14.4" x14ac:dyDescent="0.3">
      <c r="I62" s="237">
        <v>43777</v>
      </c>
      <c r="J62" s="238">
        <v>40323.609375</v>
      </c>
      <c r="K62" s="173">
        <f t="shared" si="4"/>
        <v>-8.1205055170605611E-3</v>
      </c>
      <c r="L62" s="238">
        <v>7201</v>
      </c>
      <c r="M62" s="173">
        <f t="shared" si="3"/>
        <v>-1.1734028683181186E-2</v>
      </c>
    </row>
    <row r="63" spans="9:13" ht="14.4" x14ac:dyDescent="0.3">
      <c r="I63" s="237">
        <v>43780</v>
      </c>
      <c r="J63" s="238">
        <v>40345.078125</v>
      </c>
      <c r="K63" s="173">
        <f t="shared" si="4"/>
        <v>5.324114168536731E-4</v>
      </c>
      <c r="L63" s="238">
        <v>7133.25</v>
      </c>
      <c r="M63" s="173">
        <f t="shared" si="3"/>
        <v>-9.4084154978475443E-3</v>
      </c>
    </row>
    <row r="64" spans="9:13" ht="14.4" x14ac:dyDescent="0.3">
      <c r="I64" s="237">
        <v>43782</v>
      </c>
      <c r="J64" s="238">
        <v>40116.058594000002</v>
      </c>
      <c r="K64" s="173">
        <f t="shared" si="4"/>
        <v>-5.6765172269696018E-3</v>
      </c>
      <c r="L64" s="238">
        <v>7155.7001950000003</v>
      </c>
      <c r="M64" s="173">
        <f t="shared" si="3"/>
        <v>3.1472603651911957E-3</v>
      </c>
    </row>
    <row r="65" spans="9:13" ht="14.4" x14ac:dyDescent="0.3">
      <c r="I65" s="237">
        <v>43783</v>
      </c>
      <c r="J65" s="238">
        <v>40286.480469000002</v>
      </c>
      <c r="K65" s="173">
        <f t="shared" si="4"/>
        <v>4.2482208116398912E-3</v>
      </c>
      <c r="L65" s="238">
        <v>7247.1000979999999</v>
      </c>
      <c r="M65" s="173">
        <f t="shared" si="3"/>
        <v>1.2773020181011008E-2</v>
      </c>
    </row>
    <row r="66" spans="9:13" ht="14.4" x14ac:dyDescent="0.3">
      <c r="I66" s="237">
        <v>43784</v>
      </c>
      <c r="J66" s="238">
        <v>40356.691405999998</v>
      </c>
      <c r="K66" s="173">
        <f t="shared" si="4"/>
        <v>1.7427915316161613E-3</v>
      </c>
      <c r="L66" s="238">
        <v>7147</v>
      </c>
      <c r="M66" s="173">
        <f t="shared" si="3"/>
        <v>-1.3812434856201983E-2</v>
      </c>
    </row>
    <row r="67" spans="9:13" ht="14.4" x14ac:dyDescent="0.3">
      <c r="I67" s="237">
        <v>43787</v>
      </c>
      <c r="J67" s="238">
        <v>40284.191405999998</v>
      </c>
      <c r="K67" s="173">
        <f t="shared" ref="K67:K98" si="5">J67/J66-1</f>
        <v>-1.7964802731380569E-3</v>
      </c>
      <c r="L67" s="238">
        <v>7099.6000979999999</v>
      </c>
      <c r="M67" s="173">
        <f t="shared" si="3"/>
        <v>-6.6321396390094378E-3</v>
      </c>
    </row>
    <row r="68" spans="9:13" ht="14.4" x14ac:dyDescent="0.3">
      <c r="I68" s="237">
        <v>43788</v>
      </c>
      <c r="J68" s="238">
        <v>40469.699219000002</v>
      </c>
      <c r="K68" s="173">
        <f t="shared" si="5"/>
        <v>4.6049779460728413E-3</v>
      </c>
      <c r="L68" s="238">
        <v>7044</v>
      </c>
      <c r="M68" s="173">
        <f t="shared" si="3"/>
        <v>-7.8314408181473505E-3</v>
      </c>
    </row>
    <row r="69" spans="9:13" ht="14.4" x14ac:dyDescent="0.3">
      <c r="I69" s="237">
        <v>43789</v>
      </c>
      <c r="J69" s="238">
        <v>40651.640625</v>
      </c>
      <c r="K69" s="173">
        <f t="shared" si="5"/>
        <v>4.4957439642787644E-3</v>
      </c>
      <c r="L69" s="238">
        <v>7144.1000979999999</v>
      </c>
      <c r="M69" s="173">
        <f t="shared" si="3"/>
        <v>1.4210689664962972E-2</v>
      </c>
    </row>
    <row r="70" spans="9:13" ht="14.4" x14ac:dyDescent="0.3">
      <c r="I70" s="237">
        <v>43790</v>
      </c>
      <c r="J70" s="238">
        <v>40575.171875</v>
      </c>
      <c r="K70" s="173">
        <f t="shared" si="5"/>
        <v>-1.8810741417647492E-3</v>
      </c>
      <c r="L70" s="238">
        <v>7019.25</v>
      </c>
      <c r="M70" s="173">
        <f t="shared" si="3"/>
        <v>-1.7475972660986661E-2</v>
      </c>
    </row>
    <row r="71" spans="9:13" ht="14.4" x14ac:dyDescent="0.3">
      <c r="I71" s="237">
        <v>43791</v>
      </c>
      <c r="J71" s="238">
        <v>40359.410155999998</v>
      </c>
      <c r="K71" s="173">
        <f t="shared" si="5"/>
        <v>-5.3175799147493485E-3</v>
      </c>
      <c r="L71" s="238">
        <v>7057.6000979999999</v>
      </c>
      <c r="M71" s="173">
        <f t="shared" si="3"/>
        <v>5.4635606368200751E-3</v>
      </c>
    </row>
    <row r="72" spans="9:13" ht="14.4" x14ac:dyDescent="0.3">
      <c r="I72" s="237">
        <v>43794</v>
      </c>
      <c r="J72" s="238">
        <v>40889.230469000002</v>
      </c>
      <c r="K72" s="173">
        <f t="shared" si="5"/>
        <v>1.3127553424395977E-2</v>
      </c>
      <c r="L72" s="238">
        <v>7237.3999020000001</v>
      </c>
      <c r="M72" s="173">
        <f t="shared" si="3"/>
        <v>2.547605439573597E-2</v>
      </c>
    </row>
    <row r="73" spans="9:13" ht="14.4" x14ac:dyDescent="0.3">
      <c r="I73" s="237">
        <v>43795</v>
      </c>
      <c r="J73" s="238">
        <v>40821.300780999998</v>
      </c>
      <c r="K73" s="173">
        <f t="shared" si="5"/>
        <v>-1.6613100129507785E-3</v>
      </c>
      <c r="L73" s="238">
        <v>7127.3500979999999</v>
      </c>
      <c r="M73" s="173">
        <f t="shared" si="3"/>
        <v>-1.5205709991179095E-2</v>
      </c>
    </row>
    <row r="74" spans="9:13" ht="14.4" x14ac:dyDescent="0.3">
      <c r="I74" s="237">
        <v>43796</v>
      </c>
      <c r="J74" s="238">
        <v>41020.609375</v>
      </c>
      <c r="K74" s="173">
        <f t="shared" si="5"/>
        <v>4.8824655311514586E-3</v>
      </c>
      <c r="L74" s="238">
        <v>7296.7001950000003</v>
      </c>
      <c r="M74" s="173">
        <f t="shared" si="3"/>
        <v>2.3760597511201409E-2</v>
      </c>
    </row>
    <row r="75" spans="9:13" ht="14.4" x14ac:dyDescent="0.3">
      <c r="I75" s="237">
        <v>43797</v>
      </c>
      <c r="J75" s="238">
        <v>41130.171875</v>
      </c>
      <c r="K75" s="173">
        <f t="shared" si="5"/>
        <v>2.6709135156528507E-3</v>
      </c>
      <c r="L75" s="238">
        <v>7258.2998049999997</v>
      </c>
      <c r="M75" s="173">
        <f t="shared" si="3"/>
        <v>-5.2627062882909525E-3</v>
      </c>
    </row>
    <row r="76" spans="9:13" ht="14.4" x14ac:dyDescent="0.3">
      <c r="I76" s="237">
        <v>43798</v>
      </c>
      <c r="J76" s="238">
        <v>40793.808594000002</v>
      </c>
      <c r="K76" s="173">
        <f t="shared" si="5"/>
        <v>-8.1780178799701897E-3</v>
      </c>
      <c r="L76" s="238">
        <v>7249.5498049999997</v>
      </c>
      <c r="M76" s="173">
        <f t="shared" si="3"/>
        <v>-1.2055164756314962E-3</v>
      </c>
    </row>
    <row r="77" spans="9:13" ht="14.4" x14ac:dyDescent="0.3">
      <c r="I77" s="237">
        <v>43801</v>
      </c>
      <c r="J77" s="238">
        <v>40802.171875</v>
      </c>
      <c r="K77" s="173">
        <f t="shared" si="5"/>
        <v>2.0501348827783872E-4</v>
      </c>
      <c r="L77" s="238">
        <v>7137.4501950000003</v>
      </c>
      <c r="M77" s="173">
        <f t="shared" si="3"/>
        <v>-1.5462975359198827E-2</v>
      </c>
    </row>
    <row r="78" spans="9:13" ht="14.4" x14ac:dyDescent="0.3">
      <c r="I78" s="237">
        <v>43802</v>
      </c>
      <c r="J78" s="238">
        <v>40675.449219000002</v>
      </c>
      <c r="K78" s="173">
        <f t="shared" si="5"/>
        <v>-3.1057821232708394E-3</v>
      </c>
      <c r="L78" s="238">
        <v>7141.8999020000001</v>
      </c>
      <c r="M78" s="173">
        <f t="shared" si="3"/>
        <v>6.2343090017180636E-4</v>
      </c>
    </row>
    <row r="79" spans="9:13" ht="14.4" x14ac:dyDescent="0.3">
      <c r="I79" s="237">
        <v>43803</v>
      </c>
      <c r="J79" s="238">
        <v>40850.289062999997</v>
      </c>
      <c r="K79" s="173">
        <f t="shared" si="5"/>
        <v>4.2984121222273686E-3</v>
      </c>
      <c r="L79" s="238">
        <v>7075.5498049999997</v>
      </c>
      <c r="M79" s="173">
        <f t="shared" si="3"/>
        <v>-9.2902586021150757E-3</v>
      </c>
    </row>
    <row r="80" spans="9:13" ht="14.4" x14ac:dyDescent="0.3">
      <c r="I80" s="237">
        <v>43804</v>
      </c>
      <c r="J80" s="238">
        <v>40779.589844000002</v>
      </c>
      <c r="K80" s="173">
        <f t="shared" si="5"/>
        <v>-1.7306907887716383E-3</v>
      </c>
      <c r="L80" s="238">
        <v>7005.6000979999999</v>
      </c>
      <c r="M80" s="173">
        <f t="shared" si="3"/>
        <v>-9.886116122109545E-3</v>
      </c>
    </row>
    <row r="81" spans="9:13" ht="14.4" x14ac:dyDescent="0.3">
      <c r="I81" s="237">
        <v>43805</v>
      </c>
      <c r="J81" s="238">
        <v>40445.148437999997</v>
      </c>
      <c r="K81" s="173">
        <f t="shared" si="5"/>
        <v>-8.2011959237302534E-3</v>
      </c>
      <c r="L81" s="238">
        <v>6881.3500979999999</v>
      </c>
      <c r="M81" s="173">
        <f t="shared" si="3"/>
        <v>-1.7735811102816412E-2</v>
      </c>
    </row>
    <row r="82" spans="9:13" ht="14.4" x14ac:dyDescent="0.3">
      <c r="I82" s="237">
        <v>43808</v>
      </c>
      <c r="J82" s="238">
        <v>40487.429687999997</v>
      </c>
      <c r="K82" s="173">
        <f t="shared" si="5"/>
        <v>1.0453973253383708E-3</v>
      </c>
      <c r="L82" s="238">
        <v>6997.25</v>
      </c>
      <c r="M82" s="173">
        <f t="shared" si="3"/>
        <v>1.6842610875689168E-2</v>
      </c>
    </row>
    <row r="83" spans="9:13" ht="14.4" x14ac:dyDescent="0.3">
      <c r="I83" s="237">
        <v>43809</v>
      </c>
      <c r="J83" s="238">
        <v>40239.878905999998</v>
      </c>
      <c r="K83" s="173">
        <f t="shared" si="5"/>
        <v>-6.114262720741892E-3</v>
      </c>
      <c r="L83" s="238">
        <v>6966</v>
      </c>
      <c r="M83" s="173">
        <f t="shared" si="3"/>
        <v>-4.4660402300903401E-3</v>
      </c>
    </row>
    <row r="84" spans="9:13" ht="14.4" x14ac:dyDescent="0.3">
      <c r="I84" s="237">
        <v>43810</v>
      </c>
      <c r="J84" s="238">
        <v>40412.570312999997</v>
      </c>
      <c r="K84" s="173">
        <f t="shared" si="5"/>
        <v>4.2915488737778063E-3</v>
      </c>
      <c r="L84" s="238">
        <v>6991.5498049999997</v>
      </c>
      <c r="M84" s="173">
        <f t="shared" si="3"/>
        <v>3.6677871088142133E-3</v>
      </c>
    </row>
    <row r="85" spans="9:13" ht="14.4" x14ac:dyDescent="0.3">
      <c r="I85" s="237">
        <v>43811</v>
      </c>
      <c r="J85" s="238">
        <v>40581.710937999997</v>
      </c>
      <c r="K85" s="173">
        <f t="shared" si="5"/>
        <v>4.1853468782111491E-3</v>
      </c>
      <c r="L85" s="238">
        <v>6997.75</v>
      </c>
      <c r="M85" s="173">
        <f t="shared" si="3"/>
        <v>8.8681267715018386E-4</v>
      </c>
    </row>
    <row r="86" spans="9:13" ht="14.4" x14ac:dyDescent="0.3">
      <c r="I86" s="237">
        <v>43812</v>
      </c>
      <c r="J86" s="238">
        <v>41009.710937999997</v>
      </c>
      <c r="K86" s="173">
        <f t="shared" si="5"/>
        <v>1.054662285318364E-2</v>
      </c>
      <c r="L86" s="238">
        <v>7221.3500979999999</v>
      </c>
      <c r="M86" s="173">
        <f t="shared" si="3"/>
        <v>3.1953141795577178E-2</v>
      </c>
    </row>
    <row r="87" spans="9:13" ht="14.4" x14ac:dyDescent="0.3">
      <c r="I87" s="237">
        <v>43815</v>
      </c>
      <c r="J87" s="238">
        <v>40938.71875</v>
      </c>
      <c r="K87" s="173">
        <f t="shared" si="5"/>
        <v>-1.7311067641351263E-3</v>
      </c>
      <c r="L87" s="238">
        <v>7135.0498049999997</v>
      </c>
      <c r="M87" s="173">
        <f t="shared" si="3"/>
        <v>-1.1950714454891376E-2</v>
      </c>
    </row>
    <row r="88" spans="9:13" ht="14.4" x14ac:dyDescent="0.3">
      <c r="I88" s="237">
        <v>43816</v>
      </c>
      <c r="J88" s="238">
        <v>41352.171875</v>
      </c>
      <c r="K88" s="173">
        <f t="shared" si="5"/>
        <v>1.0099317653901929E-2</v>
      </c>
      <c r="L88" s="238">
        <v>7196.8500979999999</v>
      </c>
      <c r="M88" s="173">
        <f t="shared" si="3"/>
        <v>8.661508285014774E-3</v>
      </c>
    </row>
    <row r="89" spans="9:13" ht="14.4" x14ac:dyDescent="0.3">
      <c r="I89" s="237">
        <v>43817</v>
      </c>
      <c r="J89" s="238">
        <v>41558.570312999997</v>
      </c>
      <c r="K89" s="173">
        <f t="shared" si="5"/>
        <v>4.9912357354264802E-3</v>
      </c>
      <c r="L89" s="238">
        <v>7241.5498049999997</v>
      </c>
      <c r="M89" s="173">
        <f t="shared" si="3"/>
        <v>6.2110098711687378E-3</v>
      </c>
    </row>
    <row r="90" spans="9:13" ht="14.4" x14ac:dyDescent="0.3">
      <c r="I90" s="237">
        <v>43818</v>
      </c>
      <c r="J90" s="238">
        <v>41673.921875</v>
      </c>
      <c r="K90" s="173">
        <f t="shared" si="5"/>
        <v>2.7756383612629332E-3</v>
      </c>
      <c r="L90" s="238">
        <v>7239.3500979999999</v>
      </c>
      <c r="M90" s="173">
        <f t="shared" si="3"/>
        <v>-3.0376190998249175E-4</v>
      </c>
    </row>
    <row r="91" spans="9:13" ht="14.4" x14ac:dyDescent="0.3">
      <c r="I91" s="237">
        <v>43819</v>
      </c>
      <c r="J91" s="238">
        <v>41681.539062999997</v>
      </c>
      <c r="K91" s="173">
        <f t="shared" si="5"/>
        <v>1.8278068531318858E-4</v>
      </c>
      <c r="L91" s="238">
        <v>7258.75</v>
      </c>
      <c r="M91" s="173">
        <f t="shared" si="3"/>
        <v>2.6797850272994861E-3</v>
      </c>
    </row>
    <row r="92" spans="9:13" ht="14.4" x14ac:dyDescent="0.3">
      <c r="I92" s="237">
        <v>43822</v>
      </c>
      <c r="J92" s="238">
        <v>41642.660155999998</v>
      </c>
      <c r="K92" s="173">
        <f t="shared" si="5"/>
        <v>-9.3276083066973214E-4</v>
      </c>
      <c r="L92" s="238">
        <v>7361.8999020000001</v>
      </c>
      <c r="M92" s="173">
        <f t="shared" si="3"/>
        <v>1.4210422180127358E-2</v>
      </c>
    </row>
    <row r="93" spans="9:13" ht="14.4" x14ac:dyDescent="0.3">
      <c r="I93" s="237">
        <v>43823</v>
      </c>
      <c r="J93" s="238">
        <v>41461.261719000002</v>
      </c>
      <c r="K93" s="173">
        <f t="shared" si="5"/>
        <v>-4.3560722662877582E-3</v>
      </c>
      <c r="L93" s="238">
        <v>7327.3999020000001</v>
      </c>
      <c r="M93" s="173">
        <f t="shared" si="3"/>
        <v>-4.6862902863739064E-3</v>
      </c>
    </row>
    <row r="94" spans="9:13" ht="14.4" x14ac:dyDescent="0.3">
      <c r="I94" s="237">
        <v>43825</v>
      </c>
      <c r="J94" s="238">
        <v>41163.761719000002</v>
      </c>
      <c r="K94" s="173">
        <f t="shared" si="5"/>
        <v>-7.175372568646865E-3</v>
      </c>
      <c r="L94" s="238">
        <v>7240.75</v>
      </c>
      <c r="M94" s="173">
        <f t="shared" si="3"/>
        <v>-1.1825463760528399E-2</v>
      </c>
    </row>
    <row r="95" spans="9:13" ht="14.4" x14ac:dyDescent="0.3">
      <c r="I95" s="237">
        <v>43826</v>
      </c>
      <c r="J95" s="238">
        <v>41575.140625</v>
      </c>
      <c r="K95" s="173">
        <f t="shared" si="5"/>
        <v>9.9937150741526981E-3</v>
      </c>
      <c r="L95" s="238">
        <v>7349.8500979999999</v>
      </c>
      <c r="M95" s="173">
        <f t="shared" si="3"/>
        <v>1.5067513448192571E-2</v>
      </c>
    </row>
    <row r="96" spans="9:13" ht="14.4" x14ac:dyDescent="0.3">
      <c r="I96" s="237">
        <v>43829</v>
      </c>
      <c r="J96" s="238">
        <v>41558</v>
      </c>
      <c r="K96" s="173">
        <f t="shared" si="5"/>
        <v>-4.1228062592990611E-4</v>
      </c>
      <c r="L96" s="238">
        <v>7414.8999020000001</v>
      </c>
      <c r="M96" s="173">
        <f t="shared" si="3"/>
        <v>8.8504939737072963E-3</v>
      </c>
    </row>
    <row r="97" spans="9:13" ht="14.4" x14ac:dyDescent="0.3">
      <c r="I97" s="237">
        <v>43830</v>
      </c>
      <c r="J97" s="238">
        <v>41253.738280999998</v>
      </c>
      <c r="K97" s="173">
        <f t="shared" si="5"/>
        <v>-7.3213754030512224E-3</v>
      </c>
      <c r="L97" s="238">
        <v>7367.2001950000003</v>
      </c>
      <c r="M97" s="173">
        <f t="shared" si="3"/>
        <v>-6.4329535975440333E-3</v>
      </c>
    </row>
    <row r="98" spans="9:13" ht="14.4" x14ac:dyDescent="0.3">
      <c r="I98" s="237">
        <v>43832</v>
      </c>
      <c r="J98" s="238">
        <v>41626.640625</v>
      </c>
      <c r="K98" s="173">
        <f t="shared" si="5"/>
        <v>9.0392376433858779E-3</v>
      </c>
      <c r="L98" s="238">
        <v>7331.7998049999997</v>
      </c>
      <c r="M98" s="173">
        <f t="shared" si="3"/>
        <v>-4.8051347951730827E-3</v>
      </c>
    </row>
    <row r="99" spans="9:13" ht="14.4" x14ac:dyDescent="0.3">
      <c r="I99" s="237">
        <v>43833</v>
      </c>
      <c r="J99" s="238">
        <v>41464.609375</v>
      </c>
      <c r="K99" s="173">
        <f t="shared" ref="K99:K129" si="6">J99/J98-1</f>
        <v>-3.8924892224593277E-3</v>
      </c>
      <c r="L99" s="238">
        <v>7256.1499020000001</v>
      </c>
      <c r="M99" s="173">
        <f t="shared" si="3"/>
        <v>-1.0318053549199346E-2</v>
      </c>
    </row>
    <row r="100" spans="9:13" ht="14.4" x14ac:dyDescent="0.3">
      <c r="I100" s="237">
        <v>43836</v>
      </c>
      <c r="J100" s="238">
        <v>40676.628905999998</v>
      </c>
      <c r="K100" s="173">
        <f t="shared" si="6"/>
        <v>-1.9003687261915814E-2</v>
      </c>
      <c r="L100" s="238">
        <v>7039.8999020000001</v>
      </c>
      <c r="M100" s="173">
        <f t="shared" si="3"/>
        <v>-2.9802306032899795E-2</v>
      </c>
    </row>
    <row r="101" spans="9:13" ht="14.4" x14ac:dyDescent="0.3">
      <c r="I101" s="237">
        <v>43837</v>
      </c>
      <c r="J101" s="238">
        <v>40869.46875</v>
      </c>
      <c r="K101" s="173">
        <f t="shared" si="6"/>
        <v>4.7408020080925706E-3</v>
      </c>
      <c r="L101" s="238">
        <v>7073.8500979999999</v>
      </c>
      <c r="M101" s="173">
        <f t="shared" ref="M101:M164" si="7">L101/L100-1</f>
        <v>4.8225395918419789E-3</v>
      </c>
    </row>
    <row r="102" spans="9:13" ht="14.4" x14ac:dyDescent="0.3">
      <c r="I102" s="237">
        <v>43838</v>
      </c>
      <c r="J102" s="238">
        <v>40817.738280999998</v>
      </c>
      <c r="K102" s="173">
        <f t="shared" si="6"/>
        <v>-1.265748505722919E-3</v>
      </c>
      <c r="L102" s="238">
        <v>7034.75</v>
      </c>
      <c r="M102" s="173">
        <f t="shared" si="7"/>
        <v>-5.5274139907283137E-3</v>
      </c>
    </row>
    <row r="103" spans="9:13" ht="14.4" x14ac:dyDescent="0.3">
      <c r="I103" s="237">
        <v>43839</v>
      </c>
      <c r="J103" s="238">
        <v>41452.351562999997</v>
      </c>
      <c r="K103" s="173">
        <f t="shared" si="6"/>
        <v>1.5547487654292702E-2</v>
      </c>
      <c r="L103" s="238">
        <v>7228.75</v>
      </c>
      <c r="M103" s="173">
        <f t="shared" si="7"/>
        <v>2.7577383702334757E-2</v>
      </c>
    </row>
    <row r="104" spans="9:13" ht="14.4" x14ac:dyDescent="0.3">
      <c r="I104" s="237">
        <v>43840</v>
      </c>
      <c r="J104" s="238">
        <v>41599.71875</v>
      </c>
      <c r="K104" s="173">
        <f t="shared" si="6"/>
        <v>3.555098358558384E-3</v>
      </c>
      <c r="L104" s="238">
        <v>7327.4501950000003</v>
      </c>
      <c r="M104" s="173">
        <f t="shared" si="7"/>
        <v>1.3653839875497287E-2</v>
      </c>
    </row>
    <row r="105" spans="9:13" ht="14.4" x14ac:dyDescent="0.3">
      <c r="I105" s="237">
        <v>43843</v>
      </c>
      <c r="J105" s="238">
        <v>41859.691405999998</v>
      </c>
      <c r="K105" s="173">
        <f t="shared" si="6"/>
        <v>6.2493849432574411E-3</v>
      </c>
      <c r="L105" s="238">
        <v>7353.1499020000001</v>
      </c>
      <c r="M105" s="173">
        <f t="shared" si="7"/>
        <v>3.5073192333039405E-3</v>
      </c>
    </row>
    <row r="106" spans="9:13" ht="14.4" x14ac:dyDescent="0.3">
      <c r="I106" s="237">
        <v>43844</v>
      </c>
      <c r="J106" s="238">
        <v>41952.628905999998</v>
      </c>
      <c r="K106" s="173">
        <f t="shared" si="6"/>
        <v>2.2202146475136519E-3</v>
      </c>
      <c r="L106" s="238">
        <v>7388.5498049999997</v>
      </c>
      <c r="M106" s="173">
        <f t="shared" si="7"/>
        <v>4.8142501474601751E-3</v>
      </c>
    </row>
    <row r="107" spans="9:13" ht="14.4" x14ac:dyDescent="0.3">
      <c r="I107" s="237">
        <v>43845</v>
      </c>
      <c r="J107" s="238">
        <v>41872.730469000002</v>
      </c>
      <c r="K107" s="173">
        <f t="shared" si="6"/>
        <v>-1.9044917823628493E-3</v>
      </c>
      <c r="L107" s="238">
        <v>7482.75</v>
      </c>
      <c r="M107" s="173">
        <f t="shared" si="7"/>
        <v>1.2749483658654137E-2</v>
      </c>
    </row>
    <row r="108" spans="9:13" ht="14.4" x14ac:dyDescent="0.3">
      <c r="I108" s="237">
        <v>43846</v>
      </c>
      <c r="J108" s="238">
        <v>41932.558594000002</v>
      </c>
      <c r="K108" s="173">
        <f t="shared" si="6"/>
        <v>1.4288087815121919E-3</v>
      </c>
      <c r="L108" s="238">
        <v>7464.8999020000001</v>
      </c>
      <c r="M108" s="173">
        <f t="shared" si="7"/>
        <v>-2.3854997160134284E-3</v>
      </c>
    </row>
    <row r="109" spans="9:13" ht="14.4" x14ac:dyDescent="0.3">
      <c r="I109" s="237">
        <v>43847</v>
      </c>
      <c r="J109" s="238">
        <v>41945.371094000002</v>
      </c>
      <c r="K109" s="173">
        <f t="shared" si="6"/>
        <v>3.0555016029554238E-4</v>
      </c>
      <c r="L109" s="238">
        <v>7524.5498049999997</v>
      </c>
      <c r="M109" s="173">
        <f t="shared" si="7"/>
        <v>7.9907170602540045E-3</v>
      </c>
    </row>
    <row r="110" spans="9:13" ht="14.4" x14ac:dyDescent="0.3">
      <c r="I110" s="237">
        <v>43850</v>
      </c>
      <c r="J110" s="238">
        <v>41528.910155999998</v>
      </c>
      <c r="K110" s="173">
        <f t="shared" si="6"/>
        <v>-9.9286506982310119E-3</v>
      </c>
      <c r="L110" s="238">
        <v>7446.4501950000003</v>
      </c>
      <c r="M110" s="173">
        <f t="shared" si="7"/>
        <v>-1.0379306672686606E-2</v>
      </c>
    </row>
    <row r="111" spans="9:13" ht="14.4" x14ac:dyDescent="0.3">
      <c r="I111" s="237">
        <v>43851</v>
      </c>
      <c r="J111" s="238">
        <v>41323.808594000002</v>
      </c>
      <c r="K111" s="173">
        <f t="shared" si="6"/>
        <v>-4.9387658195110262E-3</v>
      </c>
      <c r="L111" s="238">
        <v>7303.1000979999999</v>
      </c>
      <c r="M111" s="173">
        <f t="shared" si="7"/>
        <v>-1.925079645281913E-2</v>
      </c>
    </row>
    <row r="112" spans="9:13" ht="14.4" x14ac:dyDescent="0.3">
      <c r="I112" s="237">
        <v>43852</v>
      </c>
      <c r="J112" s="238">
        <v>41115.378905999998</v>
      </c>
      <c r="K112" s="173">
        <f t="shared" si="6"/>
        <v>-5.0438160249891562E-3</v>
      </c>
      <c r="L112" s="238">
        <v>7136.3500979999999</v>
      </c>
      <c r="M112" s="173">
        <f t="shared" si="7"/>
        <v>-2.2832769339374837E-2</v>
      </c>
    </row>
    <row r="113" spans="9:13" ht="14.4" x14ac:dyDescent="0.3">
      <c r="I113" s="237">
        <v>43853</v>
      </c>
      <c r="J113" s="238">
        <v>41386.398437999997</v>
      </c>
      <c r="K113" s="173">
        <f t="shared" si="6"/>
        <v>6.5916827039249615E-3</v>
      </c>
      <c r="L113" s="238">
        <v>7141.25</v>
      </c>
      <c r="M113" s="173">
        <f t="shared" si="7"/>
        <v>6.8661177390572092E-4</v>
      </c>
    </row>
    <row r="114" spans="9:13" ht="14.4" x14ac:dyDescent="0.3">
      <c r="I114" s="237">
        <v>43854</v>
      </c>
      <c r="J114" s="238">
        <v>41613.191405999998</v>
      </c>
      <c r="K114" s="173">
        <f t="shared" si="6"/>
        <v>5.479891378800561E-3</v>
      </c>
      <c r="L114" s="238">
        <v>7127</v>
      </c>
      <c r="M114" s="173">
        <f t="shared" si="7"/>
        <v>-1.9954489760195537E-3</v>
      </c>
    </row>
    <row r="115" spans="9:13" ht="14.4" x14ac:dyDescent="0.3">
      <c r="I115" s="237">
        <v>43857</v>
      </c>
      <c r="J115" s="238">
        <v>41155.121094000002</v>
      </c>
      <c r="K115" s="173">
        <f t="shared" si="6"/>
        <v>-1.1007814986618625E-2</v>
      </c>
      <c r="L115" s="238">
        <v>7143.75</v>
      </c>
      <c r="M115" s="173">
        <f t="shared" si="7"/>
        <v>2.3502174828118338E-3</v>
      </c>
    </row>
    <row r="116" spans="9:13" ht="14.4" x14ac:dyDescent="0.3">
      <c r="I116" s="237">
        <v>43858</v>
      </c>
      <c r="J116" s="238">
        <v>40966.859375</v>
      </c>
      <c r="K116" s="173">
        <f t="shared" si="6"/>
        <v>-4.5744421106186373E-3</v>
      </c>
      <c r="L116" s="238">
        <v>6996.9501950000003</v>
      </c>
      <c r="M116" s="173">
        <f t="shared" si="7"/>
        <v>-2.0549404024496898E-2</v>
      </c>
    </row>
    <row r="117" spans="9:13" ht="14.4" x14ac:dyDescent="0.3">
      <c r="I117" s="237">
        <v>43859</v>
      </c>
      <c r="J117" s="238">
        <v>41198.660155999998</v>
      </c>
      <c r="K117" s="173">
        <f t="shared" si="6"/>
        <v>5.658251194658348E-3</v>
      </c>
      <c r="L117" s="238">
        <v>7011.8999020000001</v>
      </c>
      <c r="M117" s="173">
        <f t="shared" si="7"/>
        <v>2.1366033176402066E-3</v>
      </c>
    </row>
    <row r="118" spans="9:13" ht="14.4" x14ac:dyDescent="0.3">
      <c r="I118" s="237">
        <v>43860</v>
      </c>
      <c r="J118" s="238">
        <v>40913.820312999997</v>
      </c>
      <c r="K118" s="173">
        <f t="shared" si="6"/>
        <v>-6.9138132628936422E-3</v>
      </c>
      <c r="L118" s="238">
        <v>7019.4501950000003</v>
      </c>
      <c r="M118" s="173">
        <f t="shared" si="7"/>
        <v>1.0767827700801647E-3</v>
      </c>
    </row>
    <row r="119" spans="9:13" ht="14.4" x14ac:dyDescent="0.3">
      <c r="I119" s="237">
        <v>43861</v>
      </c>
      <c r="J119" s="238">
        <v>40723.488280999998</v>
      </c>
      <c r="K119" s="173">
        <f t="shared" si="6"/>
        <v>-4.6520229727733398E-3</v>
      </c>
      <c r="L119" s="238">
        <v>6911.7001950000003</v>
      </c>
      <c r="M119" s="173">
        <f t="shared" si="7"/>
        <v>-1.5350205074002976E-2</v>
      </c>
    </row>
    <row r="120" spans="9:13" ht="14.4" x14ac:dyDescent="0.3">
      <c r="I120" s="237">
        <v>43864</v>
      </c>
      <c r="J120" s="238">
        <v>39872.308594000002</v>
      </c>
      <c r="K120" s="173">
        <f t="shared" si="6"/>
        <v>-2.0901443440372591E-2</v>
      </c>
      <c r="L120" s="238">
        <v>7009.3999020000001</v>
      </c>
      <c r="M120" s="173">
        <f t="shared" si="7"/>
        <v>1.41354086901333E-2</v>
      </c>
    </row>
    <row r="121" spans="9:13" ht="14.4" x14ac:dyDescent="0.3">
      <c r="I121" s="237">
        <v>43865</v>
      </c>
      <c r="J121" s="238">
        <v>40789.378905999998</v>
      </c>
      <c r="K121" s="173">
        <f t="shared" si="6"/>
        <v>2.3000180936049386E-2</v>
      </c>
      <c r="L121" s="238">
        <v>7200.1000979999999</v>
      </c>
      <c r="M121" s="173">
        <f t="shared" si="7"/>
        <v>2.7206351280597785E-2</v>
      </c>
    </row>
    <row r="122" spans="9:13" ht="14.4" x14ac:dyDescent="0.3">
      <c r="I122" s="237">
        <v>43866</v>
      </c>
      <c r="J122" s="238">
        <v>41142.660155999998</v>
      </c>
      <c r="K122" s="173">
        <f t="shared" si="6"/>
        <v>8.6611088345851517E-3</v>
      </c>
      <c r="L122" s="238">
        <v>7037.8500979999999</v>
      </c>
      <c r="M122" s="173">
        <f t="shared" si="7"/>
        <v>-2.2534408937601946E-2</v>
      </c>
    </row>
    <row r="123" spans="9:13" ht="14.4" x14ac:dyDescent="0.3">
      <c r="I123" s="237">
        <v>43867</v>
      </c>
      <c r="J123" s="238">
        <v>41306.03125</v>
      </c>
      <c r="K123" s="173">
        <f t="shared" si="6"/>
        <v>3.9708442132946331E-3</v>
      </c>
      <c r="L123" s="238">
        <v>7022.8999020000001</v>
      </c>
      <c r="M123" s="173">
        <f t="shared" si="7"/>
        <v>-2.1242560997780657E-3</v>
      </c>
    </row>
    <row r="124" spans="9:13" ht="14.4" x14ac:dyDescent="0.3">
      <c r="I124" s="237">
        <v>43868</v>
      </c>
      <c r="J124" s="238">
        <v>41141.851562999997</v>
      </c>
      <c r="K124" s="173">
        <f t="shared" si="6"/>
        <v>-3.9747146368607211E-3</v>
      </c>
      <c r="L124" s="238">
        <v>6968.8999020000001</v>
      </c>
      <c r="M124" s="173">
        <f t="shared" si="7"/>
        <v>-7.6891313778545411E-3</v>
      </c>
    </row>
    <row r="125" spans="9:13" ht="14.4" x14ac:dyDescent="0.3">
      <c r="I125" s="237">
        <v>43871</v>
      </c>
      <c r="J125" s="238">
        <v>40979.621094000002</v>
      </c>
      <c r="K125" s="173">
        <f t="shared" si="6"/>
        <v>-3.9431980534850863E-3</v>
      </c>
      <c r="L125" s="238">
        <v>6891.6000979999999</v>
      </c>
      <c r="M125" s="173">
        <f t="shared" si="7"/>
        <v>-1.1092109958103391E-2</v>
      </c>
    </row>
    <row r="126" spans="9:13" ht="14.4" x14ac:dyDescent="0.3">
      <c r="I126" s="237">
        <v>43872</v>
      </c>
      <c r="J126" s="238">
        <v>41216.140625</v>
      </c>
      <c r="K126" s="173">
        <f t="shared" si="6"/>
        <v>5.7716378210883601E-3</v>
      </c>
      <c r="L126" s="238">
        <v>7034.1000979999999</v>
      </c>
      <c r="M126" s="173">
        <f t="shared" si="7"/>
        <v>2.0677346040631983E-2</v>
      </c>
    </row>
    <row r="127" spans="9:13" ht="14.4" x14ac:dyDescent="0.3">
      <c r="I127" s="237">
        <v>43873</v>
      </c>
      <c r="J127" s="238">
        <v>41565.898437999997</v>
      </c>
      <c r="K127" s="173">
        <f t="shared" si="6"/>
        <v>8.4859428295875894E-3</v>
      </c>
      <c r="L127" s="238">
        <v>7042.6000979999999</v>
      </c>
      <c r="M127" s="173">
        <f t="shared" si="7"/>
        <v>1.2083990676243772E-3</v>
      </c>
    </row>
    <row r="128" spans="9:13" ht="14.4" x14ac:dyDescent="0.3">
      <c r="I128" s="237">
        <v>43874</v>
      </c>
      <c r="J128" s="238">
        <v>41459.789062999997</v>
      </c>
      <c r="K128" s="173">
        <f t="shared" si="6"/>
        <v>-2.5527987842792754E-3</v>
      </c>
      <c r="L128" s="238">
        <v>7000.8500979999999</v>
      </c>
      <c r="M128" s="173">
        <f t="shared" si="7"/>
        <v>-5.9282082496571187E-3</v>
      </c>
    </row>
    <row r="129" spans="9:13" ht="14.4" x14ac:dyDescent="0.3">
      <c r="I129" s="237">
        <v>43875</v>
      </c>
      <c r="J129" s="238">
        <v>41257.738280999998</v>
      </c>
      <c r="K129" s="173">
        <f t="shared" si="6"/>
        <v>-4.8734155808890511E-3</v>
      </c>
      <c r="L129" s="238">
        <v>6913.8500979999999</v>
      </c>
      <c r="M129" s="173">
        <f t="shared" si="7"/>
        <v>-1.2427062254176002E-2</v>
      </c>
    </row>
    <row r="130" spans="9:13" ht="14.4" x14ac:dyDescent="0.3">
      <c r="I130" s="237">
        <v>43878</v>
      </c>
      <c r="J130" s="238">
        <v>41055.691405999998</v>
      </c>
      <c r="K130" s="173">
        <f t="shared" ref="K130:K193" si="8">J130/J129-1</f>
        <v>-4.8971873742542638E-3</v>
      </c>
      <c r="L130" s="238">
        <v>6904.25</v>
      </c>
      <c r="M130" s="173">
        <f t="shared" si="7"/>
        <v>-1.3885314063689647E-3</v>
      </c>
    </row>
    <row r="131" spans="9:13" ht="14.4" x14ac:dyDescent="0.3">
      <c r="I131" s="237">
        <v>43879</v>
      </c>
      <c r="J131" s="238">
        <v>40894.378905999998</v>
      </c>
      <c r="K131" s="173">
        <f t="shared" si="8"/>
        <v>-3.9291141977072508E-3</v>
      </c>
      <c r="L131" s="238">
        <v>6772</v>
      </c>
      <c r="M131" s="173">
        <f t="shared" si="7"/>
        <v>-1.9154868378172818E-2</v>
      </c>
    </row>
    <row r="132" spans="9:13" ht="14.4" x14ac:dyDescent="0.3">
      <c r="I132" s="237">
        <v>43880</v>
      </c>
      <c r="J132" s="238">
        <v>41323</v>
      </c>
      <c r="K132" s="173">
        <f t="shared" si="8"/>
        <v>1.0481173830399371E-2</v>
      </c>
      <c r="L132" s="238">
        <v>6756.4501950000003</v>
      </c>
      <c r="M132" s="173">
        <f t="shared" si="7"/>
        <v>-2.296190933254505E-3</v>
      </c>
    </row>
    <row r="133" spans="9:13" ht="14.4" x14ac:dyDescent="0.3">
      <c r="I133" s="237">
        <v>43881</v>
      </c>
      <c r="J133" s="238">
        <v>41170.121094000002</v>
      </c>
      <c r="K133" s="173">
        <f t="shared" si="8"/>
        <v>-3.6996081117053325E-3</v>
      </c>
      <c r="L133" s="238">
        <v>6754.6499020000001</v>
      </c>
      <c r="M133" s="173">
        <f t="shared" si="7"/>
        <v>-2.6645545338765952E-4</v>
      </c>
    </row>
    <row r="134" spans="9:13" ht="14.4" x14ac:dyDescent="0.3">
      <c r="I134" s="237">
        <v>43885</v>
      </c>
      <c r="J134" s="238">
        <v>40363.230469000002</v>
      </c>
      <c r="K134" s="173">
        <f t="shared" si="8"/>
        <v>-1.9598937373968339E-2</v>
      </c>
      <c r="L134" s="238">
        <v>6468.2001950000003</v>
      </c>
      <c r="M134" s="173">
        <f t="shared" si="7"/>
        <v>-4.2407779996885386E-2</v>
      </c>
    </row>
    <row r="135" spans="9:13" ht="14.4" x14ac:dyDescent="0.3">
      <c r="I135" s="237">
        <v>43886</v>
      </c>
      <c r="J135" s="238">
        <v>40281.199219000002</v>
      </c>
      <c r="K135" s="173">
        <f t="shared" si="8"/>
        <v>-2.0323261802099868E-3</v>
      </c>
      <c r="L135" s="238">
        <v>6412.3999020000001</v>
      </c>
      <c r="M135" s="173">
        <f t="shared" si="7"/>
        <v>-8.6268654830959912E-3</v>
      </c>
    </row>
    <row r="136" spans="9:13" ht="14.4" x14ac:dyDescent="0.3">
      <c r="I136" s="237">
        <v>43887</v>
      </c>
      <c r="J136" s="238">
        <v>39888.960937999997</v>
      </c>
      <c r="K136" s="173">
        <f t="shared" si="8"/>
        <v>-9.7375025720434216E-3</v>
      </c>
      <c r="L136" s="238">
        <v>6237.6000979999999</v>
      </c>
      <c r="M136" s="173">
        <f t="shared" si="7"/>
        <v>-2.7259654212376971E-2</v>
      </c>
    </row>
    <row r="137" spans="9:13" ht="14.4" x14ac:dyDescent="0.3">
      <c r="I137" s="237">
        <v>43888</v>
      </c>
      <c r="J137" s="238">
        <v>39745.660155999998</v>
      </c>
      <c r="K137" s="173">
        <f t="shared" si="8"/>
        <v>-3.5924922241703516E-3</v>
      </c>
      <c r="L137" s="238">
        <v>6285.8999020000001</v>
      </c>
      <c r="M137" s="173">
        <f t="shared" si="7"/>
        <v>7.743331287859645E-3</v>
      </c>
    </row>
    <row r="138" spans="9:13" ht="14.4" x14ac:dyDescent="0.3">
      <c r="I138" s="237">
        <v>43889</v>
      </c>
      <c r="J138" s="238">
        <v>38297.289062999997</v>
      </c>
      <c r="K138" s="173">
        <f t="shared" si="8"/>
        <v>-3.6440987199991337E-2</v>
      </c>
      <c r="L138" s="238">
        <v>6284</v>
      </c>
      <c r="M138" s="173">
        <f t="shared" si="7"/>
        <v>-3.0224821101521027E-4</v>
      </c>
    </row>
    <row r="139" spans="9:13" ht="14.4" x14ac:dyDescent="0.3">
      <c r="I139" s="237">
        <v>43892</v>
      </c>
      <c r="J139" s="238">
        <v>38144.019530999998</v>
      </c>
      <c r="K139" s="173">
        <f t="shared" si="8"/>
        <v>-4.0020987320503743E-3</v>
      </c>
      <c r="L139" s="238">
        <v>6284.8500979999999</v>
      </c>
      <c r="M139" s="173">
        <f t="shared" si="7"/>
        <v>1.3527975811578052E-4</v>
      </c>
    </row>
    <row r="140" spans="9:13" ht="14.4" x14ac:dyDescent="0.3">
      <c r="I140" s="237">
        <v>43893</v>
      </c>
      <c r="J140" s="238">
        <v>38623.699219000002</v>
      </c>
      <c r="K140" s="173">
        <f t="shared" si="8"/>
        <v>1.2575488737105012E-2</v>
      </c>
      <c r="L140" s="238">
        <v>6388.6499020000001</v>
      </c>
      <c r="M140" s="173">
        <f t="shared" si="7"/>
        <v>1.6515875857251006E-2</v>
      </c>
    </row>
    <row r="141" spans="9:13" ht="14.4" x14ac:dyDescent="0.3">
      <c r="I141" s="237">
        <v>43894</v>
      </c>
      <c r="J141" s="238">
        <v>38409.480469000002</v>
      </c>
      <c r="K141" s="173">
        <f t="shared" si="8"/>
        <v>-5.5463032886974295E-3</v>
      </c>
      <c r="L141" s="238">
        <v>6384.3999020000001</v>
      </c>
      <c r="M141" s="173">
        <f t="shared" si="7"/>
        <v>-6.6524227578501627E-4</v>
      </c>
    </row>
    <row r="142" spans="9:13" ht="14.4" x14ac:dyDescent="0.3">
      <c r="I142" s="237">
        <v>43895</v>
      </c>
      <c r="J142" s="238">
        <v>38470.609375</v>
      </c>
      <c r="K142" s="173">
        <f t="shared" si="8"/>
        <v>1.5915056713493581E-3</v>
      </c>
      <c r="L142" s="238">
        <v>6364.4501950000003</v>
      </c>
      <c r="M142" s="173">
        <f t="shared" si="7"/>
        <v>-3.1247583651128341E-3</v>
      </c>
    </row>
    <row r="143" spans="9:13" ht="14.4" x14ac:dyDescent="0.3">
      <c r="I143" s="237">
        <v>43896</v>
      </c>
      <c r="J143" s="238">
        <v>37576.621094000002</v>
      </c>
      <c r="K143" s="173">
        <f t="shared" si="8"/>
        <v>-2.3238214718297456E-2</v>
      </c>
      <c r="L143" s="238">
        <v>6430.2998049999997</v>
      </c>
      <c r="M143" s="173">
        <f t="shared" si="7"/>
        <v>1.0346472669663154E-2</v>
      </c>
    </row>
    <row r="144" spans="9:13" ht="14.4" x14ac:dyDescent="0.3">
      <c r="I144" s="237">
        <v>43899</v>
      </c>
      <c r="J144" s="238">
        <v>35634.949219000002</v>
      </c>
      <c r="K144" s="173">
        <f t="shared" si="8"/>
        <v>-5.1672338237724991E-2</v>
      </c>
      <c r="L144" s="238">
        <v>6430.2998049999997</v>
      </c>
      <c r="M144" s="173">
        <f t="shared" si="7"/>
        <v>0</v>
      </c>
    </row>
    <row r="145" spans="9:13" ht="14.4" x14ac:dyDescent="0.3">
      <c r="I145" s="237">
        <v>43901</v>
      </c>
      <c r="J145" s="238">
        <v>35697.398437999997</v>
      </c>
      <c r="K145" s="173">
        <f t="shared" si="8"/>
        <v>1.7524711096459367E-3</v>
      </c>
      <c r="L145" s="238">
        <v>6141.3999020000001</v>
      </c>
      <c r="M145" s="173">
        <f t="shared" si="7"/>
        <v>-4.4927905659291389E-2</v>
      </c>
    </row>
    <row r="146" spans="9:13" ht="14.4" x14ac:dyDescent="0.3">
      <c r="I146" s="237">
        <v>43902</v>
      </c>
      <c r="J146" s="238">
        <v>32778.140625</v>
      </c>
      <c r="K146" s="173">
        <f t="shared" si="8"/>
        <v>-8.1777886925575971E-2</v>
      </c>
      <c r="L146" s="238">
        <v>5640.6499020000001</v>
      </c>
      <c r="M146" s="173">
        <f t="shared" si="7"/>
        <v>-8.1536784445013333E-2</v>
      </c>
    </row>
    <row r="147" spans="9:13" ht="14.4" x14ac:dyDescent="0.3">
      <c r="I147" s="237">
        <v>43903</v>
      </c>
      <c r="J147" s="238">
        <v>34103.480469000002</v>
      </c>
      <c r="K147" s="173">
        <f t="shared" si="8"/>
        <v>4.0433649338521782E-2</v>
      </c>
      <c r="L147" s="238">
        <v>5840.6499020000001</v>
      </c>
      <c r="M147" s="173">
        <f t="shared" si="7"/>
        <v>3.545690717821115E-2</v>
      </c>
    </row>
    <row r="148" spans="9:13" ht="14.4" x14ac:dyDescent="0.3">
      <c r="I148" s="237">
        <v>43906</v>
      </c>
      <c r="J148" s="238">
        <v>31390.070313</v>
      </c>
      <c r="K148" s="173">
        <f t="shared" si="8"/>
        <v>-7.9564024512585596E-2</v>
      </c>
      <c r="L148" s="238">
        <v>5487.75</v>
      </c>
      <c r="M148" s="173">
        <f t="shared" si="7"/>
        <v>-6.0421341446806665E-2</v>
      </c>
    </row>
    <row r="149" spans="9:13" ht="14.4" x14ac:dyDescent="0.3">
      <c r="I149" s="237">
        <v>43907</v>
      </c>
      <c r="J149" s="238">
        <v>30579.089843999998</v>
      </c>
      <c r="K149" s="173">
        <f t="shared" si="8"/>
        <v>-2.5835573508229404E-2</v>
      </c>
      <c r="L149" s="238">
        <v>5603.9501950000003</v>
      </c>
      <c r="M149" s="173">
        <f t="shared" si="7"/>
        <v>2.1174469500250703E-2</v>
      </c>
    </row>
    <row r="150" spans="9:13" ht="14.4" x14ac:dyDescent="0.3">
      <c r="I150" s="237">
        <v>43908</v>
      </c>
      <c r="J150" s="238">
        <v>28869.509765999999</v>
      </c>
      <c r="K150" s="173">
        <f t="shared" si="8"/>
        <v>-5.5906833287761803E-2</v>
      </c>
      <c r="L150" s="238">
        <v>5353.2998049999997</v>
      </c>
      <c r="M150" s="173">
        <f t="shared" si="7"/>
        <v>-4.472744783200211E-2</v>
      </c>
    </row>
    <row r="151" spans="9:13" ht="14.4" x14ac:dyDescent="0.3">
      <c r="I151" s="237">
        <v>43909</v>
      </c>
      <c r="J151" s="238">
        <v>28288.230468999998</v>
      </c>
      <c r="K151" s="173">
        <f t="shared" si="8"/>
        <v>-2.0134713118148628E-2</v>
      </c>
      <c r="L151" s="238">
        <v>4826.0498049999997</v>
      </c>
      <c r="M151" s="173">
        <f t="shared" si="7"/>
        <v>-9.8490654214349549E-2</v>
      </c>
    </row>
    <row r="152" spans="9:13" ht="14.4" x14ac:dyDescent="0.3">
      <c r="I152" s="237">
        <v>43910</v>
      </c>
      <c r="J152" s="238">
        <v>29915.960938</v>
      </c>
      <c r="K152" s="173">
        <f t="shared" si="8"/>
        <v>5.7540908074252606E-2</v>
      </c>
      <c r="L152" s="238">
        <v>5077.1000979999999</v>
      </c>
      <c r="M152" s="173">
        <f t="shared" si="7"/>
        <v>5.2019830533017064E-2</v>
      </c>
    </row>
    <row r="153" spans="9:13" ht="14.4" x14ac:dyDescent="0.3">
      <c r="I153" s="237">
        <v>43913</v>
      </c>
      <c r="J153" s="238">
        <v>25981.240234000001</v>
      </c>
      <c r="K153" s="173">
        <f t="shared" si="8"/>
        <v>-0.13152580029618965</v>
      </c>
      <c r="L153" s="238">
        <v>4212.8500979999999</v>
      </c>
      <c r="M153" s="173">
        <f t="shared" si="7"/>
        <v>-0.17022512523250233</v>
      </c>
    </row>
    <row r="154" spans="9:13" ht="14.4" x14ac:dyDescent="0.3">
      <c r="I154" s="237">
        <v>43914</v>
      </c>
      <c r="J154" s="238">
        <v>26674.029297000001</v>
      </c>
      <c r="K154" s="173">
        <f t="shared" si="8"/>
        <v>2.6664972755741978E-2</v>
      </c>
      <c r="L154" s="238">
        <v>4485.6000979999999</v>
      </c>
      <c r="M154" s="173">
        <f t="shared" si="7"/>
        <v>6.4742393784551044E-2</v>
      </c>
    </row>
    <row r="155" spans="9:13" ht="14.4" x14ac:dyDescent="0.3">
      <c r="I155" s="237">
        <v>43915</v>
      </c>
      <c r="J155" s="238">
        <v>28535.779297000001</v>
      </c>
      <c r="K155" s="173">
        <f t="shared" si="8"/>
        <v>6.9796354321669307E-2</v>
      </c>
      <c r="L155" s="238">
        <v>5034.2001950000003</v>
      </c>
      <c r="M155" s="173">
        <f t="shared" si="7"/>
        <v>0.12230249799677995</v>
      </c>
    </row>
    <row r="156" spans="9:13" ht="14.4" x14ac:dyDescent="0.3">
      <c r="I156" s="237">
        <v>43916</v>
      </c>
      <c r="J156" s="238">
        <v>29946.769531000002</v>
      </c>
      <c r="K156" s="173">
        <f t="shared" si="8"/>
        <v>4.944635362204175E-2</v>
      </c>
      <c r="L156" s="238">
        <v>4880.5</v>
      </c>
      <c r="M156" s="173">
        <f t="shared" si="7"/>
        <v>-3.0531204371382792E-2</v>
      </c>
    </row>
    <row r="157" spans="9:13" ht="14.4" x14ac:dyDescent="0.3">
      <c r="I157" s="237">
        <v>43917</v>
      </c>
      <c r="J157" s="238">
        <v>29815.589843999998</v>
      </c>
      <c r="K157" s="173">
        <f t="shared" si="8"/>
        <v>-4.380428642368539E-3</v>
      </c>
      <c r="L157" s="238">
        <v>4645.75</v>
      </c>
      <c r="M157" s="173">
        <f t="shared" si="7"/>
        <v>-4.8099579961069616E-2</v>
      </c>
    </row>
    <row r="158" spans="9:13" ht="14.4" x14ac:dyDescent="0.3">
      <c r="I158" s="237">
        <v>43920</v>
      </c>
      <c r="J158" s="238">
        <v>28440.320313</v>
      </c>
      <c r="K158" s="173">
        <f t="shared" si="8"/>
        <v>-4.6125853561698182E-2</v>
      </c>
      <c r="L158" s="238">
        <v>4341.2001950000003</v>
      </c>
      <c r="M158" s="173">
        <f t="shared" si="7"/>
        <v>-6.5554497121024569E-2</v>
      </c>
    </row>
    <row r="159" spans="9:13" ht="14.4" x14ac:dyDescent="0.3">
      <c r="I159" s="237">
        <v>43921</v>
      </c>
      <c r="J159" s="238">
        <v>29468.490234000001</v>
      </c>
      <c r="K159" s="173">
        <f t="shared" si="8"/>
        <v>3.6151840404203384E-2</v>
      </c>
      <c r="L159" s="238">
        <v>4287.75</v>
      </c>
      <c r="M159" s="173">
        <f t="shared" si="7"/>
        <v>-1.23123082555745E-2</v>
      </c>
    </row>
    <row r="160" spans="9:13" ht="14.4" x14ac:dyDescent="0.3">
      <c r="I160" s="237">
        <v>43922</v>
      </c>
      <c r="J160" s="238">
        <v>28265.310547000001</v>
      </c>
      <c r="K160" s="173">
        <f t="shared" si="8"/>
        <v>-4.0829363073775715E-2</v>
      </c>
      <c r="L160" s="238">
        <v>4243.6000979999999</v>
      </c>
      <c r="M160" s="173">
        <f t="shared" si="7"/>
        <v>-1.0296752842399837E-2</v>
      </c>
    </row>
    <row r="161" spans="9:13" ht="14.4" x14ac:dyDescent="0.3">
      <c r="I161" s="237">
        <v>43924</v>
      </c>
      <c r="J161" s="238">
        <v>27590.949218999998</v>
      </c>
      <c r="K161" s="173">
        <f t="shared" si="8"/>
        <v>-2.3858267075419715E-2</v>
      </c>
      <c r="L161" s="238">
        <v>4011.6499020000001</v>
      </c>
      <c r="M161" s="173">
        <f t="shared" si="7"/>
        <v>-5.4658825205823991E-2</v>
      </c>
    </row>
    <row r="162" spans="9:13" ht="14.4" x14ac:dyDescent="0.3">
      <c r="I162" s="237">
        <v>43928</v>
      </c>
      <c r="J162" s="238">
        <v>30067.210938</v>
      </c>
      <c r="K162" s="173">
        <f t="shared" si="8"/>
        <v>8.9749058625890665E-2</v>
      </c>
      <c r="L162" s="238">
        <v>4549.6000979999999</v>
      </c>
      <c r="M162" s="173">
        <f t="shared" si="7"/>
        <v>0.13409699478805615</v>
      </c>
    </row>
    <row r="163" spans="9:13" ht="14.4" x14ac:dyDescent="0.3">
      <c r="I163" s="237">
        <v>43929</v>
      </c>
      <c r="J163" s="238">
        <v>29893.960938</v>
      </c>
      <c r="K163" s="173">
        <f t="shared" si="8"/>
        <v>-5.7620908157144379E-3</v>
      </c>
      <c r="L163" s="238">
        <v>4697.25</v>
      </c>
      <c r="M163" s="173">
        <f t="shared" si="7"/>
        <v>3.2453380257510211E-2</v>
      </c>
    </row>
    <row r="164" spans="9:13" ht="14.4" x14ac:dyDescent="0.3">
      <c r="I164" s="237">
        <v>43930</v>
      </c>
      <c r="J164" s="238">
        <v>31159.619140999999</v>
      </c>
      <c r="K164" s="173">
        <f t="shared" si="8"/>
        <v>4.2338257068876617E-2</v>
      </c>
      <c r="L164" s="238">
        <v>5315.5498049999997</v>
      </c>
      <c r="M164" s="173">
        <f t="shared" si="7"/>
        <v>0.13163016765128521</v>
      </c>
    </row>
    <row r="165" spans="9:13" ht="14.4" x14ac:dyDescent="0.3">
      <c r="I165" s="237">
        <v>43934</v>
      </c>
      <c r="J165" s="238">
        <v>30690.019531000002</v>
      </c>
      <c r="K165" s="173">
        <f t="shared" si="8"/>
        <v>-1.5070775026967409E-2</v>
      </c>
      <c r="L165" s="238">
        <v>5283</v>
      </c>
      <c r="M165" s="173">
        <f t="shared" ref="M165:M228" si="9">L165/L164-1</f>
        <v>-6.1235067291406375E-3</v>
      </c>
    </row>
    <row r="166" spans="9:13" ht="14.4" x14ac:dyDescent="0.3">
      <c r="I166" s="237">
        <v>43936</v>
      </c>
      <c r="J166" s="238">
        <v>30379.810547000001</v>
      </c>
      <c r="K166" s="173">
        <f t="shared" si="8"/>
        <v>-1.0107813182935854E-2</v>
      </c>
      <c r="L166" s="238">
        <v>5095.3999020000001</v>
      </c>
      <c r="M166" s="173">
        <f t="shared" si="9"/>
        <v>-3.5510145371947743E-2</v>
      </c>
    </row>
    <row r="167" spans="9:13" ht="14.4" x14ac:dyDescent="0.3">
      <c r="I167" s="237">
        <v>43937</v>
      </c>
      <c r="J167" s="238">
        <v>30602.609375</v>
      </c>
      <c r="K167" s="173">
        <f t="shared" si="8"/>
        <v>7.3337793748025071E-3</v>
      </c>
      <c r="L167" s="238">
        <v>5129.75</v>
      </c>
      <c r="M167" s="173">
        <f t="shared" si="9"/>
        <v>6.7413939358356156E-3</v>
      </c>
    </row>
    <row r="168" spans="9:13" ht="14.4" x14ac:dyDescent="0.3">
      <c r="I168" s="237">
        <v>43938</v>
      </c>
      <c r="J168" s="238">
        <v>31588.720702999999</v>
      </c>
      <c r="K168" s="173">
        <f t="shared" si="8"/>
        <v>3.2223112608350979E-2</v>
      </c>
      <c r="L168" s="238">
        <v>5507.0498049999997</v>
      </c>
      <c r="M168" s="173">
        <f t="shared" si="9"/>
        <v>7.355130464447579E-2</v>
      </c>
    </row>
    <row r="169" spans="9:13" ht="14.4" x14ac:dyDescent="0.3">
      <c r="I169" s="237">
        <v>43941</v>
      </c>
      <c r="J169" s="238">
        <v>31648</v>
      </c>
      <c r="K169" s="173">
        <f t="shared" si="8"/>
        <v>1.8765969523537596E-3</v>
      </c>
      <c r="L169" s="238">
        <v>5323.6000979999999</v>
      </c>
      <c r="M169" s="173">
        <f t="shared" si="9"/>
        <v>-3.3311793700039005E-2</v>
      </c>
    </row>
    <row r="170" spans="9:13" ht="14.4" x14ac:dyDescent="0.3">
      <c r="I170" s="237">
        <v>43942</v>
      </c>
      <c r="J170" s="238">
        <v>30636.710938</v>
      </c>
      <c r="K170" s="173">
        <f t="shared" si="8"/>
        <v>-3.1954280270475199E-2</v>
      </c>
      <c r="L170" s="238">
        <v>5000.5498049999997</v>
      </c>
      <c r="M170" s="173">
        <f t="shared" si="9"/>
        <v>-6.0682674703790296E-2</v>
      </c>
    </row>
    <row r="171" spans="9:13" ht="14.4" x14ac:dyDescent="0.3">
      <c r="I171" s="237">
        <v>43943</v>
      </c>
      <c r="J171" s="238">
        <v>31379.550781000002</v>
      </c>
      <c r="K171" s="173">
        <f t="shared" si="8"/>
        <v>2.424672297569086E-2</v>
      </c>
      <c r="L171" s="238">
        <v>5180.7001950000003</v>
      </c>
      <c r="M171" s="173">
        <f t="shared" si="9"/>
        <v>3.6026116532200225E-2</v>
      </c>
    </row>
    <row r="172" spans="9:13" ht="14.4" x14ac:dyDescent="0.3">
      <c r="I172" s="237">
        <v>43944</v>
      </c>
      <c r="J172" s="238">
        <v>31863.080077999999</v>
      </c>
      <c r="K172" s="173">
        <f t="shared" si="8"/>
        <v>1.5409057330826093E-2</v>
      </c>
      <c r="L172" s="238">
        <v>5160.7001950000003</v>
      </c>
      <c r="M172" s="173">
        <f t="shared" si="9"/>
        <v>-3.8604820289162012E-3</v>
      </c>
    </row>
    <row r="173" spans="9:13" ht="14.4" x14ac:dyDescent="0.3">
      <c r="I173" s="237">
        <v>43945</v>
      </c>
      <c r="J173" s="238">
        <v>31327.220702999999</v>
      </c>
      <c r="K173" s="173">
        <f t="shared" si="8"/>
        <v>-1.6817563577916195E-2</v>
      </c>
      <c r="L173" s="238">
        <v>5045.5</v>
      </c>
      <c r="M173" s="173">
        <f t="shared" si="9"/>
        <v>-2.2322590084115634E-2</v>
      </c>
    </row>
    <row r="174" spans="9:13" ht="14.4" x14ac:dyDescent="0.3">
      <c r="I174" s="237">
        <v>43948</v>
      </c>
      <c r="J174" s="238">
        <v>31743.080077999999</v>
      </c>
      <c r="K174" s="173">
        <f t="shared" si="8"/>
        <v>1.3274697393126145E-2</v>
      </c>
      <c r="L174" s="238">
        <v>5056.7001950000003</v>
      </c>
      <c r="M174" s="173">
        <f t="shared" si="9"/>
        <v>2.2198384699236851E-3</v>
      </c>
    </row>
    <row r="175" spans="9:13" ht="14.4" x14ac:dyDescent="0.3">
      <c r="I175" s="237">
        <v>43949</v>
      </c>
      <c r="J175" s="238">
        <v>32114.519531000002</v>
      </c>
      <c r="K175" s="173">
        <f t="shared" si="8"/>
        <v>1.1701430739779806E-2</v>
      </c>
      <c r="L175" s="238">
        <v>5053.0498049999997</v>
      </c>
      <c r="M175" s="173">
        <f t="shared" si="9"/>
        <v>-7.2189171974446076E-4</v>
      </c>
    </row>
    <row r="176" spans="9:13" ht="14.4" x14ac:dyDescent="0.3">
      <c r="I176" s="237">
        <v>43950</v>
      </c>
      <c r="J176" s="238">
        <v>32720.160156000002</v>
      </c>
      <c r="K176" s="173">
        <f t="shared" si="8"/>
        <v>1.8858778952472788E-2</v>
      </c>
      <c r="L176" s="238">
        <v>5068.6000979999999</v>
      </c>
      <c r="M176" s="173">
        <f t="shared" si="9"/>
        <v>3.0774074272161833E-3</v>
      </c>
    </row>
    <row r="177" spans="9:13" ht="14.4" x14ac:dyDescent="0.3">
      <c r="I177" s="237">
        <v>43951</v>
      </c>
      <c r="J177" s="238">
        <v>33717.621094000002</v>
      </c>
      <c r="K177" s="173">
        <f t="shared" si="8"/>
        <v>3.0484598279605146E-2</v>
      </c>
      <c r="L177" s="238">
        <v>5360.2998049999997</v>
      </c>
      <c r="M177" s="173">
        <f t="shared" si="9"/>
        <v>5.7550349477186069E-2</v>
      </c>
    </row>
    <row r="178" spans="9:13" ht="14.4" x14ac:dyDescent="0.3">
      <c r="I178" s="237">
        <v>43955</v>
      </c>
      <c r="J178" s="238">
        <v>31715.349609000001</v>
      </c>
      <c r="K178" s="173">
        <f t="shared" si="8"/>
        <v>-5.9383533595621985E-2</v>
      </c>
      <c r="L178" s="238">
        <v>4891.1499020000001</v>
      </c>
      <c r="M178" s="173">
        <f t="shared" si="9"/>
        <v>-8.7523071482379478E-2</v>
      </c>
    </row>
    <row r="179" spans="9:13" ht="14.4" x14ac:dyDescent="0.3">
      <c r="I179" s="237">
        <v>43956</v>
      </c>
      <c r="J179" s="238">
        <v>31453.509765999999</v>
      </c>
      <c r="K179" s="173">
        <f t="shared" si="8"/>
        <v>-8.2559343102968086E-3</v>
      </c>
      <c r="L179" s="238">
        <v>4831.7998049999997</v>
      </c>
      <c r="M179" s="173">
        <f t="shared" si="9"/>
        <v>-1.2134180752818913E-2</v>
      </c>
    </row>
    <row r="180" spans="9:13" ht="14.4" x14ac:dyDescent="0.3">
      <c r="I180" s="237">
        <v>43957</v>
      </c>
      <c r="J180" s="238">
        <v>31685.75</v>
      </c>
      <c r="K180" s="173">
        <f t="shared" si="8"/>
        <v>7.3836031567784399E-3</v>
      </c>
      <c r="L180" s="238">
        <v>4839.8999020000001</v>
      </c>
      <c r="M180" s="173">
        <f t="shared" si="9"/>
        <v>1.6764140334659672E-3</v>
      </c>
    </row>
    <row r="181" spans="9:13" ht="14.4" x14ac:dyDescent="0.3">
      <c r="I181" s="237">
        <v>43958</v>
      </c>
      <c r="J181" s="238">
        <v>31443.380859000001</v>
      </c>
      <c r="K181" s="173">
        <f t="shared" si="8"/>
        <v>-7.6491527263833348E-3</v>
      </c>
      <c r="L181" s="238">
        <v>4749.3999020000001</v>
      </c>
      <c r="M181" s="173">
        <f t="shared" si="9"/>
        <v>-1.8698733823524383E-2</v>
      </c>
    </row>
    <row r="182" spans="9:13" ht="14.4" x14ac:dyDescent="0.3">
      <c r="I182" s="237">
        <v>43959</v>
      </c>
      <c r="J182" s="238">
        <v>31642.699218999998</v>
      </c>
      <c r="K182" s="173">
        <f t="shared" si="8"/>
        <v>6.338960841831609E-3</v>
      </c>
      <c r="L182" s="238">
        <v>4657.5</v>
      </c>
      <c r="M182" s="173">
        <f t="shared" si="9"/>
        <v>-1.9349792372990171E-2</v>
      </c>
    </row>
    <row r="183" spans="9:13" ht="14.4" x14ac:dyDescent="0.3">
      <c r="I183" s="237">
        <v>43962</v>
      </c>
      <c r="J183" s="238">
        <v>31561.220702999999</v>
      </c>
      <c r="K183" s="173">
        <f t="shared" si="8"/>
        <v>-2.5749546660379652E-3</v>
      </c>
      <c r="L183" s="238">
        <v>4931.9501950000003</v>
      </c>
      <c r="M183" s="173">
        <f t="shared" si="9"/>
        <v>5.8926504562533566E-2</v>
      </c>
    </row>
    <row r="184" spans="9:13" ht="14.4" x14ac:dyDescent="0.3">
      <c r="I184" s="237">
        <v>43963</v>
      </c>
      <c r="J184" s="238">
        <v>31371.119140999999</v>
      </c>
      <c r="K184" s="173">
        <f t="shared" si="8"/>
        <v>-6.0232639221692308E-3</v>
      </c>
      <c r="L184" s="238">
        <v>4950.1499020000001</v>
      </c>
      <c r="M184" s="173">
        <f t="shared" si="9"/>
        <v>3.6901643934788009E-3</v>
      </c>
    </row>
    <row r="185" spans="9:13" ht="14.4" x14ac:dyDescent="0.3">
      <c r="I185" s="237">
        <v>43964</v>
      </c>
      <c r="J185" s="238">
        <v>32008.609375</v>
      </c>
      <c r="K185" s="173">
        <f t="shared" si="8"/>
        <v>2.0320927383391973E-2</v>
      </c>
      <c r="L185" s="238">
        <v>5035.25</v>
      </c>
      <c r="M185" s="173">
        <f t="shared" si="9"/>
        <v>1.7191418378182277E-2</v>
      </c>
    </row>
    <row r="186" spans="9:13" ht="14.4" x14ac:dyDescent="0.3">
      <c r="I186" s="237">
        <v>43965</v>
      </c>
      <c r="J186" s="238">
        <v>31122.890625</v>
      </c>
      <c r="K186" s="173">
        <f t="shared" si="8"/>
        <v>-2.767126617789839E-2</v>
      </c>
      <c r="L186" s="238">
        <v>5109.7001950000003</v>
      </c>
      <c r="M186" s="173">
        <f t="shared" si="9"/>
        <v>1.4785799116230569E-2</v>
      </c>
    </row>
    <row r="187" spans="9:13" ht="14.4" x14ac:dyDescent="0.3">
      <c r="I187" s="237">
        <v>43966</v>
      </c>
      <c r="J187" s="238">
        <v>31097.730468999998</v>
      </c>
      <c r="K187" s="173">
        <f t="shared" si="8"/>
        <v>-8.084132127429422E-4</v>
      </c>
      <c r="L187" s="238">
        <v>5100.6499020000001</v>
      </c>
      <c r="M187" s="173">
        <f t="shared" si="9"/>
        <v>-1.7711984372108525E-3</v>
      </c>
    </row>
    <row r="188" spans="9:13" ht="14.4" x14ac:dyDescent="0.3">
      <c r="I188" s="237">
        <v>43969</v>
      </c>
      <c r="J188" s="238">
        <v>30028.980468999998</v>
      </c>
      <c r="K188" s="173">
        <f t="shared" si="8"/>
        <v>-3.4367459743256501E-2</v>
      </c>
      <c r="L188" s="238">
        <v>4723.3500979999999</v>
      </c>
      <c r="M188" s="173">
        <f t="shared" si="9"/>
        <v>-7.3970927479664605E-2</v>
      </c>
    </row>
    <row r="189" spans="9:13" ht="14.4" x14ac:dyDescent="0.3">
      <c r="I189" s="237">
        <v>43970</v>
      </c>
      <c r="J189" s="238">
        <v>30196.169922000001</v>
      </c>
      <c r="K189" s="173">
        <f t="shared" si="8"/>
        <v>5.5676033747664722E-3</v>
      </c>
      <c r="L189" s="238">
        <v>4811.6000979999999</v>
      </c>
      <c r="M189" s="173">
        <f t="shared" si="9"/>
        <v>1.8683772781815877E-2</v>
      </c>
    </row>
    <row r="190" spans="9:13" ht="14.4" x14ac:dyDescent="0.3">
      <c r="I190" s="237">
        <v>43971</v>
      </c>
      <c r="J190" s="238">
        <v>30818.609375</v>
      </c>
      <c r="K190" s="173">
        <f t="shared" si="8"/>
        <v>2.0613192156748061E-2</v>
      </c>
      <c r="L190" s="238">
        <v>4892.1499020000001</v>
      </c>
      <c r="M190" s="173">
        <f t="shared" si="9"/>
        <v>1.6740752007524895E-2</v>
      </c>
    </row>
    <row r="191" spans="9:13" ht="14.4" x14ac:dyDescent="0.3">
      <c r="I191" s="237">
        <v>43972</v>
      </c>
      <c r="J191" s="238">
        <v>30932.900390999999</v>
      </c>
      <c r="K191" s="173">
        <f t="shared" si="8"/>
        <v>3.7085065912387805E-3</v>
      </c>
      <c r="L191" s="238">
        <v>5050.75</v>
      </c>
      <c r="M191" s="173">
        <f t="shared" si="9"/>
        <v>3.2419304636426061E-2</v>
      </c>
    </row>
    <row r="192" spans="9:13" ht="14.4" x14ac:dyDescent="0.3">
      <c r="I192" s="237">
        <v>43973</v>
      </c>
      <c r="J192" s="238">
        <v>30672.589843999998</v>
      </c>
      <c r="K192" s="173">
        <f t="shared" si="8"/>
        <v>-8.4153294294944114E-3</v>
      </c>
      <c r="L192" s="238">
        <v>5133.7998049999997</v>
      </c>
      <c r="M192" s="173">
        <f t="shared" si="9"/>
        <v>1.6443063901400823E-2</v>
      </c>
    </row>
    <row r="193" spans="9:13" ht="14.4" x14ac:dyDescent="0.3">
      <c r="I193" s="237">
        <v>43977</v>
      </c>
      <c r="J193" s="238">
        <v>30609.300781000002</v>
      </c>
      <c r="K193" s="173">
        <f t="shared" si="8"/>
        <v>-2.0633752585577092E-3</v>
      </c>
      <c r="L193" s="238">
        <v>5246.75</v>
      </c>
      <c r="M193" s="173">
        <f t="shared" si="9"/>
        <v>2.2001285459162911E-2</v>
      </c>
    </row>
    <row r="194" spans="9:13" ht="14.4" x14ac:dyDescent="0.3">
      <c r="I194" s="237">
        <v>43978</v>
      </c>
      <c r="J194" s="238">
        <v>31605.220702999999</v>
      </c>
      <c r="K194" s="173">
        <f t="shared" ref="K194:K200" si="10">J194/J193-1</f>
        <v>3.2536513301153036E-2</v>
      </c>
      <c r="L194" s="238">
        <v>5241.4501950000003</v>
      </c>
      <c r="M194" s="173">
        <f t="shared" si="9"/>
        <v>-1.0101119740790754E-3</v>
      </c>
    </row>
    <row r="195" spans="9:13" ht="14.4" x14ac:dyDescent="0.3">
      <c r="I195" s="237">
        <v>43979</v>
      </c>
      <c r="J195" s="238">
        <v>32200.589843999998</v>
      </c>
      <c r="K195" s="173">
        <f t="shared" si="10"/>
        <v>1.8837683387652682E-2</v>
      </c>
      <c r="L195" s="238">
        <v>5470.5498049999997</v>
      </c>
      <c r="M195" s="173">
        <f t="shared" si="9"/>
        <v>4.3709202887884935E-2</v>
      </c>
    </row>
    <row r="196" spans="9:13" ht="14.4" x14ac:dyDescent="0.3">
      <c r="I196" s="237">
        <v>43980</v>
      </c>
      <c r="J196" s="238">
        <v>32424.099609000001</v>
      </c>
      <c r="K196" s="173">
        <f t="shared" si="10"/>
        <v>6.9411699003907312E-3</v>
      </c>
      <c r="L196" s="238">
        <v>5612</v>
      </c>
      <c r="M196" s="173">
        <f t="shared" si="9"/>
        <v>2.5856668898383228E-2</v>
      </c>
    </row>
    <row r="197" spans="9:13" ht="14.4" x14ac:dyDescent="0.3">
      <c r="I197" s="237">
        <v>43983</v>
      </c>
      <c r="J197" s="238">
        <v>33303.519530999998</v>
      </c>
      <c r="K197" s="173">
        <f t="shared" si="10"/>
        <v>2.7122416122725479E-2</v>
      </c>
      <c r="L197" s="238">
        <v>5788.7998049999997</v>
      </c>
      <c r="M197" s="173">
        <f t="shared" si="9"/>
        <v>3.1503885424091216E-2</v>
      </c>
    </row>
    <row r="198" spans="9:13" ht="14.4" x14ac:dyDescent="0.3">
      <c r="I198" s="237">
        <v>43984</v>
      </c>
      <c r="J198" s="238">
        <v>33825.53125</v>
      </c>
      <c r="K198" s="173">
        <f t="shared" si="10"/>
        <v>1.5674370947914351E-2</v>
      </c>
      <c r="L198" s="238">
        <v>5687.9501950000003</v>
      </c>
      <c r="M198" s="173">
        <f t="shared" si="9"/>
        <v>-1.7421505907475265E-2</v>
      </c>
    </row>
    <row r="199" spans="9:13" ht="14.4" x14ac:dyDescent="0.3">
      <c r="I199" s="237">
        <v>43985</v>
      </c>
      <c r="J199" s="238">
        <v>34109.539062999997</v>
      </c>
      <c r="K199" s="173">
        <f t="shared" si="10"/>
        <v>8.3962558015995281E-3</v>
      </c>
      <c r="L199" s="238">
        <v>5623.7001950000003</v>
      </c>
      <c r="M199" s="173">
        <f t="shared" si="9"/>
        <v>-1.1295809175066118E-2</v>
      </c>
    </row>
    <row r="200" spans="9:13" ht="14.4" x14ac:dyDescent="0.3">
      <c r="I200" s="237">
        <v>43986</v>
      </c>
      <c r="J200" s="238">
        <v>33980.699219000002</v>
      </c>
      <c r="K200" s="173">
        <f t="shared" si="10"/>
        <v>-3.7772379087863683E-3</v>
      </c>
      <c r="L200" s="238">
        <v>5693.2998049999997</v>
      </c>
      <c r="M200" s="173">
        <f t="shared" si="9"/>
        <v>1.2376123830690755E-2</v>
      </c>
    </row>
    <row r="201" spans="9:13" ht="14.4" x14ac:dyDescent="0.3">
      <c r="I201" s="237">
        <v>43987</v>
      </c>
      <c r="J201" s="238">
        <v>34287.238280999998</v>
      </c>
      <c r="K201" s="173">
        <f t="shared" ref="K201:K241" si="11">J201/J200-1</f>
        <v>9.0209757022479131E-3</v>
      </c>
      <c r="L201" s="238">
        <v>5747.2001950000003</v>
      </c>
      <c r="M201" s="173">
        <f t="shared" si="9"/>
        <v>9.4673373695626228E-3</v>
      </c>
    </row>
    <row r="202" spans="9:13" ht="14.4" x14ac:dyDescent="0.3">
      <c r="I202" s="237">
        <v>43990</v>
      </c>
      <c r="J202" s="238">
        <v>34370.578125</v>
      </c>
      <c r="K202" s="173">
        <f t="shared" si="11"/>
        <v>2.4306374085014681E-3</v>
      </c>
      <c r="L202" s="238">
        <v>5735.4501950000003</v>
      </c>
      <c r="M202" s="173">
        <f t="shared" si="9"/>
        <v>-2.0444737613668496E-3</v>
      </c>
    </row>
    <row r="203" spans="9:13" ht="14.4" x14ac:dyDescent="0.3">
      <c r="I203" s="237">
        <v>43991</v>
      </c>
      <c r="J203" s="238">
        <v>33956.691405999998</v>
      </c>
      <c r="K203" s="173">
        <f t="shared" si="11"/>
        <v>-1.2041889941297068E-2</v>
      </c>
      <c r="L203" s="238">
        <v>5666.6000979999999</v>
      </c>
      <c r="M203" s="173">
        <f t="shared" si="9"/>
        <v>-1.200430561841892E-2</v>
      </c>
    </row>
    <row r="204" spans="9:13" ht="14.4" x14ac:dyDescent="0.3">
      <c r="I204" s="237">
        <v>43992</v>
      </c>
      <c r="J204" s="238">
        <v>34247.050780999998</v>
      </c>
      <c r="K204" s="173">
        <f t="shared" si="11"/>
        <v>8.550873567991113E-3</v>
      </c>
      <c r="L204" s="238">
        <v>5663.7998049999997</v>
      </c>
      <c r="M204" s="173">
        <f t="shared" si="9"/>
        <v>-4.9417515822025582E-4</v>
      </c>
    </row>
    <row r="205" spans="9:13" ht="14.4" x14ac:dyDescent="0.3">
      <c r="I205" s="237">
        <v>43993</v>
      </c>
      <c r="J205" s="238">
        <v>33538.371094000002</v>
      </c>
      <c r="K205" s="173">
        <f t="shared" si="11"/>
        <v>-2.0693159581296472E-2</v>
      </c>
      <c r="L205" s="238">
        <v>5427.25</v>
      </c>
      <c r="M205" s="173">
        <f t="shared" si="9"/>
        <v>-4.1765212956710318E-2</v>
      </c>
    </row>
    <row r="206" spans="9:13" ht="14.4" x14ac:dyDescent="0.3">
      <c r="I206" s="237">
        <v>43994</v>
      </c>
      <c r="J206" s="238">
        <v>33780.890625</v>
      </c>
      <c r="K206" s="173">
        <f t="shared" si="11"/>
        <v>7.2311064338894671E-3</v>
      </c>
      <c r="L206" s="238">
        <v>5554.8500979999999</v>
      </c>
      <c r="M206" s="173">
        <f t="shared" si="9"/>
        <v>2.3511004283937487E-2</v>
      </c>
    </row>
    <row r="207" spans="9:13" ht="14.4" x14ac:dyDescent="0.3">
      <c r="I207" s="237">
        <v>43997</v>
      </c>
      <c r="J207" s="238">
        <v>33228.800780999998</v>
      </c>
      <c r="K207" s="173">
        <f t="shared" si="11"/>
        <v>-1.6343258978240849E-2</v>
      </c>
      <c r="L207" s="238">
        <v>5476.8999020000001</v>
      </c>
      <c r="M207" s="173">
        <f t="shared" si="9"/>
        <v>-1.4032817200245518E-2</v>
      </c>
    </row>
    <row r="208" spans="9:13" ht="14.4" x14ac:dyDescent="0.3">
      <c r="I208" s="237">
        <v>43998</v>
      </c>
      <c r="J208" s="238">
        <v>33605.21875</v>
      </c>
      <c r="K208" s="173">
        <f t="shared" si="11"/>
        <v>1.1328063612070949E-2</v>
      </c>
      <c r="L208" s="238">
        <v>5497.8999020000001</v>
      </c>
      <c r="M208" s="173">
        <f t="shared" si="9"/>
        <v>3.8342858872282282E-3</v>
      </c>
    </row>
    <row r="209" spans="9:13" ht="14.4" x14ac:dyDescent="0.3">
      <c r="I209" s="237">
        <v>43999</v>
      </c>
      <c r="J209" s="238">
        <v>33507.921875</v>
      </c>
      <c r="K209" s="173">
        <f t="shared" si="11"/>
        <v>-2.8952906310124593E-3</v>
      </c>
      <c r="L209" s="238">
        <v>5725.3999020000001</v>
      </c>
      <c r="M209" s="173">
        <f t="shared" si="9"/>
        <v>4.1379436522160251E-2</v>
      </c>
    </row>
    <row r="210" spans="9:13" ht="14.4" x14ac:dyDescent="0.3">
      <c r="I210" s="237">
        <v>44000</v>
      </c>
      <c r="J210" s="238">
        <v>34208.050780999998</v>
      </c>
      <c r="K210" s="173">
        <f t="shared" si="11"/>
        <v>2.0894429341568932E-2</v>
      </c>
      <c r="L210" s="238">
        <v>5716.8500979999999</v>
      </c>
      <c r="M210" s="173">
        <f t="shared" si="9"/>
        <v>-1.4933112352577549E-3</v>
      </c>
    </row>
    <row r="211" spans="9:13" ht="14.4" x14ac:dyDescent="0.3">
      <c r="I211" s="237">
        <v>44001</v>
      </c>
      <c r="J211" s="238">
        <v>34731.730469000002</v>
      </c>
      <c r="K211" s="173">
        <f t="shared" si="11"/>
        <v>1.5308667873320303E-2</v>
      </c>
      <c r="L211" s="238">
        <v>5899.25</v>
      </c>
      <c r="M211" s="173">
        <f t="shared" si="9"/>
        <v>3.1905664635812458E-2</v>
      </c>
    </row>
    <row r="212" spans="9:13" ht="14.4" x14ac:dyDescent="0.3">
      <c r="I212" s="237">
        <v>44004</v>
      </c>
      <c r="J212" s="238">
        <v>34911.320312999997</v>
      </c>
      <c r="K212" s="173">
        <f t="shared" si="11"/>
        <v>5.170771556006537E-3</v>
      </c>
      <c r="L212" s="238">
        <v>5897.7001950000003</v>
      </c>
      <c r="M212" s="173">
        <f t="shared" si="9"/>
        <v>-2.6271220917906124E-4</v>
      </c>
    </row>
    <row r="213" spans="9:13" ht="14.4" x14ac:dyDescent="0.3">
      <c r="I213" s="237">
        <v>44005</v>
      </c>
      <c r="J213" s="238">
        <v>35430.429687999997</v>
      </c>
      <c r="K213" s="173">
        <f t="shared" si="11"/>
        <v>1.48693710334038E-2</v>
      </c>
      <c r="L213" s="238">
        <v>5885.8999020000001</v>
      </c>
      <c r="M213" s="173">
        <f t="shared" si="9"/>
        <v>-2.0008295793001452E-3</v>
      </c>
    </row>
    <row r="214" spans="9:13" ht="14.4" x14ac:dyDescent="0.3">
      <c r="I214" s="237">
        <v>44006</v>
      </c>
      <c r="J214" s="238">
        <v>34868.980469000002</v>
      </c>
      <c r="K214" s="173">
        <f t="shared" si="11"/>
        <v>-1.5846525823821844E-2</v>
      </c>
      <c r="L214" s="238">
        <v>5752.0498049999997</v>
      </c>
      <c r="M214" s="173">
        <f t="shared" si="9"/>
        <v>-2.2740804163950967E-2</v>
      </c>
    </row>
    <row r="215" spans="9:13" ht="14.4" x14ac:dyDescent="0.3">
      <c r="I215" s="237">
        <v>44007</v>
      </c>
      <c r="J215" s="238">
        <v>34842.101562999997</v>
      </c>
      <c r="K215" s="173">
        <f t="shared" si="11"/>
        <v>-7.708543708039306E-4</v>
      </c>
      <c r="L215" s="238">
        <v>5760.6000979999999</v>
      </c>
      <c r="M215" s="173">
        <f t="shared" si="9"/>
        <v>1.486477567104405E-3</v>
      </c>
    </row>
    <row r="216" spans="9:13" ht="14.4" x14ac:dyDescent="0.3">
      <c r="I216" s="237">
        <v>44008</v>
      </c>
      <c r="J216" s="238">
        <v>35171.269530999998</v>
      </c>
      <c r="K216" s="173">
        <f t="shared" si="11"/>
        <v>9.4474200244440976E-3</v>
      </c>
      <c r="L216" s="238">
        <v>5755.7001950000003</v>
      </c>
      <c r="M216" s="173">
        <f t="shared" si="9"/>
        <v>-8.50588986675338E-4</v>
      </c>
    </row>
    <row r="217" spans="9:13" ht="14.4" x14ac:dyDescent="0.3">
      <c r="I217" s="237">
        <v>44011</v>
      </c>
      <c r="J217" s="238">
        <v>34961.519530999998</v>
      </c>
      <c r="K217" s="173">
        <f t="shared" si="11"/>
        <v>-5.9636744080314719E-3</v>
      </c>
      <c r="L217" s="238">
        <v>5681.8999020000001</v>
      </c>
      <c r="M217" s="173">
        <f t="shared" si="9"/>
        <v>-1.2822122504593025E-2</v>
      </c>
    </row>
    <row r="218" spans="9:13" ht="14.4" x14ac:dyDescent="0.3">
      <c r="I218" s="237">
        <v>44012</v>
      </c>
      <c r="J218" s="238">
        <v>34915.800780999998</v>
      </c>
      <c r="K218" s="173">
        <f t="shared" si="11"/>
        <v>-1.3076877267723663E-3</v>
      </c>
      <c r="L218" s="238">
        <v>5839.1000979999999</v>
      </c>
      <c r="M218" s="173">
        <f t="shared" si="9"/>
        <v>2.7666836570750863E-2</v>
      </c>
    </row>
    <row r="219" spans="9:13" ht="14.4" x14ac:dyDescent="0.3">
      <c r="I219" s="237">
        <v>44013</v>
      </c>
      <c r="J219" s="238">
        <v>35414.449219000002</v>
      </c>
      <c r="K219" s="173">
        <f t="shared" si="11"/>
        <v>1.4281455010229926E-2</v>
      </c>
      <c r="L219" s="238">
        <v>5798.9501950000003</v>
      </c>
      <c r="M219" s="173">
        <f t="shared" si="9"/>
        <v>-6.876042939176763E-3</v>
      </c>
    </row>
    <row r="220" spans="9:13" ht="14.4" x14ac:dyDescent="0.3">
      <c r="I220" s="237">
        <v>44014</v>
      </c>
      <c r="J220" s="238">
        <v>35843.699219000002</v>
      </c>
      <c r="K220" s="173">
        <f t="shared" si="11"/>
        <v>1.2120758884193172E-2</v>
      </c>
      <c r="L220" s="238">
        <v>5948.4501950000003</v>
      </c>
      <c r="M220" s="173">
        <f t="shared" si="9"/>
        <v>2.5780528366824429E-2</v>
      </c>
    </row>
    <row r="221" spans="9:13" ht="14.4" x14ac:dyDescent="0.3">
      <c r="I221" s="237">
        <v>44015</v>
      </c>
      <c r="J221" s="238">
        <v>36021.421875</v>
      </c>
      <c r="K221" s="173">
        <f t="shared" si="11"/>
        <v>4.9582676975983286E-3</v>
      </c>
      <c r="L221" s="238">
        <v>5933.1499020000001</v>
      </c>
      <c r="M221" s="173">
        <f t="shared" si="9"/>
        <v>-2.5721477861344599E-3</v>
      </c>
    </row>
    <row r="222" spans="9:13" ht="14.4" x14ac:dyDescent="0.3">
      <c r="I222" s="237">
        <v>44018</v>
      </c>
      <c r="J222" s="238">
        <v>36487.28125</v>
      </c>
      <c r="K222" s="173">
        <f t="shared" si="11"/>
        <v>1.2932842479583595E-2</v>
      </c>
      <c r="L222" s="238">
        <v>6125.1499020000001</v>
      </c>
      <c r="M222" s="173">
        <f t="shared" si="9"/>
        <v>3.2360551000957916E-2</v>
      </c>
    </row>
    <row r="223" spans="9:13" ht="14.4" x14ac:dyDescent="0.3">
      <c r="I223" s="237">
        <v>44019</v>
      </c>
      <c r="J223" s="238">
        <v>36674.519530999998</v>
      </c>
      <c r="K223" s="173">
        <f t="shared" si="11"/>
        <v>5.1316040709390442E-3</v>
      </c>
      <c r="L223" s="238">
        <v>6225.75</v>
      </c>
      <c r="M223" s="173">
        <f t="shared" si="9"/>
        <v>1.6424103835752879E-2</v>
      </c>
    </row>
    <row r="224" spans="9:13" ht="14.4" x14ac:dyDescent="0.3">
      <c r="I224" s="237">
        <v>44020</v>
      </c>
      <c r="J224" s="238">
        <v>36329.011719000002</v>
      </c>
      <c r="K224" s="173">
        <f t="shared" si="11"/>
        <v>-9.4209226574311078E-3</v>
      </c>
      <c r="L224" s="238">
        <v>6043.5</v>
      </c>
      <c r="M224" s="173">
        <f t="shared" si="9"/>
        <v>-2.9273581496205292E-2</v>
      </c>
    </row>
    <row r="225" spans="9:13" ht="14.4" x14ac:dyDescent="0.3">
      <c r="I225" s="237">
        <v>44021</v>
      </c>
      <c r="J225" s="238">
        <v>36737.691405999998</v>
      </c>
      <c r="K225" s="173">
        <f t="shared" si="11"/>
        <v>1.1249402823315879E-2</v>
      </c>
      <c r="L225" s="238">
        <v>6003.75</v>
      </c>
      <c r="M225" s="173">
        <f t="shared" si="9"/>
        <v>-6.5773144700917996E-3</v>
      </c>
    </row>
    <row r="226" spans="9:13" ht="14.4" x14ac:dyDescent="0.3">
      <c r="I226" s="237">
        <v>44022</v>
      </c>
      <c r="J226" s="238">
        <v>36594.328125</v>
      </c>
      <c r="K226" s="173">
        <f t="shared" si="11"/>
        <v>-3.9023486646355687E-3</v>
      </c>
      <c r="L226" s="238">
        <v>5957.9501950000003</v>
      </c>
      <c r="M226" s="173">
        <f t="shared" si="9"/>
        <v>-7.6285330002081597E-3</v>
      </c>
    </row>
    <row r="227" spans="9:13" ht="14.4" x14ac:dyDescent="0.3">
      <c r="I227" s="237">
        <v>44025</v>
      </c>
      <c r="J227" s="238">
        <v>36693.691405999998</v>
      </c>
      <c r="K227" s="173">
        <f t="shared" si="11"/>
        <v>2.715264525709804E-3</v>
      </c>
      <c r="L227" s="238">
        <v>5992.6499020000001</v>
      </c>
      <c r="M227" s="173">
        <f t="shared" si="9"/>
        <v>5.8241015557867204E-3</v>
      </c>
    </row>
    <row r="228" spans="9:13" ht="14.4" x14ac:dyDescent="0.3">
      <c r="I228" s="237">
        <v>44026</v>
      </c>
      <c r="J228" s="238">
        <v>36033.058594000002</v>
      </c>
      <c r="K228" s="173">
        <f t="shared" si="11"/>
        <v>-1.8003988878915855E-2</v>
      </c>
      <c r="L228" s="238">
        <v>5771.5498049999997</v>
      </c>
      <c r="M228" s="173">
        <f t="shared" si="9"/>
        <v>-3.6895213405710559E-2</v>
      </c>
    </row>
    <row r="229" spans="9:13" ht="14.4" x14ac:dyDescent="0.3">
      <c r="I229" s="237">
        <v>44027</v>
      </c>
      <c r="J229" s="238">
        <v>36051.808594000002</v>
      </c>
      <c r="K229" s="173">
        <f t="shared" si="11"/>
        <v>5.2035549386086899E-4</v>
      </c>
      <c r="L229" s="238">
        <v>5799.3500979999999</v>
      </c>
      <c r="M229" s="173">
        <f t="shared" ref="M229:M245" si="12">L229/L228-1</f>
        <v>4.8167812700699031E-3</v>
      </c>
    </row>
    <row r="230" spans="9:13" ht="14.4" x14ac:dyDescent="0.3">
      <c r="I230" s="237">
        <v>44028</v>
      </c>
      <c r="J230" s="238">
        <v>36471.679687999997</v>
      </c>
      <c r="K230" s="173">
        <f t="shared" si="11"/>
        <v>1.1646325395998858E-2</v>
      </c>
      <c r="L230" s="238">
        <v>5875.5</v>
      </c>
      <c r="M230" s="173">
        <f t="shared" si="12"/>
        <v>1.3130764777636417E-2</v>
      </c>
    </row>
    <row r="231" spans="9:13" ht="14.4" x14ac:dyDescent="0.3">
      <c r="I231" s="237">
        <v>44029</v>
      </c>
      <c r="J231" s="238">
        <v>37020.140625</v>
      </c>
      <c r="K231" s="173">
        <f t="shared" si="11"/>
        <v>1.5037995005764859E-2</v>
      </c>
      <c r="L231" s="238">
        <v>5918.0498049999997</v>
      </c>
      <c r="M231" s="173">
        <f t="shared" si="12"/>
        <v>7.2419036677728865E-3</v>
      </c>
    </row>
    <row r="232" spans="9:13" ht="14.4" x14ac:dyDescent="0.3">
      <c r="I232" s="237">
        <v>44032</v>
      </c>
      <c r="J232" s="238">
        <v>37418.988280999998</v>
      </c>
      <c r="K232" s="173">
        <f t="shared" si="11"/>
        <v>1.0773801754028201E-2</v>
      </c>
      <c r="L232" s="238">
        <v>5867.2998049999997</v>
      </c>
      <c r="M232" s="173">
        <f t="shared" si="12"/>
        <v>-8.5754601046315049E-3</v>
      </c>
    </row>
    <row r="233" spans="9:13" ht="14.4" x14ac:dyDescent="0.3">
      <c r="I233" s="237">
        <v>44033</v>
      </c>
      <c r="J233" s="238">
        <v>37930.328125</v>
      </c>
      <c r="K233" s="173">
        <f t="shared" si="11"/>
        <v>1.3665250384646166E-2</v>
      </c>
      <c r="L233" s="238">
        <v>6132.8999020000001</v>
      </c>
      <c r="M233" s="173">
        <f t="shared" si="12"/>
        <v>4.5267858440378506E-2</v>
      </c>
    </row>
    <row r="234" spans="9:13" ht="14.4" x14ac:dyDescent="0.3">
      <c r="I234" s="237">
        <v>44034</v>
      </c>
      <c r="J234" s="238">
        <v>37871.519530999998</v>
      </c>
      <c r="K234" s="173">
        <f t="shared" si="11"/>
        <v>-1.5504372597621163E-3</v>
      </c>
      <c r="L234" s="238">
        <v>6006.3999020000001</v>
      </c>
      <c r="M234" s="173">
        <f t="shared" si="12"/>
        <v>-2.06264576336469E-2</v>
      </c>
    </row>
    <row r="235" spans="9:13" ht="14.4" x14ac:dyDescent="0.3">
      <c r="I235" s="237">
        <v>44035</v>
      </c>
      <c r="J235" s="238">
        <v>38140.46875</v>
      </c>
      <c r="K235" s="173">
        <f t="shared" si="11"/>
        <v>7.1016220719597456E-3</v>
      </c>
      <c r="L235" s="238">
        <v>6063.75</v>
      </c>
      <c r="M235" s="173">
        <f t="shared" si="12"/>
        <v>9.5481651131659184E-3</v>
      </c>
    </row>
    <row r="236" spans="9:13" ht="14.4" x14ac:dyDescent="0.3">
      <c r="I236" s="237">
        <v>44036</v>
      </c>
      <c r="J236" s="238">
        <v>38128.898437999997</v>
      </c>
      <c r="K236" s="173">
        <f t="shared" si="11"/>
        <v>-3.03360508646211E-4</v>
      </c>
      <c r="L236" s="238">
        <v>6000.6000979999999</v>
      </c>
      <c r="M236" s="173">
        <f t="shared" si="12"/>
        <v>-1.0414331395588561E-2</v>
      </c>
    </row>
    <row r="237" spans="9:13" ht="14.4" x14ac:dyDescent="0.3">
      <c r="I237" s="237">
        <v>44039</v>
      </c>
      <c r="J237" s="238">
        <v>37934.730469000002</v>
      </c>
      <c r="K237" s="173">
        <f t="shared" si="11"/>
        <v>-5.0924096146056641E-3</v>
      </c>
      <c r="L237" s="238">
        <v>6041.7998049999997</v>
      </c>
      <c r="M237" s="173">
        <f t="shared" si="12"/>
        <v>6.8659311280769852E-3</v>
      </c>
    </row>
    <row r="238" spans="9:13" ht="14.4" x14ac:dyDescent="0.3">
      <c r="I238" s="237">
        <v>44040</v>
      </c>
      <c r="J238" s="238">
        <v>38492.949219000002</v>
      </c>
      <c r="K238" s="173">
        <f t="shared" si="11"/>
        <v>1.4715242288492636E-2</v>
      </c>
      <c r="L238" s="238">
        <v>6287.2998049999997</v>
      </c>
      <c r="M238" s="173">
        <f t="shared" si="12"/>
        <v>4.0633587328867238E-2</v>
      </c>
    </row>
    <row r="239" spans="9:13" ht="14.4" x14ac:dyDescent="0.3">
      <c r="I239" s="237">
        <v>44041</v>
      </c>
      <c r="J239" s="238">
        <v>38071.128905999998</v>
      </c>
      <c r="K239" s="173">
        <f t="shared" si="11"/>
        <v>-1.0958378652675349E-2</v>
      </c>
      <c r="L239" s="238">
        <v>6185.6000979999999</v>
      </c>
      <c r="M239" s="173">
        <f t="shared" si="12"/>
        <v>-1.6175418725717927E-2</v>
      </c>
    </row>
    <row r="240" spans="9:13" ht="14.4" x14ac:dyDescent="0.3">
      <c r="I240" s="237">
        <v>44042</v>
      </c>
      <c r="J240" s="238">
        <v>37736.070312999997</v>
      </c>
      <c r="K240" s="173">
        <f t="shared" si="11"/>
        <v>-8.8008578318568009E-3</v>
      </c>
      <c r="L240" s="238">
        <v>6265.6499020000001</v>
      </c>
      <c r="M240" s="173">
        <f t="shared" si="12"/>
        <v>1.2941315754615657E-2</v>
      </c>
    </row>
    <row r="241" spans="9:13" ht="14.4" x14ac:dyDescent="0.3">
      <c r="I241" s="237">
        <v>44043</v>
      </c>
      <c r="J241" s="238">
        <v>37606.890625</v>
      </c>
      <c r="K241" s="173">
        <f t="shared" si="11"/>
        <v>-3.4232416605258775E-3</v>
      </c>
      <c r="L241" s="238">
        <v>6260.4501950000003</v>
      </c>
      <c r="M241" s="173">
        <f t="shared" si="12"/>
        <v>-8.2987512569765443E-4</v>
      </c>
    </row>
    <row r="242" spans="9:13" ht="14.4" x14ac:dyDescent="0.3">
      <c r="I242" s="237">
        <v>44046</v>
      </c>
      <c r="J242" s="238">
        <v>36939.601562999997</v>
      </c>
      <c r="K242" s="173">
        <f t="shared" ref="K242:K245" si="13">J242/J241-1</f>
        <v>-1.7743797769773861E-2</v>
      </c>
      <c r="L242" s="238">
        <v>6165.7001950000003</v>
      </c>
      <c r="M242" s="173">
        <f t="shared" si="12"/>
        <v>-1.5134694318896358E-2</v>
      </c>
    </row>
    <row r="243" spans="9:13" ht="14.4" x14ac:dyDescent="0.3">
      <c r="I243" s="237">
        <v>44047</v>
      </c>
      <c r="J243" s="238">
        <v>37687.910155999998</v>
      </c>
      <c r="K243" s="173">
        <f t="shared" si="13"/>
        <v>2.0257624915736239E-2</v>
      </c>
      <c r="L243" s="238">
        <v>6360.7001950000003</v>
      </c>
      <c r="M243" s="173">
        <f t="shared" si="12"/>
        <v>3.1626578301379826E-2</v>
      </c>
    </row>
    <row r="244" spans="9:13" ht="14.4" x14ac:dyDescent="0.3">
      <c r="I244" s="237">
        <v>44048</v>
      </c>
      <c r="J244" s="238">
        <v>37663.328125</v>
      </c>
      <c r="K244" s="173">
        <f t="shared" si="13"/>
        <v>-6.5225243050748283E-4</v>
      </c>
      <c r="L244" s="238">
        <v>6526.8500979999999</v>
      </c>
      <c r="M244" s="173">
        <f t="shared" si="12"/>
        <v>2.6121322795658042E-2</v>
      </c>
    </row>
    <row r="245" spans="9:13" ht="14.4" x14ac:dyDescent="0.3">
      <c r="I245" s="237">
        <v>44049</v>
      </c>
      <c r="J245" s="238">
        <v>38025.449219000002</v>
      </c>
      <c r="K245" s="173">
        <f t="shared" si="13"/>
        <v>9.6146865406627757E-3</v>
      </c>
      <c r="L245" s="238">
        <v>6558.7998049999997</v>
      </c>
      <c r="M245" s="173">
        <f t="shared" si="12"/>
        <v>4.8951188582972982E-3</v>
      </c>
    </row>
    <row r="252" spans="9:13" x14ac:dyDescent="0.3">
      <c r="I252" s="136"/>
      <c r="J252" s="241"/>
      <c r="K252" s="54"/>
      <c r="L252" s="242"/>
      <c r="M252" s="54"/>
    </row>
  </sheetData>
  <pageMargins left="0.7" right="0.7" top="0.75" bottom="0.75" header="0.3" footer="0.3"/>
  <pageSetup orientation="portrait" r:id="rId1"/>
  <pictur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2:H74"/>
  <sheetViews>
    <sheetView showGridLines="0" topLeftCell="A58" zoomScale="120" zoomScaleNormal="120" workbookViewId="0">
      <selection activeCell="B56" sqref="B56"/>
    </sheetView>
  </sheetViews>
  <sheetFormatPr defaultColWidth="9.109375" defaultRowHeight="13.8" outlineLevelRow="1" x14ac:dyDescent="0.3"/>
  <cols>
    <col min="1" max="1" width="37.5546875" style="114" bestFit="1" customWidth="1"/>
    <col min="2" max="2" width="19.109375" style="114" bestFit="1" customWidth="1"/>
    <col min="3" max="3" width="18.109375" style="114" bestFit="1" customWidth="1"/>
    <col min="4" max="5" width="15.6640625" style="114" customWidth="1"/>
    <col min="6" max="6" width="16.33203125" style="114" customWidth="1"/>
    <col min="7" max="7" width="19.88671875" style="114" customWidth="1"/>
    <col min="8" max="8" width="11.5546875" style="114" bestFit="1" customWidth="1"/>
    <col min="9" max="9" width="9.6640625" style="114" bestFit="1" customWidth="1"/>
    <col min="10" max="10" width="9.109375" style="114"/>
    <col min="11" max="11" width="10.33203125" style="114" bestFit="1" customWidth="1"/>
    <col min="12" max="12" width="9.6640625" style="114" bestFit="1" customWidth="1"/>
    <col min="13" max="13" width="18.6640625" style="114" bestFit="1" customWidth="1"/>
    <col min="14" max="14" width="10.44140625" style="114" bestFit="1" customWidth="1"/>
    <col min="15" max="16" width="9.6640625" style="114" bestFit="1" customWidth="1"/>
    <col min="17" max="16384" width="9.109375" style="114"/>
  </cols>
  <sheetData>
    <row r="2" spans="1:6" s="163" customFormat="1" ht="14.4" x14ac:dyDescent="0.3">
      <c r="A2" s="162" t="s">
        <v>220</v>
      </c>
    </row>
    <row r="3" spans="1:6" outlineLevel="1" x14ac:dyDescent="0.3"/>
    <row r="4" spans="1:6" outlineLevel="1" x14ac:dyDescent="0.3">
      <c r="A4" s="66" t="s">
        <v>15</v>
      </c>
      <c r="B4" s="67" t="s">
        <v>319</v>
      </c>
    </row>
    <row r="5" spans="1:6" ht="15.6" customHeight="1" outlineLevel="1" x14ac:dyDescent="0.5">
      <c r="A5" s="68" t="s">
        <v>219</v>
      </c>
      <c r="B5" s="69">
        <v>6679.55</v>
      </c>
      <c r="C5" s="247"/>
    </row>
    <row r="6" spans="1:6" outlineLevel="1" x14ac:dyDescent="0.3">
      <c r="A6" s="68" t="s">
        <v>227</v>
      </c>
      <c r="B6" s="69">
        <f>shares</f>
        <v>302.08</v>
      </c>
    </row>
    <row r="7" spans="1:6" outlineLevel="1" x14ac:dyDescent="0.3">
      <c r="A7" s="68" t="s">
        <v>111</v>
      </c>
      <c r="B7" s="69">
        <f>B5*B6</f>
        <v>2017758.4639999999</v>
      </c>
      <c r="C7" s="3"/>
      <c r="E7" s="115"/>
    </row>
    <row r="8" spans="1:6" outlineLevel="1" x14ac:dyDescent="0.3">
      <c r="A8" s="68" t="s">
        <v>112</v>
      </c>
      <c r="B8" s="69">
        <v>0</v>
      </c>
      <c r="C8" s="115"/>
      <c r="D8" s="115"/>
      <c r="E8" s="115"/>
      <c r="F8" s="116"/>
    </row>
    <row r="9" spans="1:6" outlineLevel="1" x14ac:dyDescent="0.3">
      <c r="A9" s="68" t="s">
        <v>190</v>
      </c>
      <c r="B9" s="69">
        <f>'Past Financials'!D52</f>
        <v>192</v>
      </c>
      <c r="C9" s="115"/>
      <c r="D9" s="115"/>
      <c r="E9" s="115"/>
      <c r="F9" s="116"/>
    </row>
    <row r="10" spans="1:6" outlineLevel="1" x14ac:dyDescent="0.3">
      <c r="A10" s="68" t="s">
        <v>62</v>
      </c>
      <c r="B10" s="69">
        <f>NetDebt</f>
        <v>1528</v>
      </c>
      <c r="C10" s="115"/>
      <c r="D10" s="117"/>
      <c r="E10" s="115"/>
      <c r="F10" s="116"/>
    </row>
    <row r="11" spans="1:6" outlineLevel="1" x14ac:dyDescent="0.3">
      <c r="A11" s="142" t="s">
        <v>113</v>
      </c>
      <c r="B11" s="143">
        <f>B7+B8+B9+B10</f>
        <v>2019478.4639999999</v>
      </c>
      <c r="C11" s="118"/>
      <c r="D11" s="119"/>
    </row>
    <row r="12" spans="1:6" x14ac:dyDescent="0.3">
      <c r="A12" s="116"/>
      <c r="B12" s="120"/>
      <c r="C12" s="118"/>
      <c r="D12" s="119"/>
    </row>
    <row r="14" spans="1:6" x14ac:dyDescent="0.3">
      <c r="A14" s="116"/>
      <c r="B14" s="116"/>
      <c r="C14" s="116"/>
      <c r="D14" s="116"/>
      <c r="E14" s="116"/>
      <c r="F14" s="116"/>
    </row>
    <row r="15" spans="1:6" s="163" customFormat="1" ht="14.4" x14ac:dyDescent="0.3">
      <c r="A15" s="162" t="s">
        <v>221</v>
      </c>
    </row>
    <row r="16" spans="1:6" outlineLevel="1" x14ac:dyDescent="0.3">
      <c r="A16" s="116"/>
      <c r="B16" s="116"/>
      <c r="C16" s="116"/>
      <c r="D16" s="116"/>
      <c r="E16" s="116"/>
      <c r="F16" s="116"/>
    </row>
    <row r="17" spans="1:6" outlineLevel="1" x14ac:dyDescent="0.3">
      <c r="A17" s="4" t="s">
        <v>226</v>
      </c>
      <c r="B17" s="116"/>
      <c r="C17" s="116"/>
      <c r="D17" s="116"/>
      <c r="E17" s="116"/>
      <c r="F17" s="116"/>
    </row>
    <row r="18" spans="1:6" outlineLevel="1" x14ac:dyDescent="0.3">
      <c r="A18" s="66" t="s">
        <v>15</v>
      </c>
      <c r="B18" s="67" t="s">
        <v>110</v>
      </c>
      <c r="C18" s="116"/>
      <c r="D18" s="116"/>
      <c r="E18" s="116"/>
      <c r="F18" s="116"/>
    </row>
    <row r="19" spans="1:6" outlineLevel="1" x14ac:dyDescent="0.3">
      <c r="A19" s="71" t="str">
        <f>A17</f>
        <v>EV/Sales Multiple</v>
      </c>
      <c r="B19" s="254">
        <f>Multiples!L9+(Dashboard!B36/4)</f>
        <v>1.0925321482762465</v>
      </c>
      <c r="C19" s="116"/>
      <c r="D19" s="116"/>
      <c r="E19" s="116"/>
      <c r="F19" s="116"/>
    </row>
    <row r="20" spans="1:6" outlineLevel="1" x14ac:dyDescent="0.3">
      <c r="A20" s="65" t="s">
        <v>244</v>
      </c>
      <c r="B20" s="63">
        <f>'Projected Financials'!E7</f>
        <v>680940.00000000012</v>
      </c>
      <c r="C20" s="116"/>
      <c r="D20" s="116"/>
      <c r="E20" s="116"/>
      <c r="F20" s="116"/>
    </row>
    <row r="21" spans="1:6" outlineLevel="1" x14ac:dyDescent="0.3">
      <c r="A21" s="88" t="s">
        <v>115</v>
      </c>
      <c r="B21" s="127">
        <f>B19*B20</f>
        <v>743948.84104722738</v>
      </c>
      <c r="C21" s="116"/>
      <c r="D21" s="116"/>
      <c r="E21" s="116"/>
      <c r="F21" s="116"/>
    </row>
    <row r="22" spans="1:6" outlineLevel="1" x14ac:dyDescent="0.3">
      <c r="A22" s="116"/>
      <c r="B22" s="250"/>
      <c r="C22" s="116"/>
      <c r="D22" s="116"/>
      <c r="E22" s="116"/>
      <c r="F22" s="116"/>
    </row>
    <row r="23" spans="1:6" outlineLevel="1" x14ac:dyDescent="0.3">
      <c r="A23" s="116"/>
      <c r="B23" s="250"/>
      <c r="C23" s="116"/>
      <c r="D23" s="116"/>
      <c r="E23" s="116"/>
      <c r="F23" s="116"/>
    </row>
    <row r="24" spans="1:6" outlineLevel="1" x14ac:dyDescent="0.3">
      <c r="A24" s="4" t="s">
        <v>114</v>
      </c>
      <c r="B24" s="250"/>
      <c r="C24" s="116"/>
      <c r="D24" s="116"/>
      <c r="E24" s="116"/>
      <c r="F24" s="116"/>
    </row>
    <row r="25" spans="1:6" outlineLevel="1" x14ac:dyDescent="0.3">
      <c r="A25" s="66" t="s">
        <v>15</v>
      </c>
      <c r="B25" s="251"/>
      <c r="C25" s="116"/>
      <c r="D25" s="116"/>
      <c r="E25" s="116"/>
      <c r="F25" s="116"/>
    </row>
    <row r="26" spans="1:6" outlineLevel="1" x14ac:dyDescent="0.3">
      <c r="A26" s="71" t="str">
        <f>A24</f>
        <v>EV/EBITDA Multiple</v>
      </c>
      <c r="B26" s="254">
        <f>Multiples!N9+Dashboard!B36</f>
        <v>9.2355128906521831</v>
      </c>
      <c r="C26" s="116"/>
      <c r="D26" s="116"/>
      <c r="E26" s="116"/>
      <c r="F26" s="116"/>
    </row>
    <row r="27" spans="1:6" outlineLevel="1" x14ac:dyDescent="0.3">
      <c r="A27" s="65" t="s">
        <v>245</v>
      </c>
      <c r="B27" s="63">
        <f>'Projected Financials'!E18</f>
        <v>111501.83525192866</v>
      </c>
      <c r="C27" s="116"/>
      <c r="D27" s="121"/>
      <c r="E27" s="116"/>
      <c r="F27" s="116"/>
    </row>
    <row r="28" spans="1:6" outlineLevel="1" x14ac:dyDescent="0.3">
      <c r="A28" s="88" t="s">
        <v>115</v>
      </c>
      <c r="B28" s="127">
        <f>B26*B27</f>
        <v>1029776.6368005631</v>
      </c>
      <c r="C28" s="116"/>
      <c r="D28" s="116"/>
      <c r="E28" s="116"/>
      <c r="F28" s="116"/>
    </row>
    <row r="29" spans="1:6" outlineLevel="1" x14ac:dyDescent="0.3">
      <c r="A29" s="122"/>
      <c r="B29" s="250"/>
      <c r="C29" s="116"/>
      <c r="D29" s="116"/>
      <c r="E29" s="116"/>
      <c r="F29" s="116"/>
    </row>
    <row r="30" spans="1:6" outlineLevel="1" x14ac:dyDescent="0.3">
      <c r="A30" s="116"/>
      <c r="B30" s="250"/>
      <c r="C30" s="116"/>
      <c r="D30" s="116"/>
      <c r="E30" s="116"/>
      <c r="F30" s="116"/>
    </row>
    <row r="31" spans="1:6" outlineLevel="1" x14ac:dyDescent="0.3">
      <c r="A31" s="4" t="s">
        <v>116</v>
      </c>
      <c r="B31" s="250"/>
      <c r="C31" s="116"/>
      <c r="D31" s="4" t="s">
        <v>256</v>
      </c>
      <c r="E31" s="116"/>
      <c r="F31" s="116"/>
    </row>
    <row r="32" spans="1:6" outlineLevel="1" x14ac:dyDescent="0.3">
      <c r="A32" s="66" t="s">
        <v>15</v>
      </c>
      <c r="B32" s="251"/>
      <c r="C32" s="116"/>
      <c r="D32" s="189" t="str">
        <f>A33</f>
        <v>P/E Multiple</v>
      </c>
      <c r="E32" s="123">
        <f>B33</f>
        <v>36.070988868535999</v>
      </c>
      <c r="F32" s="116"/>
    </row>
    <row r="33" spans="1:6" outlineLevel="1" x14ac:dyDescent="0.3">
      <c r="A33" s="71" t="str">
        <f>A31</f>
        <v>P/E Multiple</v>
      </c>
      <c r="B33" s="254">
        <f>Multiples!P8+Dashboard!B36</f>
        <v>36.070988868535999</v>
      </c>
      <c r="C33" s="116"/>
      <c r="D33" s="70" t="s">
        <v>225</v>
      </c>
      <c r="E33" s="190">
        <f>'Projected Financials'!E130</f>
        <v>1.0550556581546688E-2</v>
      </c>
      <c r="F33" s="116"/>
    </row>
    <row r="34" spans="1:6" outlineLevel="1" x14ac:dyDescent="0.3">
      <c r="A34" s="65" t="s">
        <v>246</v>
      </c>
      <c r="B34" s="63">
        <f>'Projected Financials'!E28</f>
        <v>57375.018400473899</v>
      </c>
      <c r="C34" s="116"/>
      <c r="D34" s="70" t="s">
        <v>256</v>
      </c>
      <c r="E34" s="124">
        <f>E32%/E33</f>
        <v>34.18870709780893</v>
      </c>
      <c r="F34" s="116"/>
    </row>
    <row r="35" spans="1:6" outlineLevel="1" x14ac:dyDescent="0.3">
      <c r="A35" s="65" t="s">
        <v>247</v>
      </c>
      <c r="B35" s="63">
        <f>B34/shares</f>
        <v>189.93319120919591</v>
      </c>
      <c r="C35" s="116"/>
      <c r="D35" s="116"/>
      <c r="E35" s="116"/>
      <c r="F35" s="116"/>
    </row>
    <row r="36" spans="1:6" outlineLevel="1" x14ac:dyDescent="0.3">
      <c r="A36" s="65" t="s">
        <v>117</v>
      </c>
      <c r="B36" s="63">
        <f>B33*B35</f>
        <v>6851.0780258724253</v>
      </c>
      <c r="C36" s="116"/>
      <c r="D36" s="116"/>
      <c r="E36" s="116"/>
      <c r="F36" s="116"/>
    </row>
    <row r="37" spans="1:6" outlineLevel="1" x14ac:dyDescent="0.3">
      <c r="A37" s="65" t="s">
        <v>118</v>
      </c>
      <c r="B37" s="63">
        <f>B36*shares</f>
        <v>2069573.6500555421</v>
      </c>
      <c r="C37" s="116"/>
      <c r="D37" s="116"/>
      <c r="E37" s="116"/>
      <c r="F37" s="116"/>
    </row>
    <row r="38" spans="1:6" outlineLevel="1" x14ac:dyDescent="0.3">
      <c r="A38" s="65" t="s">
        <v>119</v>
      </c>
      <c r="B38" s="63">
        <f>NetDebt</f>
        <v>1528</v>
      </c>
      <c r="C38" s="116"/>
      <c r="D38" s="116"/>
      <c r="E38" s="116"/>
      <c r="F38" s="116"/>
    </row>
    <row r="39" spans="1:6" outlineLevel="1" x14ac:dyDescent="0.3">
      <c r="A39" s="88" t="s">
        <v>115</v>
      </c>
      <c r="B39" s="127">
        <f>B37+B38</f>
        <v>2071101.6500555421</v>
      </c>
      <c r="C39" s="116"/>
      <c r="D39" s="116"/>
      <c r="E39" s="116"/>
      <c r="F39" s="116"/>
    </row>
    <row r="40" spans="1:6" outlineLevel="1" x14ac:dyDescent="0.3">
      <c r="A40" s="116"/>
      <c r="B40" s="250"/>
      <c r="C40" s="116"/>
      <c r="D40" s="116"/>
    </row>
    <row r="41" spans="1:6" outlineLevel="1" x14ac:dyDescent="0.3">
      <c r="A41" s="116"/>
      <c r="B41" s="250"/>
      <c r="C41" s="116"/>
      <c r="D41" s="116"/>
    </row>
    <row r="42" spans="1:6" outlineLevel="1" x14ac:dyDescent="0.3">
      <c r="A42" s="4" t="s">
        <v>243</v>
      </c>
      <c r="B42" s="250"/>
      <c r="C42" s="116"/>
      <c r="D42" s="116"/>
    </row>
    <row r="43" spans="1:6" outlineLevel="1" x14ac:dyDescent="0.3">
      <c r="A43" s="66" t="s">
        <v>15</v>
      </c>
      <c r="B43" s="251"/>
      <c r="C43" s="116"/>
      <c r="D43" s="116"/>
    </row>
    <row r="44" spans="1:6" outlineLevel="1" x14ac:dyDescent="0.3">
      <c r="A44" s="70" t="s">
        <v>243</v>
      </c>
      <c r="B44" s="249">
        <f>Multiples!R8+(Dashboard!B36/4)</f>
        <v>1.2111835154066095</v>
      </c>
      <c r="C44" s="116"/>
      <c r="D44" s="116"/>
    </row>
    <row r="45" spans="1:6" outlineLevel="1" x14ac:dyDescent="0.3">
      <c r="A45" s="70" t="s">
        <v>244</v>
      </c>
      <c r="B45" s="252">
        <f>'Projected Financials'!E7</f>
        <v>680940.00000000012</v>
      </c>
      <c r="C45" s="116"/>
      <c r="D45" s="116"/>
    </row>
    <row r="46" spans="1:6" outlineLevel="1" x14ac:dyDescent="0.3">
      <c r="A46" s="70" t="s">
        <v>248</v>
      </c>
      <c r="B46" s="135">
        <f>B45/shares</f>
        <v>2254.1710805084749</v>
      </c>
      <c r="C46" s="116"/>
      <c r="D46" s="116"/>
    </row>
    <row r="47" spans="1:6" outlineLevel="1" x14ac:dyDescent="0.3">
      <c r="A47" s="65" t="s">
        <v>117</v>
      </c>
      <c r="B47" s="135">
        <f>B44*B46</f>
        <v>2730.2148536181699</v>
      </c>
      <c r="C47" s="116"/>
      <c r="D47" s="116"/>
    </row>
    <row r="48" spans="1:6" outlineLevel="1" x14ac:dyDescent="0.3">
      <c r="A48" s="65" t="s">
        <v>118</v>
      </c>
      <c r="B48" s="252">
        <f>B47*shares</f>
        <v>824743.30298097676</v>
      </c>
      <c r="C48" s="116"/>
      <c r="D48" s="116"/>
    </row>
    <row r="49" spans="1:4" outlineLevel="1" x14ac:dyDescent="0.3">
      <c r="A49" s="65" t="s">
        <v>119</v>
      </c>
      <c r="B49" s="252">
        <f>NetDebt</f>
        <v>1528</v>
      </c>
      <c r="C49" s="116"/>
      <c r="D49" s="116"/>
    </row>
    <row r="50" spans="1:4" outlineLevel="1" x14ac:dyDescent="0.3">
      <c r="A50" s="154" t="s">
        <v>115</v>
      </c>
      <c r="B50" s="127">
        <f>B48+B49</f>
        <v>826271.30298097676</v>
      </c>
      <c r="C50" s="116"/>
      <c r="D50" s="116"/>
    </row>
    <row r="51" spans="1:4" outlineLevel="1" x14ac:dyDescent="0.3">
      <c r="A51" s="116"/>
      <c r="B51" s="250"/>
      <c r="C51" s="116"/>
      <c r="D51" s="116"/>
    </row>
    <row r="52" spans="1:4" outlineLevel="1" x14ac:dyDescent="0.3">
      <c r="A52" s="116"/>
      <c r="B52" s="250"/>
      <c r="C52" s="116"/>
      <c r="D52" s="116"/>
    </row>
    <row r="53" spans="1:4" outlineLevel="1" x14ac:dyDescent="0.3">
      <c r="A53" s="4" t="s">
        <v>147</v>
      </c>
      <c r="B53" s="250"/>
      <c r="C53" s="116"/>
      <c r="D53" s="116"/>
    </row>
    <row r="54" spans="1:4" outlineLevel="1" x14ac:dyDescent="0.3">
      <c r="A54" s="66" t="s">
        <v>15</v>
      </c>
      <c r="B54" s="251"/>
      <c r="C54" s="116"/>
      <c r="D54" s="116"/>
    </row>
    <row r="55" spans="1:4" outlineLevel="1" x14ac:dyDescent="0.3">
      <c r="A55" s="70" t="s">
        <v>147</v>
      </c>
      <c r="B55" s="249">
        <f>Multiples!T8+(Dashboard!B36/3)</f>
        <v>2.1964499862376119</v>
      </c>
      <c r="C55" s="116"/>
      <c r="D55" s="116"/>
    </row>
    <row r="56" spans="1:4" outlineLevel="1" x14ac:dyDescent="0.3">
      <c r="A56" s="70" t="s">
        <v>148</v>
      </c>
      <c r="B56" s="252">
        <f>'Projected Financials'!E73/shares</f>
        <v>1744.8492242125405</v>
      </c>
      <c r="C56" s="116"/>
      <c r="D56" s="116"/>
    </row>
    <row r="57" spans="1:4" outlineLevel="1" x14ac:dyDescent="0.3">
      <c r="A57" s="70" t="s">
        <v>130</v>
      </c>
      <c r="B57" s="252">
        <f>B55*B56</f>
        <v>3832.4740545083423</v>
      </c>
      <c r="C57" s="116"/>
      <c r="D57" s="116"/>
    </row>
    <row r="58" spans="1:4" outlineLevel="1" x14ac:dyDescent="0.3">
      <c r="A58" s="70" t="s">
        <v>118</v>
      </c>
      <c r="B58" s="253">
        <f>B57*shares</f>
        <v>1157713.7623858799</v>
      </c>
      <c r="C58" s="116"/>
      <c r="D58" s="116"/>
    </row>
    <row r="59" spans="1:4" outlineLevel="1" x14ac:dyDescent="0.3">
      <c r="A59" s="70" t="s">
        <v>119</v>
      </c>
      <c r="B59" s="252">
        <f>NetDebt</f>
        <v>1528</v>
      </c>
      <c r="C59" s="116"/>
      <c r="D59" s="116"/>
    </row>
    <row r="60" spans="1:4" outlineLevel="1" x14ac:dyDescent="0.3">
      <c r="A60" s="88" t="s">
        <v>115</v>
      </c>
      <c r="B60" s="127">
        <f>B58+B59</f>
        <v>1159241.7623858799</v>
      </c>
      <c r="C60" s="116"/>
      <c r="D60" s="116"/>
    </row>
    <row r="61" spans="1:4" outlineLevel="1" x14ac:dyDescent="0.3">
      <c r="A61" s="116"/>
      <c r="B61" s="116"/>
      <c r="C61" s="116"/>
      <c r="D61" s="116"/>
    </row>
    <row r="62" spans="1:4" x14ac:dyDescent="0.3">
      <c r="A62" s="116"/>
      <c r="B62" s="116"/>
      <c r="C62" s="116"/>
      <c r="D62" s="116"/>
    </row>
    <row r="63" spans="1:4" x14ac:dyDescent="0.3">
      <c r="A63" s="116"/>
      <c r="B63" s="116"/>
      <c r="C63" s="116"/>
      <c r="D63" s="116"/>
    </row>
    <row r="64" spans="1:4" s="163" customFormat="1" ht="14.4" x14ac:dyDescent="0.3">
      <c r="A64" s="162" t="s">
        <v>120</v>
      </c>
    </row>
    <row r="65" spans="1:8" outlineLevel="1" x14ac:dyDescent="0.3">
      <c r="A65" s="116"/>
      <c r="B65" s="116"/>
      <c r="C65" s="116"/>
      <c r="D65" s="116"/>
    </row>
    <row r="66" spans="1:8" outlineLevel="1" x14ac:dyDescent="0.3">
      <c r="A66" s="272" t="s">
        <v>121</v>
      </c>
      <c r="B66" s="62" t="s">
        <v>113</v>
      </c>
      <c r="C66" s="62" t="s">
        <v>62</v>
      </c>
      <c r="D66" s="62" t="s">
        <v>118</v>
      </c>
      <c r="E66" s="62" t="s">
        <v>192</v>
      </c>
      <c r="F66" s="62" t="s">
        <v>193</v>
      </c>
      <c r="G66" s="62" t="s">
        <v>203</v>
      </c>
      <c r="H66" s="62" t="s">
        <v>122</v>
      </c>
    </row>
    <row r="67" spans="1:8" outlineLevel="1" x14ac:dyDescent="0.3">
      <c r="A67" s="272"/>
      <c r="B67" s="62" t="s">
        <v>123</v>
      </c>
      <c r="C67" s="62" t="s">
        <v>124</v>
      </c>
      <c r="D67" s="62" t="s">
        <v>191</v>
      </c>
      <c r="E67" s="62" t="s">
        <v>194</v>
      </c>
      <c r="F67" s="62" t="s">
        <v>195</v>
      </c>
      <c r="G67" s="62" t="s">
        <v>204</v>
      </c>
      <c r="H67" s="62" t="s">
        <v>124</v>
      </c>
    </row>
    <row r="68" spans="1:8" outlineLevel="1" x14ac:dyDescent="0.3">
      <c r="A68" s="65" t="s">
        <v>127</v>
      </c>
      <c r="B68" s="63">
        <f>B21</f>
        <v>743948.84104722738</v>
      </c>
      <c r="C68" s="125">
        <f>NetDebt</f>
        <v>1528</v>
      </c>
      <c r="D68" s="144">
        <f>B68-C68</f>
        <v>742420.84104722738</v>
      </c>
      <c r="E68" s="135">
        <f>$B$9</f>
        <v>192</v>
      </c>
      <c r="F68" s="135">
        <f>D68-E68</f>
        <v>742228.84104722738</v>
      </c>
      <c r="G68" s="125">
        <f>F68/shares</f>
        <v>2457.0605172379087</v>
      </c>
      <c r="H68" s="64">
        <v>0.2</v>
      </c>
    </row>
    <row r="69" spans="1:8" outlineLevel="1" x14ac:dyDescent="0.3">
      <c r="A69" s="65" t="s">
        <v>126</v>
      </c>
      <c r="B69" s="63">
        <f>B28</f>
        <v>1029776.6368005631</v>
      </c>
      <c r="C69" s="125">
        <f>NetDebt</f>
        <v>1528</v>
      </c>
      <c r="D69" s="144">
        <f t="shared" ref="D69:D72" si="0">B69-C69</f>
        <v>1028248.6368005631</v>
      </c>
      <c r="E69" s="135">
        <f t="shared" ref="E69:E72" si="1">$B$9</f>
        <v>192</v>
      </c>
      <c r="F69" s="135">
        <f t="shared" ref="F69:F72" si="2">D69-E69</f>
        <v>1028056.6368005631</v>
      </c>
      <c r="G69" s="125">
        <f>F69/shares</f>
        <v>3403.2595233069487</v>
      </c>
      <c r="H69" s="64">
        <v>0.2</v>
      </c>
    </row>
    <row r="70" spans="1:8" outlineLevel="1" x14ac:dyDescent="0.3">
      <c r="A70" s="71" t="str">
        <f>A33</f>
        <v>P/E Multiple</v>
      </c>
      <c r="B70" s="63">
        <f>B39</f>
        <v>2071101.6500555421</v>
      </c>
      <c r="C70" s="125">
        <f>NetDebt</f>
        <v>1528</v>
      </c>
      <c r="D70" s="144">
        <f t="shared" si="0"/>
        <v>2069573.6500555421</v>
      </c>
      <c r="E70" s="135">
        <f t="shared" si="1"/>
        <v>192</v>
      </c>
      <c r="F70" s="135">
        <f t="shared" si="2"/>
        <v>2069381.6500555421</v>
      </c>
      <c r="G70" s="125">
        <f>F70/shares</f>
        <v>6850.4424326520866</v>
      </c>
      <c r="H70" s="64">
        <v>0.2</v>
      </c>
    </row>
    <row r="71" spans="1:8" outlineLevel="1" x14ac:dyDescent="0.3">
      <c r="A71" s="65" t="s">
        <v>149</v>
      </c>
      <c r="B71" s="63">
        <f>B50</f>
        <v>826271.30298097676</v>
      </c>
      <c r="C71" s="125">
        <f>NetDebt</f>
        <v>1528</v>
      </c>
      <c r="D71" s="144">
        <f t="shared" si="0"/>
        <v>824743.30298097676</v>
      </c>
      <c r="E71" s="135">
        <f t="shared" si="1"/>
        <v>192</v>
      </c>
      <c r="F71" s="135">
        <f t="shared" si="2"/>
        <v>824551.30298097676</v>
      </c>
      <c r="G71" s="125">
        <f>F71/shares</f>
        <v>2729.5792603978311</v>
      </c>
      <c r="H71" s="64">
        <v>0.2</v>
      </c>
    </row>
    <row r="72" spans="1:8" outlineLevel="1" x14ac:dyDescent="0.3">
      <c r="A72" s="65" t="s">
        <v>241</v>
      </c>
      <c r="B72" s="63">
        <f>B60</f>
        <v>1159241.7623858799</v>
      </c>
      <c r="C72" s="125">
        <f>NetDebt</f>
        <v>1528</v>
      </c>
      <c r="D72" s="144">
        <f t="shared" si="0"/>
        <v>1157713.7623858799</v>
      </c>
      <c r="E72" s="135">
        <f t="shared" si="1"/>
        <v>192</v>
      </c>
      <c r="F72" s="135">
        <f t="shared" si="2"/>
        <v>1157521.7623858799</v>
      </c>
      <c r="G72" s="125">
        <f>F72/shares</f>
        <v>3831.8384612880031</v>
      </c>
      <c r="H72" s="64">
        <v>0.2</v>
      </c>
    </row>
    <row r="73" spans="1:8" outlineLevel="1" x14ac:dyDescent="0.3">
      <c r="A73" s="157" t="s">
        <v>118</v>
      </c>
      <c r="B73" s="158"/>
      <c r="C73" s="158"/>
      <c r="D73" s="158"/>
      <c r="E73" s="159"/>
      <c r="F73" s="143">
        <f>SUMPRODUCT(F68:F72,$H$68:$H$72)</f>
        <v>1164348.0386540378</v>
      </c>
      <c r="G73" s="161">
        <f>SUMPRODUCT(G68:G72,$H$68:$H$72)</f>
        <v>3854.4360389765561</v>
      </c>
    </row>
    <row r="74" spans="1:8" x14ac:dyDescent="0.3">
      <c r="B74" s="126"/>
    </row>
  </sheetData>
  <mergeCells count="1">
    <mergeCell ref="A66:A67"/>
  </mergeCells>
  <pageMargins left="0.7" right="0.7" top="0.75" bottom="0.75" header="0.3" footer="0.3"/>
  <pageSetup paperSize="9" orientation="portrait" r:id="rId1"/>
  <pictur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3:U17"/>
  <sheetViews>
    <sheetView showGridLines="0" zoomScale="110" zoomScaleNormal="110" workbookViewId="0">
      <pane xSplit="1" ySplit="4" topLeftCell="B5" activePane="bottomRight" state="frozen"/>
      <selection pane="topRight" activeCell="B1" sqref="B1"/>
      <selection pane="bottomLeft" activeCell="A5" sqref="A5"/>
      <selection pane="bottomRight" activeCell="M17" sqref="M17"/>
    </sheetView>
  </sheetViews>
  <sheetFormatPr defaultColWidth="9.109375" defaultRowHeight="13.8" x14ac:dyDescent="0.3"/>
  <cols>
    <col min="1" max="1" width="22.33203125" style="3" bestFit="1" customWidth="1"/>
    <col min="2" max="2" width="10.33203125" style="3" bestFit="1" customWidth="1"/>
    <col min="3" max="3" width="10.33203125" style="3" customWidth="1"/>
    <col min="4" max="6" width="11.5546875" style="3" customWidth="1"/>
    <col min="7" max="7" width="11" style="3" bestFit="1" customWidth="1"/>
    <col min="8" max="8" width="9.5546875" style="3" customWidth="1"/>
    <col min="9" max="9" width="12.21875" style="3" customWidth="1"/>
    <col min="10" max="10" width="11.6640625" style="3" customWidth="1"/>
    <col min="11" max="11" width="11.77734375" style="3" customWidth="1"/>
    <col min="12" max="12" width="9.33203125" style="3" bestFit="1" customWidth="1"/>
    <col min="13" max="13" width="9.109375" style="3"/>
    <col min="14" max="14" width="9.33203125" style="3" bestFit="1" customWidth="1"/>
    <col min="15" max="15" width="9.109375" style="3"/>
    <col min="16" max="16" width="9.33203125" style="3" bestFit="1" customWidth="1"/>
    <col min="17" max="18" width="9.109375" style="3"/>
    <col min="19" max="19" width="9.33203125" style="3" bestFit="1" customWidth="1"/>
    <col min="20" max="21" width="9.33203125" style="3" customWidth="1"/>
    <col min="22" max="22" width="9.109375" style="3"/>
    <col min="23" max="23" width="13" style="3" customWidth="1"/>
    <col min="24" max="16384" width="9.109375" style="3"/>
  </cols>
  <sheetData>
    <row r="3" spans="1:21" ht="14.4" x14ac:dyDescent="0.3">
      <c r="A3" s="5" t="s">
        <v>208</v>
      </c>
      <c r="L3" s="273" t="s">
        <v>127</v>
      </c>
      <c r="M3" s="273"/>
      <c r="N3" s="273" t="s">
        <v>126</v>
      </c>
      <c r="O3" s="273"/>
      <c r="P3" s="273" t="s">
        <v>128</v>
      </c>
      <c r="Q3" s="273"/>
      <c r="R3" s="273" t="s">
        <v>149</v>
      </c>
      <c r="S3" s="273"/>
      <c r="T3" s="274" t="s">
        <v>241</v>
      </c>
      <c r="U3" s="275"/>
    </row>
    <row r="4" spans="1:21" ht="69" x14ac:dyDescent="0.3">
      <c r="A4" s="58" t="s">
        <v>129</v>
      </c>
      <c r="B4" s="58" t="s">
        <v>130</v>
      </c>
      <c r="C4" s="59" t="s">
        <v>325</v>
      </c>
      <c r="D4" s="59" t="s">
        <v>324</v>
      </c>
      <c r="E4" s="59" t="s">
        <v>327</v>
      </c>
      <c r="F4" s="59" t="s">
        <v>326</v>
      </c>
      <c r="G4" s="59" t="s">
        <v>321</v>
      </c>
      <c r="H4" s="59" t="s">
        <v>150</v>
      </c>
      <c r="I4" s="59" t="s">
        <v>320</v>
      </c>
      <c r="J4" s="59" t="s">
        <v>322</v>
      </c>
      <c r="K4" s="59" t="s">
        <v>323</v>
      </c>
      <c r="L4" s="59" t="s">
        <v>215</v>
      </c>
      <c r="M4" s="59" t="s">
        <v>216</v>
      </c>
      <c r="N4" s="59" t="str">
        <f>L4</f>
        <v>TTM</v>
      </c>
      <c r="O4" s="59" t="str">
        <f t="shared" ref="O4" si="0">M4</f>
        <v>12m 
Fwd</v>
      </c>
      <c r="P4" s="59" t="str">
        <f>N4</f>
        <v>TTM</v>
      </c>
      <c r="Q4" s="59" t="str">
        <f>O4</f>
        <v>12m 
Fwd</v>
      </c>
      <c r="R4" s="59" t="str">
        <f>P4</f>
        <v>TTM</v>
      </c>
      <c r="S4" s="59" t="str">
        <f t="shared" ref="S4:U4" si="1">Q4</f>
        <v>12m 
Fwd</v>
      </c>
      <c r="T4" s="59" t="str">
        <f t="shared" si="1"/>
        <v>TTM</v>
      </c>
      <c r="U4" s="59" t="str">
        <f t="shared" si="1"/>
        <v>12m 
Fwd</v>
      </c>
    </row>
    <row r="5" spans="1:21" x14ac:dyDescent="0.3">
      <c r="A5" s="8" t="s">
        <v>257</v>
      </c>
      <c r="B5" s="18">
        <v>6779.55</v>
      </c>
      <c r="C5" s="9">
        <f>shares</f>
        <v>302.08</v>
      </c>
      <c r="D5" s="9">
        <f t="shared" ref="D5:D7" si="2">B5*C5</f>
        <v>2047966.4639999999</v>
      </c>
      <c r="E5" s="9">
        <f>'Past Financials'!D52</f>
        <v>192</v>
      </c>
      <c r="F5" s="9">
        <f>'Past Financials'!D105</f>
        <v>1528</v>
      </c>
      <c r="G5" s="9">
        <f>D5+E5+F5</f>
        <v>2049686.4639999999</v>
      </c>
      <c r="H5" s="9">
        <f>'Past Financials'!D51</f>
        <v>494130</v>
      </c>
      <c r="I5" s="9">
        <f>'Past Financials'!D19</f>
        <v>756600</v>
      </c>
      <c r="J5" s="9">
        <f>'Past Financials'!D30</f>
        <v>106470</v>
      </c>
      <c r="K5" s="9">
        <f>'Past Financials'!D40</f>
        <v>56776</v>
      </c>
      <c r="L5" s="248">
        <f>G5/I5</f>
        <v>2.7090754216230506</v>
      </c>
      <c r="M5" s="197"/>
      <c r="N5" s="34">
        <f>G5/J5</f>
        <v>19.251305193951346</v>
      </c>
      <c r="O5" s="208"/>
      <c r="P5" s="16">
        <f>IF(K5&gt;0,D5/K5,"")</f>
        <v>36.070988868535999</v>
      </c>
      <c r="Q5" s="16"/>
      <c r="R5" s="16">
        <f>D5/I5</f>
        <v>2.7068020935765267</v>
      </c>
      <c r="S5" s="16"/>
      <c r="T5" s="16">
        <f>IF(H5&gt;0,D5/H5,"")</f>
        <v>4.1445904195252261</v>
      </c>
      <c r="U5" s="16"/>
    </row>
    <row r="6" spans="1:21" x14ac:dyDescent="0.3">
      <c r="A6" s="8" t="s">
        <v>266</v>
      </c>
      <c r="B6" s="18">
        <v>119.1</v>
      </c>
      <c r="C6" s="9">
        <v>3088.9738940000002</v>
      </c>
      <c r="D6" s="9">
        <f t="shared" si="2"/>
        <v>367896.7907754</v>
      </c>
      <c r="E6" s="9">
        <v>956.2</v>
      </c>
      <c r="F6" s="9">
        <v>871874.7</v>
      </c>
      <c r="G6" s="9">
        <f t="shared" ref="G6:G7" si="3">D6+E6+F6</f>
        <v>1240727.6907754</v>
      </c>
      <c r="H6" s="9">
        <v>637964.70000000007</v>
      </c>
      <c r="I6" s="9">
        <v>2585943.6</v>
      </c>
      <c r="J6" s="9">
        <v>209602.2</v>
      </c>
      <c r="K6" s="9">
        <v>-119752.3</v>
      </c>
      <c r="L6" s="248">
        <f t="shared" ref="L6:L7" si="4">G6/I6</f>
        <v>0.47979688759468692</v>
      </c>
      <c r="M6" s="197"/>
      <c r="N6" s="34">
        <f t="shared" ref="N6:N7" si="5">G6/J6</f>
        <v>5.9194402099567656</v>
      </c>
      <c r="O6" s="16"/>
      <c r="P6" s="16" t="str">
        <f t="shared" ref="P6:P7" si="6">IF(K6&gt;0,D6/K6,"")</f>
        <v/>
      </c>
      <c r="Q6" s="16"/>
      <c r="R6" s="16">
        <f t="shared" ref="R6:R7" si="7">D6/I6</f>
        <v>0.14226790977784665</v>
      </c>
      <c r="S6" s="16"/>
      <c r="T6" s="16">
        <f t="shared" ref="T6:T7" si="8">IF(H6&gt;0,D6/H6,"")</f>
        <v>0.5766726447018149</v>
      </c>
      <c r="U6" s="16"/>
    </row>
    <row r="7" spans="1:21" x14ac:dyDescent="0.3">
      <c r="A7" s="8" t="s">
        <v>267</v>
      </c>
      <c r="B7" s="18">
        <v>600.6</v>
      </c>
      <c r="C7" s="9">
        <v>1243.192544</v>
      </c>
      <c r="D7" s="9">
        <f t="shared" si="2"/>
        <v>746661.44192640006</v>
      </c>
      <c r="E7" s="9">
        <v>76917.399999999994</v>
      </c>
      <c r="F7" s="9">
        <v>577705.5</v>
      </c>
      <c r="G7" s="9">
        <f t="shared" si="3"/>
        <v>1401284.3419264001</v>
      </c>
      <c r="H7" s="9">
        <v>399693.1</v>
      </c>
      <c r="I7" s="9">
        <v>951790.9</v>
      </c>
      <c r="J7" s="9">
        <v>136268.6</v>
      </c>
      <c r="K7" s="9">
        <v>-3210</v>
      </c>
      <c r="L7" s="248">
        <f t="shared" si="4"/>
        <v>1.4722607055041186</v>
      </c>
      <c r="M7" s="197"/>
      <c r="N7" s="34">
        <f t="shared" si="5"/>
        <v>10.283251915161674</v>
      </c>
      <c r="O7" s="16"/>
      <c r="P7" s="16" t="str">
        <f t="shared" si="6"/>
        <v/>
      </c>
      <c r="Q7" s="16"/>
      <c r="R7" s="16">
        <f t="shared" si="7"/>
        <v>0.7844805428654551</v>
      </c>
      <c r="S7" s="16"/>
      <c r="T7" s="16">
        <f t="shared" si="8"/>
        <v>1.8680868944857945</v>
      </c>
      <c r="U7" s="16"/>
    </row>
    <row r="8" spans="1:21" x14ac:dyDescent="0.3">
      <c r="I8" s="25">
        <f>SUM(I5:I7)</f>
        <v>4294334.5</v>
      </c>
      <c r="K8" s="102" t="s">
        <v>131</v>
      </c>
      <c r="L8" s="103">
        <f>AVERAGE(L5:L7)</f>
        <v>1.5537110049072853</v>
      </c>
      <c r="M8" s="104"/>
      <c r="N8" s="103">
        <f>AVERAGE(N5:N7)</f>
        <v>11.817999106356595</v>
      </c>
      <c r="O8" s="104"/>
      <c r="P8" s="103">
        <f>AVERAGE(P5:P7)</f>
        <v>36.070988868535999</v>
      </c>
      <c r="Q8" s="105"/>
      <c r="R8" s="103">
        <f>AVERAGE(R5:R7)</f>
        <v>1.2111835154066095</v>
      </c>
      <c r="S8" s="106"/>
      <c r="T8" s="103">
        <f>AVERAGE(T5:T7)</f>
        <v>2.1964499862376119</v>
      </c>
      <c r="U8" s="182"/>
    </row>
    <row r="9" spans="1:21" x14ac:dyDescent="0.3">
      <c r="K9" s="60" t="s">
        <v>125</v>
      </c>
      <c r="L9" s="97">
        <f>SUMPRODUCT($I$5:$I$7,L5:L7)/SUM($I$5:$I$7)</f>
        <v>1.0925321482762465</v>
      </c>
      <c r="M9" s="98"/>
      <c r="N9" s="97">
        <f>SUMPRODUCT($I$5:$I$7,N5:N7)/SUM($I$5:$I$7)</f>
        <v>9.2355128906521831</v>
      </c>
      <c r="O9" s="98"/>
      <c r="P9" s="97">
        <f>SUMPRODUCT($I$5:$I$7,P5:P7)/SUM($I$5:$I$7)</f>
        <v>6.3551896523045279</v>
      </c>
      <c r="Q9" s="92"/>
      <c r="R9" s="97">
        <f>SUMPRODUCT($I$5:$I$7,R5:R7)/SUM($I$5:$I$7)</f>
        <v>0.73644116374767743</v>
      </c>
      <c r="S9" s="107"/>
      <c r="T9" s="97">
        <f>SUMPRODUCT($I$5:$I$7,T5:T7)/SUM($I$5:$I$7)</f>
        <v>1.4915158921260927</v>
      </c>
      <c r="U9" s="183"/>
    </row>
    <row r="10" spans="1:21" x14ac:dyDescent="0.3">
      <c r="K10" s="61" t="s">
        <v>132</v>
      </c>
      <c r="L10" s="99">
        <f>MEDIAN(L5:L7)</f>
        <v>1.4722607055041186</v>
      </c>
      <c r="M10" s="100"/>
      <c r="N10" s="99">
        <f>MEDIAN(N5:N7)</f>
        <v>10.283251915161674</v>
      </c>
      <c r="O10" s="100"/>
      <c r="P10" s="99">
        <f>MEDIAN(P5:P7)</f>
        <v>36.070988868535999</v>
      </c>
      <c r="Q10" s="108"/>
      <c r="R10" s="99">
        <f>MEDIAN(R5:R7)</f>
        <v>0.7844805428654551</v>
      </c>
      <c r="S10" s="109"/>
      <c r="T10" s="99">
        <f>MEDIAN(T5:T7)</f>
        <v>1.8680868944857945</v>
      </c>
      <c r="U10" s="184"/>
    </row>
    <row r="13" spans="1:21" x14ac:dyDescent="0.3">
      <c r="L13" s="46" t="s">
        <v>242</v>
      </c>
    </row>
    <row r="17" ht="13.5" customHeight="1" x14ac:dyDescent="0.3"/>
  </sheetData>
  <mergeCells count="5">
    <mergeCell ref="R3:S3"/>
    <mergeCell ref="T3:U3"/>
    <mergeCell ref="L3:M3"/>
    <mergeCell ref="N3:O3"/>
    <mergeCell ref="P3:Q3"/>
  </mergeCells>
  <pageMargins left="0.7" right="0.7" top="0.75" bottom="0.75" header="0.3" footer="0.3"/>
  <pageSetup orientation="portrait" horizontalDpi="1200" verticalDpi="1200" r:id="rId1"/>
  <picture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L53"/>
  <sheetViews>
    <sheetView showGridLines="0" tabSelected="1" topLeftCell="A37" zoomScale="120" zoomScaleNormal="120" workbookViewId="0">
      <selection activeCell="M3" sqref="M3"/>
    </sheetView>
  </sheetViews>
  <sheetFormatPr defaultColWidth="9.109375" defaultRowHeight="13.8" x14ac:dyDescent="0.3"/>
  <cols>
    <col min="1" max="1" width="22.5546875" style="3" bestFit="1" customWidth="1"/>
    <col min="2" max="2" width="11" style="3" customWidth="1"/>
    <col min="3" max="4" width="11" style="3" bestFit="1" customWidth="1"/>
    <col min="5" max="6" width="10.109375" style="3" bestFit="1" customWidth="1"/>
    <col min="7" max="9" width="11.109375" style="3" bestFit="1" customWidth="1"/>
    <col min="10" max="10" width="18.6640625" style="3" bestFit="1" customWidth="1"/>
    <col min="11" max="11" width="10.6640625" style="3" customWidth="1"/>
    <col min="12" max="16384" width="9.109375" style="3"/>
  </cols>
  <sheetData>
    <row r="1" spans="1:12" x14ac:dyDescent="0.3">
      <c r="H1" s="3" t="s">
        <v>254</v>
      </c>
      <c r="I1" s="3" t="s">
        <v>255</v>
      </c>
    </row>
    <row r="2" spans="1:12" x14ac:dyDescent="0.3">
      <c r="A2" s="3" t="s">
        <v>138</v>
      </c>
      <c r="B2" s="3">
        <v>1</v>
      </c>
      <c r="G2" s="3" t="s">
        <v>146</v>
      </c>
      <c r="H2" s="111">
        <v>-0.1</v>
      </c>
      <c r="I2" s="258">
        <v>0.70266058683584454</v>
      </c>
    </row>
    <row r="3" spans="1:12" x14ac:dyDescent="0.3">
      <c r="G3" s="3" t="s">
        <v>252</v>
      </c>
      <c r="H3" s="111">
        <v>0.05</v>
      </c>
      <c r="I3" s="111">
        <v>0.65</v>
      </c>
    </row>
    <row r="4" spans="1:12" x14ac:dyDescent="0.3">
      <c r="A4" s="8" t="s">
        <v>328</v>
      </c>
      <c r="B4" s="187">
        <f>INDEX(H2:H4,B2)</f>
        <v>-0.1</v>
      </c>
      <c r="G4" s="3" t="s">
        <v>253</v>
      </c>
      <c r="H4" s="111">
        <v>-0.15</v>
      </c>
      <c r="I4" s="111">
        <v>0.75</v>
      </c>
    </row>
    <row r="5" spans="1:12" x14ac:dyDescent="0.3">
      <c r="A5" s="8" t="s">
        <v>330</v>
      </c>
      <c r="B5" s="187">
        <f>INDEX(I2:I4,B2)</f>
        <v>0.70266058683584454</v>
      </c>
    </row>
    <row r="8" spans="1:12" x14ac:dyDescent="0.3">
      <c r="D8" s="15"/>
      <c r="E8" s="14"/>
      <c r="F8" s="14"/>
      <c r="G8" s="14"/>
      <c r="H8" s="14"/>
      <c r="I8" s="14"/>
    </row>
    <row r="9" spans="1:12" x14ac:dyDescent="0.3">
      <c r="A9" s="6" t="str">
        <f>'Projected Financials'!A4</f>
        <v>Particulars</v>
      </c>
      <c r="B9" s="21" t="str">
        <f>'Projected Financials'!B4</f>
        <v>FY18</v>
      </c>
      <c r="C9" s="21" t="str">
        <f>'Projected Financials'!C4</f>
        <v>FY19</v>
      </c>
      <c r="D9" s="21" t="str">
        <f>'Projected Financials'!D4</f>
        <v>FY20</v>
      </c>
      <c r="E9" s="172" t="str">
        <f>'Projected Financials'!E4</f>
        <v>FY21</v>
      </c>
      <c r="F9" s="172" t="str">
        <f>'Projected Financials'!F4</f>
        <v>FY22</v>
      </c>
      <c r="G9" s="172" t="str">
        <f>'Projected Financials'!G4</f>
        <v>FY23</v>
      </c>
    </row>
    <row r="10" spans="1:12" x14ac:dyDescent="0.3">
      <c r="A10" s="8" t="s">
        <v>307</v>
      </c>
      <c r="B10" s="34">
        <f>'Projected Financials'!B5</f>
        <v>1.779574</v>
      </c>
      <c r="C10" s="34">
        <f>'Projected Financials'!C5</f>
        <v>1.862449</v>
      </c>
      <c r="D10" s="34">
        <f>'Projected Financials'!D5</f>
        <v>1.5632969999999999</v>
      </c>
      <c r="E10" s="34">
        <f>'Projected Financials'!E5</f>
        <v>1.4069673</v>
      </c>
      <c r="F10" s="34">
        <f>'Projected Financials'!F5</f>
        <v>1.655846473474927</v>
      </c>
      <c r="G10" s="34">
        <f>'Projected Financials'!G5</f>
        <v>1.9487500126828476</v>
      </c>
      <c r="I10" s="22" t="s">
        <v>269</v>
      </c>
      <c r="J10" s="26">
        <f>B10</f>
        <v>1.779574</v>
      </c>
      <c r="K10" s="3" t="s">
        <v>331</v>
      </c>
      <c r="L10" s="200">
        <f>(J12/J10)^(0.5)-1</f>
        <v>-6.2734305853647476E-2</v>
      </c>
    </row>
    <row r="11" spans="1:12" x14ac:dyDescent="0.3">
      <c r="A11" s="8" t="s">
        <v>4</v>
      </c>
      <c r="B11" s="9">
        <f>'Projected Financials'!B9</f>
        <v>840869</v>
      </c>
      <c r="C11" s="9">
        <f>'Projected Financials'!C9</f>
        <v>886301</v>
      </c>
      <c r="D11" s="9">
        <f>'Projected Financials'!D9</f>
        <v>789944</v>
      </c>
      <c r="E11" s="9">
        <f>'Projected Financials'!E9</f>
        <v>710949.60000000009</v>
      </c>
      <c r="F11" s="9">
        <f>'Projected Financials'!F9</f>
        <v>836709.84249485412</v>
      </c>
      <c r="G11" s="9">
        <f>'Projected Financials'!G9</f>
        <v>984715.87933626154</v>
      </c>
      <c r="I11" s="22" t="s">
        <v>270</v>
      </c>
      <c r="J11" s="26">
        <f>C10</f>
        <v>1.862449</v>
      </c>
    </row>
    <row r="12" spans="1:12" x14ac:dyDescent="0.3">
      <c r="A12" s="8" t="str">
        <f>'Projected Financials'!A18</f>
        <v>EBITDA</v>
      </c>
      <c r="B12" s="9">
        <f>'Projected Financials'!B18</f>
        <v>141092</v>
      </c>
      <c r="C12" s="9">
        <f>'Projected Financials'!C18</f>
        <v>135648</v>
      </c>
      <c r="D12" s="9">
        <f>'Projected Financials'!D18</f>
        <v>106470</v>
      </c>
      <c r="E12" s="9">
        <f>'Projected Financials'!E18</f>
        <v>111501.83525192866</v>
      </c>
      <c r="F12" s="9">
        <f>'Projected Financials'!F18</f>
        <v>126943.83544713701</v>
      </c>
      <c r="G12" s="9">
        <f>'Projected Financials'!G18</f>
        <v>146822.80676769873</v>
      </c>
      <c r="I12" s="22" t="s">
        <v>272</v>
      </c>
      <c r="J12" s="26">
        <f>D10</f>
        <v>1.5632969999999999</v>
      </c>
    </row>
    <row r="13" spans="1:12" x14ac:dyDescent="0.3">
      <c r="A13" s="8" t="s">
        <v>47</v>
      </c>
      <c r="B13" s="27">
        <f>B12/B11</f>
        <v>0.16779308072957858</v>
      </c>
      <c r="C13" s="27">
        <f t="shared" ref="C13:G13" si="0">C12/C11</f>
        <v>0.15304958473475716</v>
      </c>
      <c r="D13" s="27">
        <f t="shared" si="0"/>
        <v>0.13478170604498546</v>
      </c>
      <c r="E13" s="27">
        <f t="shared" si="0"/>
        <v>0.15683507698988597</v>
      </c>
      <c r="F13" s="27">
        <f t="shared" si="0"/>
        <v>0.15171787040131265</v>
      </c>
      <c r="G13" s="27">
        <f t="shared" si="0"/>
        <v>0.14910169506625937</v>
      </c>
      <c r="I13" s="22" t="s">
        <v>301</v>
      </c>
      <c r="J13" s="26">
        <f>E10</f>
        <v>1.4069673</v>
      </c>
      <c r="K13" s="3" t="s">
        <v>332</v>
      </c>
      <c r="L13" s="200">
        <f>(J15/J12)^(1/3)-1</f>
        <v>7.6229467152818087E-2</v>
      </c>
    </row>
    <row r="14" spans="1:12" x14ac:dyDescent="0.3">
      <c r="A14" s="8" t="str">
        <f>'Projected Financials'!A27</f>
        <v>PAT</v>
      </c>
      <c r="B14" s="9">
        <f>'Projected Financials'!B28</f>
        <v>78807</v>
      </c>
      <c r="C14" s="9">
        <f>'Projected Financials'!C28</f>
        <v>76506</v>
      </c>
      <c r="D14" s="9">
        <f>'Projected Financials'!D28</f>
        <v>56776</v>
      </c>
      <c r="E14" s="9">
        <f>'Projected Financials'!E28</f>
        <v>57375.018400473899</v>
      </c>
      <c r="F14" s="9">
        <f>'Projected Financials'!F28</f>
        <v>69342.5659748373</v>
      </c>
      <c r="G14" s="9">
        <f>'Projected Financials'!G28</f>
        <v>82362.544604191527</v>
      </c>
      <c r="I14" s="22" t="s">
        <v>302</v>
      </c>
      <c r="J14" s="26">
        <f>F10</f>
        <v>1.655846473474927</v>
      </c>
    </row>
    <row r="15" spans="1:12" x14ac:dyDescent="0.3">
      <c r="A15" s="8" t="str">
        <f>'Projected Financials'!A29</f>
        <v>Dividend</v>
      </c>
      <c r="B15" s="9">
        <f>'Projected Financials'!B29</f>
        <v>22656</v>
      </c>
      <c r="C15" s="9">
        <f>'Projected Financials'!C29</f>
        <v>24166</v>
      </c>
      <c r="D15" s="9">
        <f>'Projected Financials'!D29</f>
        <v>24166</v>
      </c>
      <c r="E15" s="9">
        <f>'Projected Financials'!E29</f>
        <v>24420.96475034966</v>
      </c>
      <c r="F15" s="9">
        <f>'Projected Financials'!F29</f>
        <v>29514.802898194979</v>
      </c>
      <c r="G15" s="9">
        <f>'Projected Financials'!G29</f>
        <v>35056.595267452663</v>
      </c>
      <c r="I15" s="22" t="s">
        <v>303</v>
      </c>
      <c r="J15" s="26">
        <f>G10</f>
        <v>1.9487500126828476</v>
      </c>
    </row>
    <row r="16" spans="1:12" x14ac:dyDescent="0.3">
      <c r="A16" s="8" t="s">
        <v>205</v>
      </c>
      <c r="B16" s="9">
        <f>'Projected Financials'!B92</f>
        <v>155209</v>
      </c>
      <c r="C16" s="9">
        <f>'Projected Financials'!C92</f>
        <v>170442</v>
      </c>
      <c r="D16" s="9">
        <f>'Projected Financials'!D92</f>
        <v>165415</v>
      </c>
      <c r="E16" s="9">
        <f>'Projected Financials'!E92</f>
        <v>173356.44209769671</v>
      </c>
      <c r="F16" s="9">
        <f>'Projected Financials'!F92</f>
        <v>189576.15851273743</v>
      </c>
      <c r="G16" s="9">
        <f>'Projected Financials'!G92</f>
        <v>212344.21529116813</v>
      </c>
      <c r="I16" s="22"/>
    </row>
    <row r="17" spans="1:12" x14ac:dyDescent="0.3">
      <c r="A17" s="8" t="s">
        <v>61</v>
      </c>
      <c r="B17" s="9">
        <f>'Projected Financials'!B109</f>
        <v>1208</v>
      </c>
      <c r="C17" s="9">
        <f>'Projected Financials'!C109</f>
        <v>1576</v>
      </c>
      <c r="D17" s="9">
        <f>'Projected Financials'!D109</f>
        <v>1818</v>
      </c>
      <c r="E17" s="9">
        <f>'Projected Financials'!E109</f>
        <v>1808.5231504571902</v>
      </c>
      <c r="F17" s="9">
        <f>'Projected Financials'!F109</f>
        <v>1604.0496413067788</v>
      </c>
      <c r="G17" s="9">
        <f>'Projected Financials'!G109</f>
        <v>1243.9876042110213</v>
      </c>
    </row>
    <row r="18" spans="1:12" x14ac:dyDescent="0.3">
      <c r="A18" s="8" t="s">
        <v>140</v>
      </c>
      <c r="B18" s="259">
        <f>'Projected Financials'!B118</f>
        <v>2.837312538901481E-3</v>
      </c>
      <c r="C18" s="259">
        <f>'Projected Financials'!C118</f>
        <v>3.3453832225635062E-3</v>
      </c>
      <c r="D18" s="259">
        <f>'Projected Financials'!D118</f>
        <v>3.6777646958864869E-3</v>
      </c>
      <c r="E18" s="259">
        <f>'Projected Financials'!E118</f>
        <v>3.4299360608878358E-3</v>
      </c>
      <c r="F18" s="259">
        <f>'Projected Financials'!F118</f>
        <v>2.8284938206995314E-3</v>
      </c>
      <c r="G18" s="259">
        <f>'Projected Financials'!G118</f>
        <v>2.0246872249137437E-3</v>
      </c>
    </row>
    <row r="19" spans="1:12" x14ac:dyDescent="0.3">
      <c r="A19" s="10" t="s">
        <v>196</v>
      </c>
      <c r="B19" s="11">
        <f>Valuation!F73</f>
        <v>1164348.0386540378</v>
      </c>
    </row>
    <row r="20" spans="1:12" x14ac:dyDescent="0.3">
      <c r="A20" s="10" t="s">
        <v>141</v>
      </c>
      <c r="B20" s="11">
        <f>Valuation!G73</f>
        <v>3854.4360389765561</v>
      </c>
      <c r="C20" s="44"/>
    </row>
    <row r="25" spans="1:12" x14ac:dyDescent="0.3">
      <c r="A25" s="4" t="s">
        <v>139</v>
      </c>
    </row>
    <row r="26" spans="1:12" x14ac:dyDescent="0.3">
      <c r="A26" s="276" t="s">
        <v>328</v>
      </c>
      <c r="B26" s="276"/>
      <c r="D26" s="276" t="s">
        <v>251</v>
      </c>
      <c r="E26" s="276"/>
      <c r="G26" s="276" t="s">
        <v>329</v>
      </c>
      <c r="H26" s="276"/>
      <c r="K26" s="91"/>
      <c r="L26" s="91"/>
    </row>
    <row r="27" spans="1:12" x14ac:dyDescent="0.3">
      <c r="A27" s="89">
        <v>0</v>
      </c>
      <c r="B27" s="25">
        <f>$B$20</f>
        <v>3854.4360389765561</v>
      </c>
      <c r="D27" s="89">
        <v>0</v>
      </c>
      <c r="E27" s="25">
        <f>$B$20</f>
        <v>3854.4360389765561</v>
      </c>
      <c r="G27" s="89">
        <v>0</v>
      </c>
      <c r="H27" s="25">
        <f>$B$20</f>
        <v>3854.4360389765561</v>
      </c>
      <c r="K27" s="25"/>
      <c r="L27" s="25"/>
    </row>
    <row r="28" spans="1:12" x14ac:dyDescent="0.3">
      <c r="A28" s="89">
        <v>0.03</v>
      </c>
      <c r="B28" s="20">
        <f t="dataTable" ref="B28:B29" dt2D="0" dtr="0" r1="A27" ca="1"/>
        <v>3980.5276080078183</v>
      </c>
      <c r="D28" s="89">
        <v>0.01</v>
      </c>
      <c r="E28" s="20">
        <f t="dataTable" ref="E28:E29" dt2D="0" dtr="0" r1="D27"/>
        <v>3892.2635096859367</v>
      </c>
      <c r="G28" s="89">
        <v>-0.01</v>
      </c>
      <c r="H28" s="20">
        <f t="dataTable" ref="H28:H29" dt2D="0" dtr="0" r1="G27" ca="1"/>
        <v>4022.0210561383515</v>
      </c>
      <c r="K28" s="25"/>
      <c r="L28" s="25"/>
    </row>
    <row r="29" spans="1:12" x14ac:dyDescent="0.3">
      <c r="A29" s="89">
        <f>-A28</f>
        <v>-0.03</v>
      </c>
      <c r="B29" s="20">
        <v>3728.3444699452939</v>
      </c>
      <c r="D29" s="89">
        <f>-D28</f>
        <v>-0.01</v>
      </c>
      <c r="E29" s="20">
        <v>3816.6085682671778</v>
      </c>
      <c r="G29" s="89">
        <f>-G28</f>
        <v>0.01</v>
      </c>
      <c r="H29" s="20">
        <v>3686.8510218147608</v>
      </c>
      <c r="K29" s="25"/>
      <c r="L29" s="25"/>
    </row>
    <row r="30" spans="1:12" x14ac:dyDescent="0.3">
      <c r="A30" s="89"/>
      <c r="B30" s="20"/>
      <c r="D30" s="89"/>
      <c r="E30" s="20"/>
      <c r="G30" s="90"/>
      <c r="H30" s="20"/>
    </row>
    <row r="34" spans="1:6" x14ac:dyDescent="0.3">
      <c r="A34" s="4" t="s">
        <v>145</v>
      </c>
    </row>
    <row r="35" spans="1:6" x14ac:dyDescent="0.3">
      <c r="A35" s="255" t="s">
        <v>142</v>
      </c>
      <c r="B35" s="256" t="s">
        <v>146</v>
      </c>
      <c r="C35" s="256" t="s">
        <v>143</v>
      </c>
      <c r="D35" s="256" t="s">
        <v>144</v>
      </c>
    </row>
    <row r="36" spans="1:6" x14ac:dyDescent="0.3">
      <c r="B36" s="145">
        <v>0</v>
      </c>
      <c r="C36" s="145">
        <v>1</v>
      </c>
      <c r="D36" s="145">
        <v>-1</v>
      </c>
    </row>
    <row r="37" spans="1:6" x14ac:dyDescent="0.3">
      <c r="A37" s="94" t="str">
        <f>Valuation!A68</f>
        <v>EV/Sales</v>
      </c>
      <c r="B37" s="93">
        <f>Valuation!G68</f>
        <v>2457.0605172379087</v>
      </c>
      <c r="C37" s="93">
        <f t="dataTable" ref="C37:D41" dt2D="0" dtr="1" r1="B36" ca="1"/>
        <v>3020.6032873650274</v>
      </c>
      <c r="D37" s="93">
        <v>1893.51774711079</v>
      </c>
      <c r="F37" s="25"/>
    </row>
    <row r="38" spans="1:6" x14ac:dyDescent="0.3">
      <c r="A38" s="94" t="str">
        <f>Valuation!A69</f>
        <v>EV/EBITDA</v>
      </c>
      <c r="B38" s="93">
        <f>Valuation!G69</f>
        <v>3403.2595233069487</v>
      </c>
      <c r="C38" s="93">
        <v>3772.3731198771575</v>
      </c>
      <c r="D38" s="93">
        <v>3034.14592673674</v>
      </c>
      <c r="F38" s="25"/>
    </row>
    <row r="39" spans="1:6" x14ac:dyDescent="0.3">
      <c r="A39" s="94" t="str">
        <f>Valuation!A70</f>
        <v>P/E Multiple</v>
      </c>
      <c r="B39" s="93">
        <f>Valuation!G70</f>
        <v>6850.4424326520866</v>
      </c>
      <c r="C39" s="93">
        <v>7040.3756238612823</v>
      </c>
      <c r="D39" s="93">
        <v>6660.50924144289</v>
      </c>
      <c r="F39" s="25"/>
    </row>
    <row r="40" spans="1:6" x14ac:dyDescent="0.3">
      <c r="A40" s="94" t="str">
        <f>Valuation!A71</f>
        <v>P/S</v>
      </c>
      <c r="B40" s="93">
        <f>Valuation!G71</f>
        <v>2729.5792603978311</v>
      </c>
      <c r="C40" s="93">
        <v>3293.1220305249499</v>
      </c>
      <c r="D40" s="93">
        <v>2166.036490270712</v>
      </c>
      <c r="F40" s="25"/>
    </row>
    <row r="41" spans="1:6" x14ac:dyDescent="0.3">
      <c r="A41" s="94" t="str">
        <f>Valuation!A72</f>
        <v>P/B</v>
      </c>
      <c r="B41" s="93">
        <f>Valuation!G72</f>
        <v>3831.8384612880031</v>
      </c>
      <c r="C41" s="20">
        <v>4413.4548693588513</v>
      </c>
      <c r="D41" s="20">
        <v>3250.2220532171564</v>
      </c>
      <c r="F41" s="25"/>
    </row>
    <row r="44" spans="1:6" x14ac:dyDescent="0.3">
      <c r="A44" s="23" t="s">
        <v>236</v>
      </c>
      <c r="B44" s="23" t="s">
        <v>214</v>
      </c>
      <c r="C44" s="23" t="s">
        <v>237</v>
      </c>
      <c r="D44" s="23" t="s">
        <v>143</v>
      </c>
    </row>
    <row r="45" spans="1:6" x14ac:dyDescent="0.3">
      <c r="A45" s="257" t="s">
        <v>213</v>
      </c>
      <c r="B45" s="93">
        <v>4002</v>
      </c>
      <c r="C45" s="25">
        <f>D45-B45</f>
        <v>3753</v>
      </c>
      <c r="D45" s="3">
        <v>7755</v>
      </c>
    </row>
    <row r="46" spans="1:6" x14ac:dyDescent="0.3">
      <c r="A46" s="257" t="str">
        <f>A37</f>
        <v>EV/Sales</v>
      </c>
      <c r="B46" s="20">
        <f>D37</f>
        <v>1893.51774711079</v>
      </c>
      <c r="C46" s="25">
        <f t="shared" ref="C46:C50" si="1">D46-B46</f>
        <v>1127.0855402542375</v>
      </c>
      <c r="D46" s="20">
        <f>C37</f>
        <v>3020.6032873650274</v>
      </c>
    </row>
    <row r="47" spans="1:6" x14ac:dyDescent="0.3">
      <c r="A47" s="257" t="str">
        <f t="shared" ref="A47:A50" si="2">A38</f>
        <v>EV/EBITDA</v>
      </c>
      <c r="B47" s="20">
        <f t="shared" ref="B47:B50" si="3">D38</f>
        <v>3034.14592673674</v>
      </c>
      <c r="C47" s="25">
        <f t="shared" si="1"/>
        <v>738.22719314041751</v>
      </c>
      <c r="D47" s="20">
        <f t="shared" ref="D47:D50" si="4">C38</f>
        <v>3772.3731198771575</v>
      </c>
    </row>
    <row r="48" spans="1:6" x14ac:dyDescent="0.3">
      <c r="A48" s="257" t="str">
        <f t="shared" si="2"/>
        <v>P/E Multiple</v>
      </c>
      <c r="B48" s="20">
        <f t="shared" si="3"/>
        <v>6660.50924144289</v>
      </c>
      <c r="C48" s="25">
        <f t="shared" si="1"/>
        <v>379.86638241839228</v>
      </c>
      <c r="D48" s="20">
        <f t="shared" si="4"/>
        <v>7040.3756238612823</v>
      </c>
    </row>
    <row r="49" spans="1:4" x14ac:dyDescent="0.3">
      <c r="A49" s="257" t="str">
        <f t="shared" si="2"/>
        <v>P/S</v>
      </c>
      <c r="B49" s="20">
        <f t="shared" si="3"/>
        <v>2166.036490270712</v>
      </c>
      <c r="C49" s="25">
        <f t="shared" si="1"/>
        <v>1127.0855402542379</v>
      </c>
      <c r="D49" s="20">
        <f t="shared" si="4"/>
        <v>3293.1220305249499</v>
      </c>
    </row>
    <row r="50" spans="1:4" x14ac:dyDescent="0.3">
      <c r="A50" s="257" t="str">
        <f t="shared" si="2"/>
        <v>P/B</v>
      </c>
      <c r="B50" s="20">
        <f t="shared" si="3"/>
        <v>3250.2220532171564</v>
      </c>
      <c r="C50" s="25">
        <f t="shared" si="1"/>
        <v>1163.2328161416949</v>
      </c>
      <c r="D50" s="20">
        <f t="shared" si="4"/>
        <v>4413.4548693588513</v>
      </c>
    </row>
    <row r="51" spans="1:4" x14ac:dyDescent="0.3">
      <c r="B51" s="20"/>
      <c r="C51" s="20"/>
      <c r="D51" s="20"/>
    </row>
    <row r="52" spans="1:4" x14ac:dyDescent="0.3">
      <c r="B52" s="20"/>
      <c r="C52" s="20"/>
      <c r="D52" s="20"/>
    </row>
    <row r="53" spans="1:4" x14ac:dyDescent="0.3">
      <c r="B53" s="20"/>
      <c r="C53" s="20"/>
      <c r="D53" s="20"/>
    </row>
  </sheetData>
  <mergeCells count="3">
    <mergeCell ref="A26:B26"/>
    <mergeCell ref="D26:E26"/>
    <mergeCell ref="G26:H26"/>
  </mergeCells>
  <phoneticPr fontId="17" type="noConversion"/>
  <pageMargins left="0.7" right="0.7" top="0.75" bottom="0.75" header="0.3" footer="0.3"/>
  <pageSetup orientation="portrait" r:id="rId1"/>
  <drawing r:id="rId2"/>
  <legacyDrawing r:id="rId3"/>
  <picture r:id="rId4"/>
  <mc:AlternateContent xmlns:mc="http://schemas.openxmlformats.org/markup-compatibility/2006">
    <mc:Choice Requires="x14">
      <controls>
        <mc:AlternateContent xmlns:mc="http://schemas.openxmlformats.org/markup-compatibility/2006">
          <mc:Choice Requires="x14">
            <control shapeId="4101" r:id="rId5" name="Drop Down 5">
              <controlPr defaultSize="0" autoLine="0" autoPict="0">
                <anchor moveWithCells="1">
                  <from>
                    <xdr:col>0</xdr:col>
                    <xdr:colOff>1440180</xdr:colOff>
                    <xdr:row>0</xdr:row>
                    <xdr:rowOff>175260</xdr:rowOff>
                  </from>
                  <to>
                    <xdr:col>2</xdr:col>
                    <xdr:colOff>220980</xdr:colOff>
                    <xdr:row>2</xdr:row>
                    <xdr:rowOff>30480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Company Overview</vt:lpstr>
      <vt:lpstr>Sector Overview</vt:lpstr>
      <vt:lpstr>Past Financials</vt:lpstr>
      <vt:lpstr>Drivers</vt:lpstr>
      <vt:lpstr>Revenue &amp; Expense Model</vt:lpstr>
      <vt:lpstr>Capex &amp; Loan Schedule</vt:lpstr>
      <vt:lpstr>Working Capital</vt:lpstr>
      <vt:lpstr>Projected Financials</vt:lpstr>
      <vt:lpstr>WACC</vt:lpstr>
      <vt:lpstr>Valuation</vt:lpstr>
      <vt:lpstr>Multiples</vt:lpstr>
      <vt:lpstr>Dashboard</vt:lpstr>
      <vt:lpstr>NetDebt</vt:lpstr>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cp:lastPrinted>2017-11-28T04:03:55Z</cp:lastPrinted>
  <dcterms:created xsi:type="dcterms:W3CDTF">2017-10-04T13:57:36Z</dcterms:created>
  <dcterms:modified xsi:type="dcterms:W3CDTF">2020-08-14T16:03:27Z</dcterms:modified>
</cp:coreProperties>
</file>