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39" sheetId="2" r:id="rId5"/>
    <sheet state="visible" name="Copia de Hoja 39" sheetId="3" r:id="rId6"/>
    <sheet state="visible" name="T2C" sheetId="4" r:id="rId7"/>
    <sheet state="visible" name="EMPRESAS" sheetId="5" r:id="rId8"/>
    <sheet state="visible" name="Hoja 36" sheetId="6" r:id="rId9"/>
    <sheet state="visible" name="analisis_empresa" sheetId="7" r:id="rId10"/>
    <sheet state="visible" name="Analisis" sheetId="8" r:id="rId11"/>
    <sheet state="visible" name="ridgelines" sheetId="9" r:id="rId12"/>
    <sheet state="visible" name="Hoja 33" sheetId="10" r:id="rId13"/>
    <sheet state="visible" name="cor" sheetId="11" r:id="rId14"/>
    <sheet state="visible" name="Correlaciones" sheetId="12" r:id="rId15"/>
    <sheet state="visible" name="Inditex" sheetId="13" r:id="rId16"/>
    <sheet state="visible" name="Replicación (controlada)" sheetId="14" r:id="rId17"/>
    <sheet state="visible" name="Copia de Replicación (controlad" sheetId="15" r:id="rId18"/>
    <sheet state="visible" name="Por Trabajador" sheetId="16" r:id="rId19"/>
    <sheet state="visible" name="TEST" sheetId="17" r:id="rId20"/>
    <sheet state="visible" name="Hoja 40" sheetId="18" r:id="rId21"/>
    <sheet state="visible" name="PvLog" sheetId="19" r:id="rId22"/>
    <sheet state="visible" name="Hoja 25" sheetId="20" r:id="rId23"/>
    <sheet state="visible" name="Anual" sheetId="21" r:id="rId24"/>
    <sheet state="visible" name="TTSN" sheetId="22" r:id="rId25"/>
    <sheet state="visible" name="Hoja 35" sheetId="23" r:id="rId26"/>
    <sheet state="visible" name="USA" sheetId="24" r:id="rId27"/>
    <sheet state="visible" name="shiny" sheetId="25" r:id="rId28"/>
    <sheet state="visible" name="Hoja 26" sheetId="26" r:id="rId29"/>
    <sheet state="visible" name="Copia de Anual" sheetId="27" r:id="rId30"/>
    <sheet state="visible" name="Hoja 22" sheetId="28" r:id="rId31"/>
    <sheet state="visible" name="TODAS" sheetId="29" r:id="rId32"/>
    <sheet state="visible" name="Hoja 21" sheetId="30" r:id="rId33"/>
    <sheet state="visible" name="USO PV" sheetId="31" r:id="rId34"/>
    <sheet state="visible" name="PorCCAA" sheetId="32" r:id="rId35"/>
    <sheet state="visible" name="Hoja 18" sheetId="33" r:id="rId36"/>
    <sheet state="visible" name="Replicación(RUIDO)" sheetId="34" r:id="rId37"/>
    <sheet state="visible" name="PLUSVALIA_PLENO_EMPLEO" sheetId="35" r:id="rId38"/>
    <sheet state="visible" name="Sociedad Socialista" sheetId="36" r:id="rId39"/>
    <sheet state="visible" name="Hoja 17" sheetId="37" r:id="rId40"/>
    <sheet state="visible" name="Hoja 16" sheetId="38" r:id="rId41"/>
    <sheet state="visible" name="Hoja 15" sheetId="39" r:id="rId42"/>
    <sheet state="visible" name="Log_CCAA" sheetId="40" r:id="rId43"/>
    <sheet state="visible" name="CCAA" sheetId="41" r:id="rId44"/>
    <sheet state="visible" name="PLUSVALIA_RESTO" sheetId="42" r:id="rId45"/>
    <sheet state="visible" name="PLUSVALIASF" sheetId="43" r:id="rId46"/>
    <sheet state="visible" name="PLUSVALIA_TOTAL" sheetId="44" r:id="rId47"/>
    <sheet state="visible" name="Hoja 13" sheetId="45" r:id="rId48"/>
    <sheet state="visible" name="Hoja 12" sheetId="46" r:id="rId49"/>
    <sheet state="visible" name="Hoja 11" sheetId="47" r:id="rId50"/>
    <sheet state="visible" name="Hoja 10" sheetId="48" r:id="rId51"/>
    <sheet state="visible" name="Tabla dinámica 1" sheetId="49" r:id="rId52"/>
    <sheet state="visible" name="decreciente tasa ganancia" sheetId="50" r:id="rId53"/>
  </sheets>
  <definedNames/>
  <calcPr/>
  <pivotCaches>
    <pivotCache cacheId="0" r:id="rId54"/>
  </pivotCaches>
</workbook>
</file>

<file path=xl/sharedStrings.xml><?xml version="1.0" encoding="utf-8"?>
<sst xmlns="http://schemas.openxmlformats.org/spreadsheetml/2006/main" count="2485" uniqueCount="873">
  <si>
    <t>Empresa</t>
  </si>
  <si>
    <t>Tasa Plusvalía</t>
  </si>
  <si>
    <t>Ciclos del capital</t>
  </si>
  <si>
    <t>Tasa de ganancia</t>
  </si>
  <si>
    <t>Acumulación de capital</t>
  </si>
  <si>
    <t>Plusvalia en €</t>
  </si>
  <si>
    <t>Plustrabajo anual(horas)</t>
  </si>
  <si>
    <t>Plustrabajo anual(días)</t>
  </si>
  <si>
    <t>Plusvalía por ciclo</t>
  </si>
  <si>
    <t>por empleado</t>
  </si>
  <si>
    <t>Le Grand Café Teatinos</t>
  </si>
  <si>
    <t>Desigual</t>
  </si>
  <si>
    <t>Danone España</t>
  </si>
  <si>
    <t>Inditex</t>
  </si>
  <si>
    <t>Amazon</t>
  </si>
  <si>
    <t xml:space="preserve"> </t>
  </si>
  <si>
    <t>T2Client</t>
  </si>
  <si>
    <t>Hispasec</t>
  </si>
  <si>
    <t>Metro Málaga</t>
  </si>
  <si>
    <t>Correos</t>
  </si>
  <si>
    <t>Tragsa</t>
  </si>
  <si>
    <t>Iberdrola</t>
  </si>
  <si>
    <t>Endesa</t>
  </si>
  <si>
    <t>Naturgy</t>
  </si>
  <si>
    <t>Telefonica</t>
  </si>
  <si>
    <t>Santander</t>
  </si>
  <si>
    <t>Gastando 1 millon/día</t>
  </si>
  <si>
    <t>Amancio</t>
  </si>
  <si>
    <t>Años plustrabajo</t>
  </si>
  <si>
    <t>Años gastando la media/persona</t>
  </si>
  <si>
    <t>x</t>
  </si>
  <si>
    <t>y</t>
  </si>
  <si>
    <t>a</t>
  </si>
  <si>
    <t>b</t>
  </si>
  <si>
    <t>kc</t>
  </si>
  <si>
    <t>kv</t>
  </si>
  <si>
    <t>Tg</t>
  </si>
  <si>
    <t>Pv</t>
  </si>
  <si>
    <t>Tp</t>
  </si>
  <si>
    <t>Ingresos</t>
  </si>
  <si>
    <t>Ingresos DSSIT</t>
  </si>
  <si>
    <t>Producción por trabajador DSSIT</t>
  </si>
  <si>
    <t>Aprovisionamientos</t>
  </si>
  <si>
    <t>Amortizaciones y deterioros</t>
  </si>
  <si>
    <t>T</t>
  </si>
  <si>
    <t>Kv</t>
  </si>
  <si>
    <t>Kc</t>
  </si>
  <si>
    <t>M</t>
  </si>
  <si>
    <t>R</t>
  </si>
  <si>
    <t>Ak</t>
  </si>
  <si>
    <t>Marx</t>
  </si>
  <si>
    <t>Tasa acierto</t>
  </si>
  <si>
    <t>Personal FIJO</t>
  </si>
  <si>
    <t>Personal TEMPORAL</t>
  </si>
  <si>
    <t>HOMBRES FIJOS</t>
  </si>
  <si>
    <t>MUJERES FIJAS</t>
  </si>
  <si>
    <t>HOMBRES TEMPORALES</t>
  </si>
  <si>
    <t>MUJERES TEMPORALES</t>
  </si>
  <si>
    <t>Salario/mes x cada trabajador/a</t>
  </si>
  <si>
    <t>Danone</t>
  </si>
  <si>
    <t>T2C</t>
  </si>
  <si>
    <t>T2C-2019</t>
  </si>
  <si>
    <t>Hispasec-2019</t>
  </si>
  <si>
    <t>Iuris Catedra</t>
  </si>
  <si>
    <t>Pullmantur</t>
  </si>
  <si>
    <t>Games Workshop</t>
  </si>
  <si>
    <t>Deloitte</t>
  </si>
  <si>
    <t>Telefónica</t>
  </si>
  <si>
    <t>Vodafone</t>
  </si>
  <si>
    <t>Banco Santander</t>
  </si>
  <si>
    <t>Zara</t>
  </si>
  <si>
    <t>Mercadona</t>
  </si>
  <si>
    <t>Mecalux</t>
  </si>
  <si>
    <t>Pimsa</t>
  </si>
  <si>
    <t>Pescacial</t>
  </si>
  <si>
    <t>Desvest</t>
  </si>
  <si>
    <t>Pequeñas</t>
  </si>
  <si>
    <t>Grandes</t>
  </si>
  <si>
    <t>Mediana</t>
  </si>
  <si>
    <t>Año</t>
  </si>
  <si>
    <t>Pv_noAsalariados</t>
  </si>
  <si>
    <t>Pv_Pequeña</t>
  </si>
  <si>
    <t>PV_MyG</t>
  </si>
  <si>
    <t>C_nAsalariados</t>
  </si>
  <si>
    <t>C_Pequeña</t>
  </si>
  <si>
    <t>C_MyG</t>
  </si>
  <si>
    <t>Tg_nAsalariados</t>
  </si>
  <si>
    <t>Tg_Pequeña</t>
  </si>
  <si>
    <t>Tg_MyG</t>
  </si>
  <si>
    <t>Tp_nAsalariados</t>
  </si>
  <si>
    <t>Tp_Pequeña</t>
  </si>
  <si>
    <t>Tp_MyG</t>
  </si>
  <si>
    <t>Ak_nAsalariados</t>
  </si>
  <si>
    <t>Ak_Pequeña</t>
  </si>
  <si>
    <t>Ak_MyG</t>
  </si>
  <si>
    <t>Ptd_nAsalariados</t>
  </si>
  <si>
    <t>Ptd_Pequeña</t>
  </si>
  <si>
    <t>Ptd_MyG</t>
  </si>
  <si>
    <t>Trabajadores_nAsalariados</t>
  </si>
  <si>
    <t>Trabajadores_Pequeña</t>
  </si>
  <si>
    <t>Trabajadores_MyG</t>
  </si>
  <si>
    <t>N_nAsalariado</t>
  </si>
  <si>
    <t>N_Pequeña</t>
  </si>
  <si>
    <t>N_MyG</t>
  </si>
  <si>
    <t>sd_pv_nAsalariados</t>
  </si>
  <si>
    <t>sd_c_nAsalariados</t>
  </si>
  <si>
    <t>sd_tg_nAsalariados</t>
  </si>
  <si>
    <t>sd_tp_nAsalariados</t>
  </si>
  <si>
    <t>sd_ak_nAsalariados</t>
  </si>
  <si>
    <t>sd_pv_Pequeña</t>
  </si>
  <si>
    <t>sd_c_Pequeña</t>
  </si>
  <si>
    <t>sd_tg_Pequeña</t>
  </si>
  <si>
    <t>sd_tp_Pequeña</t>
  </si>
  <si>
    <t>sd_ak_Pequeña</t>
  </si>
  <si>
    <t>sd_pv_MyG</t>
  </si>
  <si>
    <t>sd_c_MyG</t>
  </si>
  <si>
    <t>sd_tg_MyG</t>
  </si>
  <si>
    <t>sd_tp_MyG</t>
  </si>
  <si>
    <t>sd_ak_MyG</t>
  </si>
  <si>
    <t>N empresas</t>
  </si>
  <si>
    <t>Q</t>
  </si>
  <si>
    <t>C</t>
  </si>
  <si>
    <t>Es</t>
  </si>
  <si>
    <t>Plustrabajo</t>
  </si>
  <si>
    <t>PtD</t>
  </si>
  <si>
    <t>Sin asalariados</t>
  </si>
  <si>
    <t>Microempresas</t>
  </si>
  <si>
    <t>Pequeña</t>
  </si>
  <si>
    <t>Grande</t>
  </si>
  <si>
    <t>pv</t>
  </si>
  <si>
    <t>TG</t>
  </si>
  <si>
    <t>tp</t>
  </si>
  <si>
    <t>ak</t>
  </si>
  <si>
    <t>ptd</t>
  </si>
  <si>
    <t>Sin</t>
  </si>
  <si>
    <t>Micro</t>
  </si>
  <si>
    <t>PV</t>
  </si>
  <si>
    <t>Ptd</t>
  </si>
  <si>
    <t>Pv_Diff</t>
  </si>
  <si>
    <t>C_Diff</t>
  </si>
  <si>
    <t>Tg_Diff</t>
  </si>
  <si>
    <t>Tp_Diff</t>
  </si>
  <si>
    <t>Ak_Diff</t>
  </si>
  <si>
    <t>PtD_Diff</t>
  </si>
  <si>
    <t>Trabajadores</t>
  </si>
  <si>
    <t>r</t>
  </si>
  <si>
    <t>r(Dif. Resta)</t>
  </si>
  <si>
    <t>d</t>
  </si>
  <si>
    <t>d(Dif.Resta)</t>
  </si>
  <si>
    <t>Promedio</t>
  </si>
  <si>
    <t>Inditex-2019</t>
  </si>
  <si>
    <t>ACS-2020</t>
  </si>
  <si>
    <t>ACS-2019</t>
  </si>
  <si>
    <t>Valor medido en millones de €</t>
  </si>
  <si>
    <t>https://www.inditex.com/documents/10279/664163/Cuenas+Anuales+Individuales+2020.pdf/0c482dbb-b784-212a-da0b-08b24a7c831c</t>
  </si>
  <si>
    <t>ES2</t>
  </si>
  <si>
    <t>Sociedades Financieras</t>
  </si>
  <si>
    <t>Exentas</t>
  </si>
  <si>
    <t>Transparentes</t>
  </si>
  <si>
    <t>Cooperativas</t>
  </si>
  <si>
    <t>Reducida Dimensión</t>
  </si>
  <si>
    <t>TOTAL</t>
  </si>
  <si>
    <t>https://www.agenciatributaria.es/AEAT/Contenidos_Comunes/La_Agencia_Tributaria/Estadisticas/Publicaciones/sites/sociedadest2/2018/home_parcial689f0ab99b0843e21ae03191e14b7b49a77c7524.html</t>
  </si>
  <si>
    <t>Días de plustrabajo por trabajador</t>
  </si>
  <si>
    <t>Tasa de acierto de la Teoría del Valor Trabajo s/ valor de mercado</t>
  </si>
  <si>
    <t>PEARSON</t>
  </si>
  <si>
    <t>Cohen</t>
  </si>
  <si>
    <t>Sig</t>
  </si>
  <si>
    <t>C-TG</t>
  </si>
  <si>
    <t>Sí</t>
  </si>
  <si>
    <t>C-Tp</t>
  </si>
  <si>
    <t>hhui €</t>
  </si>
  <si>
    <t>x min</t>
  </si>
  <si>
    <t>C-Ak</t>
  </si>
  <si>
    <t>xmin/60</t>
  </si>
  <si>
    <t>horas al año</t>
  </si>
  <si>
    <t>Tp-Tg</t>
  </si>
  <si>
    <t>No</t>
  </si>
  <si>
    <t>x horas/24</t>
  </si>
  <si>
    <t>dias al año</t>
  </si>
  <si>
    <t>Ak-Tg</t>
  </si>
  <si>
    <t>Ak-Tp</t>
  </si>
  <si>
    <t>n80</t>
  </si>
  <si>
    <t>n90</t>
  </si>
  <si>
    <t>Pmin</t>
  </si>
  <si>
    <t>Pmax</t>
  </si>
  <si>
    <t>n</t>
  </si>
  <si>
    <t>d80</t>
  </si>
  <si>
    <t>d90</t>
  </si>
  <si>
    <t>Pequeño(0,2)</t>
  </si>
  <si>
    <t>Mediano(0,5)</t>
  </si>
  <si>
    <t>Grande(0,8)</t>
  </si>
  <si>
    <t>Tasa de Plusvalía obtenida en las empresas españolas a partir de datos de la Agencia Tributaria</t>
  </si>
  <si>
    <t>Tasa de Ganancia obtenida en las empresas españolas a partir de datos de la Agencia Tributaria</t>
  </si>
  <si>
    <t>x=1959</t>
  </si>
  <si>
    <t>Mapa</t>
  </si>
  <si>
    <t>Total</t>
  </si>
  <si>
    <t>Valor absoluto</t>
  </si>
  <si>
    <t>2018T4</t>
  </si>
  <si>
    <t>2018T3</t>
  </si>
  <si>
    <t>2018T2</t>
  </si>
  <si>
    <t>2018T1</t>
  </si>
  <si>
    <t>Ambos sexos</t>
  </si>
  <si>
    <t>Total Nacional</t>
  </si>
  <si>
    <t>Sociedades NO Financieras</t>
  </si>
  <si>
    <t>Plusvalia</t>
  </si>
  <si>
    <t>Plusvalia por trabajador</t>
  </si>
  <si>
    <t>Produccion</t>
  </si>
  <si>
    <t>Producción por trabajador</t>
  </si>
  <si>
    <t>Salario por trabajador</t>
  </si>
  <si>
    <t>Producción esperada por trabajador</t>
  </si>
  <si>
    <t>Salarios</t>
  </si>
  <si>
    <t>Produccion total esperada</t>
  </si>
  <si>
    <t>Capital Constante por trabajador</t>
  </si>
  <si>
    <t>Pv nueva por trabajador</t>
  </si>
  <si>
    <t>Pv disponible por trabajador</t>
  </si>
  <si>
    <t>Pv disponible mensual/trabajador</t>
  </si>
  <si>
    <t>Pv=P-Kv-Kc (M)</t>
  </si>
  <si>
    <t>Alquiler</t>
  </si>
  <si>
    <t>Bono Pv en alquiler</t>
  </si>
  <si>
    <t>Pv disponible</t>
  </si>
  <si>
    <t>Renta final</t>
  </si>
  <si>
    <t>Rentas 600</t>
  </si>
  <si>
    <t>Rentas 840</t>
  </si>
  <si>
    <t>Rentas 1.200</t>
  </si>
  <si>
    <t>Media_GC</t>
  </si>
  <si>
    <t>Media_GN</t>
  </si>
  <si>
    <t>DT_GC</t>
  </si>
  <si>
    <t>DT_GN</t>
  </si>
  <si>
    <t>N_GC</t>
  </si>
  <si>
    <t>N_GN</t>
  </si>
  <si>
    <t>Ano</t>
  </si>
  <si>
    <t>Plustrabajo (años) acumulado</t>
  </si>
  <si>
    <t>L</t>
  </si>
  <si>
    <t>V</t>
  </si>
  <si>
    <t>Plusvalía</t>
  </si>
  <si>
    <t>Plustrabajo acumulado(años)</t>
  </si>
  <si>
    <t>avg_tp</t>
  </si>
  <si>
    <t>dt_tp</t>
  </si>
  <si>
    <t>lim_Inf_tp</t>
  </si>
  <si>
    <t>lim_sup_tp</t>
  </si>
  <si>
    <t>avg_ptd</t>
  </si>
  <si>
    <t>dt_ptd</t>
  </si>
  <si>
    <t>lim_Inf_ptd</t>
  </si>
  <si>
    <t>lim_sup_ptd</t>
  </si>
  <si>
    <t>Gráfico</t>
  </si>
  <si>
    <t>Horas efectivas</t>
  </si>
  <si>
    <t>2021T3</t>
  </si>
  <si>
    <t>2021T2</t>
  </si>
  <si>
    <t>2021T1</t>
  </si>
  <si>
    <t>2020T4</t>
  </si>
  <si>
    <t>2020T3</t>
  </si>
  <si>
    <t>2020T2</t>
  </si>
  <si>
    <t>2020T1</t>
  </si>
  <si>
    <t>2019T4</t>
  </si>
  <si>
    <t>2019T3</t>
  </si>
  <si>
    <t>2019T2</t>
  </si>
  <si>
    <t>2019T1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</si>
  <si>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</si>
  <si>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</si>
  <si>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</si>
  <si>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</si>
  <si>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</si>
  <si>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</si>
  <si>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</si>
  <si>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</si>
  <si>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</si>
  <si>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</si>
  <si>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</si>
  <si>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</si>
  <si>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</si>
  <si>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</si>
  <si>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</si>
  <si>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</si>
  <si>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</si>
  <si>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</si>
  <si>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</si>
  <si>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</si>
  <si>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</si>
  <si>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</si>
  <si>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</si>
  <si>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</si>
  <si>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</t>
  </si>
  <si>
    <t>2011T3</t>
  </si>
  <si>
    <t>2011T2</t>
  </si>
  <si>
    <t>2011T1</t>
  </si>
  <si>
    <t>2010T4</t>
  </si>
  <si>
    <t>2010T3</t>
  </si>
  <si>
    <t>2010T2</t>
  </si>
  <si>
    <t>2010T1</t>
  </si>
  <si>
    <t>2009T4</t>
  </si>
  <si>
    <t>2009T3</t>
  </si>
  <si>
    <t>2009T2</t>
  </si>
  <si>
    <t>2009T1</t>
  </si>
  <si>
    <t>2008T4</t>
  </si>
  <si>
    <t>2008T3</t>
  </si>
  <si>
    <t>2008T2</t>
  </si>
  <si>
    <t>2008T1</t>
  </si>
  <si>
    <t>B_S Industria, construcción y servicios (excepto actividades de los hogares como empleadores y de organizaciones y organismos extraterritoriales)</t>
  </si>
  <si>
    <t>Industria</t>
  </si>
  <si>
    <t>Construcción</t>
  </si>
  <si>
    <t>Servicios</t>
  </si>
  <si>
    <t>TTSN</t>
  </si>
  <si>
    <t>Date</t>
  </si>
  <si>
    <t>Consumption of Fixed Capital (Billions $)</t>
  </si>
  <si>
    <t>Intermediate consumption (Billions $)</t>
  </si>
  <si>
    <t>Constant Capital (Billions $)</t>
  </si>
  <si>
    <t>Variable Capital (Billions $)</t>
  </si>
  <si>
    <t>Corporate taxes (Billions $)</t>
  </si>
  <si>
    <t>i1</t>
  </si>
  <si>
    <t>i2</t>
  </si>
  <si>
    <t>Production (Billions $)</t>
  </si>
  <si>
    <t>Plus-value (Billions $)</t>
  </si>
  <si>
    <t>Capital's Cicles</t>
  </si>
  <si>
    <t>Rate of profit(%)</t>
  </si>
  <si>
    <t>Rate of plusvalue(%)</t>
  </si>
  <si>
    <t>https://fred.stlouisfed.org/series/COFC#0</t>
  </si>
  <si>
    <t>Variable</t>
  </si>
  <si>
    <t>Cantidad</t>
  </si>
  <si>
    <t>Tasa de Plusvalía</t>
  </si>
  <si>
    <t>Plustrabajo por trabajador</t>
  </si>
  <si>
    <t>16 años</t>
  </si>
  <si>
    <t>17 años</t>
  </si>
  <si>
    <t>18 años</t>
  </si>
  <si>
    <t>19 años</t>
  </si>
  <si>
    <t>20 años</t>
  </si>
  <si>
    <t>21 años</t>
  </si>
  <si>
    <t>22 años</t>
  </si>
  <si>
    <t>23 años</t>
  </si>
  <si>
    <t>24 años</t>
  </si>
  <si>
    <t>25 años</t>
  </si>
  <si>
    <t>26 años</t>
  </si>
  <si>
    <t>27 años</t>
  </si>
  <si>
    <t>28 años</t>
  </si>
  <si>
    <t>29 años</t>
  </si>
  <si>
    <t>30 años</t>
  </si>
  <si>
    <t>31 años</t>
  </si>
  <si>
    <t>32 años</t>
  </si>
  <si>
    <t>33 años</t>
  </si>
  <si>
    <t>34 años</t>
  </si>
  <si>
    <t>35 años</t>
  </si>
  <si>
    <t>36 años</t>
  </si>
  <si>
    <t>37 años</t>
  </si>
  <si>
    <t>38 años</t>
  </si>
  <si>
    <t>39 años</t>
  </si>
  <si>
    <t>40 años</t>
  </si>
  <si>
    <t>41 años</t>
  </si>
  <si>
    <t>42 años</t>
  </si>
  <si>
    <t>43 años</t>
  </si>
  <si>
    <t>44 años</t>
  </si>
  <si>
    <t>45 años</t>
  </si>
  <si>
    <t>46 años</t>
  </si>
  <si>
    <t>47 años</t>
  </si>
  <si>
    <t>48 años</t>
  </si>
  <si>
    <t>49 años</t>
  </si>
  <si>
    <t>50 años</t>
  </si>
  <si>
    <t>51 años</t>
  </si>
  <si>
    <t>52 años</t>
  </si>
  <si>
    <t>53 años</t>
  </si>
  <si>
    <t>54 años</t>
  </si>
  <si>
    <t>55 años</t>
  </si>
  <si>
    <t>56 años</t>
  </si>
  <si>
    <t>57 años</t>
  </si>
  <si>
    <t>58 años</t>
  </si>
  <si>
    <t>59 años</t>
  </si>
  <si>
    <t>60 años</t>
  </si>
  <si>
    <t>61 años</t>
  </si>
  <si>
    <t>62 años</t>
  </si>
  <si>
    <t>63 años</t>
  </si>
  <si>
    <t>64 años</t>
  </si>
  <si>
    <t>65 años</t>
  </si>
  <si>
    <t>x=rx(1-x)</t>
  </si>
  <si>
    <t>%pib</t>
  </si>
  <si>
    <t>GP</t>
  </si>
  <si>
    <t>Diff</t>
  </si>
  <si>
    <t>PIB</t>
  </si>
  <si>
    <t>N trabajadores</t>
  </si>
  <si>
    <t>Plusvalia total</t>
  </si>
  <si>
    <t>Tributación media Epaña</t>
  </si>
  <si>
    <t>Rentas netas</t>
  </si>
  <si>
    <t>Renta neta anual</t>
  </si>
  <si>
    <t>Gasto medio por persona</t>
  </si>
  <si>
    <t>Renta anual ahorrada</t>
  </si>
  <si>
    <t>Precio vivienda 144 m2</t>
  </si>
  <si>
    <t>Tiempo</t>
  </si>
  <si>
    <t>Tramos de Rend. e Imputac. 
(miles de euros)</t>
  </si>
  <si>
    <t>DATOS GENERALES</t>
  </si>
  <si>
    <t>INFORMACIÓN SOBRE LA PARTIDA 670</t>
  </si>
  <si>
    <t>Liquidaciones
Número Total</t>
  </si>
  <si>
    <t>Distribución
Número</t>
  </si>
  <si>
    <t>LIQUIDACIONES PARTIDA</t>
  </si>
  <si>
    <t>IMPORTE PARTIDA</t>
  </si>
  <si>
    <t>Número</t>
  </si>
  <si>
    <t>Importe</t>
  </si>
  <si>
    <t>Distribución</t>
  </si>
  <si>
    <t>Media</t>
  </si>
  <si>
    <t>Negativo y Cero</t>
  </si>
  <si>
    <t>(0 - 1,5]</t>
  </si>
  <si>
    <t>(1,5 - 6]</t>
  </si>
  <si>
    <t>(6 - 12]</t>
  </si>
  <si>
    <t>(12 - 21]</t>
  </si>
  <si>
    <t>(21 - 30]</t>
  </si>
  <si>
    <t>(30 - 60]</t>
  </si>
  <si>
    <t>(60 - 150]</t>
  </si>
  <si>
    <t>(150 - 601]</t>
  </si>
  <si>
    <t>Mayor de 601</t>
  </si>
  <si>
    <t>CCAA</t>
  </si>
  <si>
    <t>€/m2</t>
  </si>
  <si>
    <t>Cataluña</t>
  </si>
  <si>
    <t>Madrid</t>
  </si>
  <si>
    <t>País Vasco</t>
  </si>
  <si>
    <t>Islas Baleares</t>
  </si>
  <si>
    <t>Navarra</t>
  </si>
  <si>
    <t>Cantabria</t>
  </si>
  <si>
    <t>Aragón</t>
  </si>
  <si>
    <t>Andalucia</t>
  </si>
  <si>
    <t>Valencia</t>
  </si>
  <si>
    <t>Castilla y León</t>
  </si>
  <si>
    <t>Galicia</t>
  </si>
  <si>
    <t>Canarias</t>
  </si>
  <si>
    <t>Asturias</t>
  </si>
  <si>
    <t>La ioja</t>
  </si>
  <si>
    <t>Castilla La Mancha</t>
  </si>
  <si>
    <t>Murcia</t>
  </si>
  <si>
    <t xml:space="preserve"> Extremadura</t>
  </si>
  <si>
    <t>Comunidad</t>
  </si>
  <si>
    <t>Investigacion</t>
  </si>
  <si>
    <t>Amortizaciones</t>
  </si>
  <si>
    <t>Impuestos</t>
  </si>
  <si>
    <t>COC</t>
  </si>
  <si>
    <t>Andalucía</t>
  </si>
  <si>
    <t>Asturias, Principado de</t>
  </si>
  <si>
    <t>Balears, Illes</t>
  </si>
  <si>
    <t>Castilla - La Mancha</t>
  </si>
  <si>
    <t>Comunitat Valenciana</t>
  </si>
  <si>
    <t>Extremadura</t>
  </si>
  <si>
    <t>Madrid, Comunidad de</t>
  </si>
  <si>
    <t>Murcia, Región de</t>
  </si>
  <si>
    <t>Navarra, Comunidad Foral de</t>
  </si>
  <si>
    <t>Rioja, La</t>
  </si>
  <si>
    <t>Ceuta</t>
  </si>
  <si>
    <t>..</t>
  </si>
  <si>
    <t>Melilla</t>
  </si>
  <si>
    <t>Origen</t>
  </si>
  <si>
    <t>destino</t>
  </si>
  <si>
    <t>Cifra Negocios (millones €)</t>
  </si>
  <si>
    <t>Excedente bruto explotación</t>
  </si>
  <si>
    <t>Total compras bienes y servicios</t>
  </si>
  <si>
    <t>Inversión activos materiales</t>
  </si>
  <si>
    <t>Gastos de personal</t>
  </si>
  <si>
    <t>Pronosticado</t>
  </si>
  <si>
    <t>% acierto</t>
  </si>
  <si>
    <t xml:space="preserve">  Transporte y almacenamiento</t>
  </si>
  <si>
    <t xml:space="preserve">  Hosteleria</t>
  </si>
  <si>
    <t xml:space="preserve">  Información y comunicaciones</t>
  </si>
  <si>
    <t xml:space="preserve">  Actividades inmobiliarias</t>
  </si>
  <si>
    <t xml:space="preserve">  Actividades profesionales, científicas y técnicas</t>
  </si>
  <si>
    <t xml:space="preserve">  Actividades administrativas y servicios auxiliares</t>
  </si>
  <si>
    <t xml:space="preserve">  Actividades artísticas, recreativas y entretenimiento</t>
  </si>
  <si>
    <t xml:space="preserve">   Otros servicios</t>
  </si>
  <si>
    <t>Comercio</t>
  </si>
  <si>
    <t>https://ine.es/dyngs/INEbase/es/operacion.htm?c=Estadistica_C&amp;cid=1254736176865&amp;menu=resultados&amp;idp=1254735576550</t>
  </si>
  <si>
    <t>Ciclos Capital</t>
  </si>
  <si>
    <t>Tasa ganancia</t>
  </si>
  <si>
    <t>Acumulación Capital</t>
  </si>
  <si>
    <t>Pearson</t>
  </si>
  <si>
    <t>Totales 2018</t>
  </si>
  <si>
    <t>No contabilizadas</t>
  </si>
  <si>
    <t xml:space="preserve">Tg-C </t>
  </si>
  <si>
    <t>No significativo</t>
  </si>
  <si>
    <t xml:space="preserve">Tp-C </t>
  </si>
  <si>
    <t>Sí es significativo</t>
  </si>
  <si>
    <t xml:space="preserve">Tp-Tg </t>
  </si>
  <si>
    <t>Para p = 80%</t>
  </si>
  <si>
    <t>Ak-C</t>
  </si>
  <si>
    <t>Para d = 0,136</t>
  </si>
  <si>
    <t>n = 850</t>
  </si>
  <si>
    <t>**Justo</t>
  </si>
  <si>
    <t>Para d (1,6 y 1,9)</t>
  </si>
  <si>
    <t>n (7 y 5)</t>
  </si>
  <si>
    <t>Para d = 0,58</t>
  </si>
  <si>
    <t>n = 47</t>
  </si>
  <si>
    <t>Para d = 1,019</t>
  </si>
  <si>
    <t>n = 16</t>
  </si>
  <si>
    <t>Empleados_Ahora</t>
  </si>
  <si>
    <t>Pv por trabajador</t>
  </si>
  <si>
    <t>INSTAURACIÓN DEL SOCIALISMO</t>
  </si>
  <si>
    <t>Empleados_PE</t>
  </si>
  <si>
    <t>salario medio</t>
  </si>
  <si>
    <t>horas/semana</t>
  </si>
  <si>
    <t>Salario/hora</t>
  </si>
  <si>
    <t>Salario/minuto</t>
  </si>
  <si>
    <t>Concepto</t>
  </si>
  <si>
    <t>€/año/trabajador</t>
  </si>
  <si>
    <t>€/mes/trabajador</t>
  </si>
  <si>
    <t>Alimentación Garantizada 70%</t>
  </si>
  <si>
    <t>07311 Transporte de pasajeros en tren</t>
  </si>
  <si>
    <t>Transporte</t>
  </si>
  <si>
    <t>Precios corrientes</t>
  </si>
  <si>
    <t>Comunicaciones</t>
  </si>
  <si>
    <t>Gasto total</t>
  </si>
  <si>
    <t>Vestimenta</t>
  </si>
  <si>
    <t>07312 Transporte de pasajeros en metro y tranvía</t>
  </si>
  <si>
    <t>Viviendas</t>
  </si>
  <si>
    <t>Pv/persona final</t>
  </si>
  <si>
    <t>Pv total final</t>
  </si>
  <si>
    <t>07321 Transporte de pasajeros en autobús y autocar</t>
  </si>
  <si>
    <t>Tp total final</t>
  </si>
  <si>
    <t>Reducción Tp</t>
  </si>
  <si>
    <t>Agricultura, ganadería, silvicultura y pesca</t>
  </si>
  <si>
    <t>Industrias extractivas</t>
  </si>
  <si>
    <t>Industria manufacturera</t>
  </si>
  <si>
    <t>Comercio al por mayor y al por menor</t>
  </si>
  <si>
    <t>Información y comunicaciones</t>
  </si>
  <si>
    <t>Actividades financieras y de seguros</t>
  </si>
  <si>
    <t>Actividades inmobiliarias</t>
  </si>
  <si>
    <t>Actividades profesionales, científicas y técnicas</t>
  </si>
  <si>
    <t>Administración pública y defensa</t>
  </si>
  <si>
    <t>Actividades artísticas, recreativas y de entretenimiento</t>
  </si>
  <si>
    <t>https://www.ine.es/dyngs/INEbase/es/operacion.htm?c=Estadistica_C&amp;cid=1254736177056&amp;menu=resultados&amp;idp=1254735576581</t>
  </si>
  <si>
    <t>Dato en millones de €</t>
  </si>
  <si>
    <t>puestos trabajo</t>
  </si>
  <si>
    <t>-</t>
  </si>
  <si>
    <t>TG-U5</t>
  </si>
  <si>
    <t>Agregados macroeconómicos</t>
  </si>
  <si>
    <t>Ramas de actividad</t>
  </si>
  <si>
    <t>Periodo</t>
  </si>
  <si>
    <t>Producción</t>
  </si>
  <si>
    <t>hostelería</t>
  </si>
  <si>
    <t>actividades sanitarias y de servicios sociales</t>
  </si>
  <si>
    <t>actividades de los hogares como productores de bienes y servicios para uso propio</t>
  </si>
  <si>
    <t>Tipo de valor</t>
  </si>
  <si>
    <t>Tipo de dato</t>
  </si>
  <si>
    <t>A Agricultura, ganadería, silvicultura y pesca</t>
  </si>
  <si>
    <t>Corrientes</t>
  </si>
  <si>
    <t>Dato base</t>
  </si>
  <si>
    <t>BDE Industrias extractivas</t>
  </si>
  <si>
    <t>suministro de energía eléctrica, gas, vapor y aire acondicionado</t>
  </si>
  <si>
    <t>suministro de agua, actividades de saneamiento, gestión de residuos y descontaminación</t>
  </si>
  <si>
    <t>C Industria manufacturera</t>
  </si>
  <si>
    <t>F Construcción</t>
  </si>
  <si>
    <t>GHI Comercio al por mayor y al por menor</t>
  </si>
  <si>
    <t>reparación de vehículos de motor y motocicletas</t>
  </si>
  <si>
    <t>transporte y almacenamiento</t>
  </si>
  <si>
    <t>J Información y comunicaciones</t>
  </si>
  <si>
    <t>K Actividades financieras y de seguros</t>
  </si>
  <si>
    <t>L Actividades inmobiliarias</t>
  </si>
  <si>
    <t>MN Actividades profesionales, científicas y técnicas</t>
  </si>
  <si>
    <t>actividades administrativas y servicios auxiliares</t>
  </si>
  <si>
    <t>OPQ Administración pública y defensa</t>
  </si>
  <si>
    <t>seguridad social obligatoria</t>
  </si>
  <si>
    <t>educación</t>
  </si>
  <si>
    <t>RSTU Actividades artísticas, recreativas y de entretenimiento</t>
  </si>
  <si>
    <t>otras actividades de servicios</t>
  </si>
  <si>
    <t>actividades de los hogares como empleadores de personal doméstico</t>
  </si>
  <si>
    <t>Agregados de empleo;Situacion profesional;Ramas de actividad;Periodo;Total</t>
  </si>
  <si>
    <t>Puestos de trabajo;Total;A Agricultura</t>
  </si>
  <si>
    <t>ganadería</t>
  </si>
  <si>
    <t>silvicultura y pesca;2019;796</t>
  </si>
  <si>
    <t>Puestos de trabajo;Total;BDE Industrias extractivas; suministro de energía eléctrica</t>
  </si>
  <si>
    <t>gas</t>
  </si>
  <si>
    <t>vapor y aire acondicionado; suministro de agua</t>
  </si>
  <si>
    <t>actividades de saneamiento</t>
  </si>
  <si>
    <t>gestión de residuos y descontaminación;2019;257</t>
  </si>
  <si>
    <t>Puestos de trabajo;Total;C Industria manufacturera;2019;2.030</t>
  </si>
  <si>
    <t>Puestos de trabajo;Total;F Construcción;2019;1.299</t>
  </si>
  <si>
    <t>Puestos de trabajo;Total;GHI Comercio al por mayor y al por menor; reparación de vehículos de motor y motocicletas; transporte y almacenamiento; hostelería;2019;6.098</t>
  </si>
  <si>
    <t>Puestos de trabajo;Total;J Información y comunicaciones;2019;553</t>
  </si>
  <si>
    <t>Puestos de trabajo;Total;K Actividades financieras y de seguros;2019;356</t>
  </si>
  <si>
    <t>Puestos de trabajo;Total;L Actividades inmobiliarias;2019;229</t>
  </si>
  <si>
    <t>Puestos de trabajo;Total;MN Actividades profesionales</t>
  </si>
  <si>
    <t>científicas y técnicas; actividades administrativas y servicios auxiliares;2019;2.611</t>
  </si>
  <si>
    <t>Puestos de trabajo;Total;OPQ Administración pública y defensa; seguridad social obligatoria; educación; actividades sanitarias y de servicios sociales;2019;4.640</t>
  </si>
  <si>
    <t>Puestos de trabajo;Total;RSTU Actividades artísticas</t>
  </si>
  <si>
    <t>recreativas y de entretenimiento; otras actividades de servicios; actividades de los hogares como empleadores de personal doméstico; actividades de los hogares como productores de bienes y servicios para uso propio;2019;2.173</t>
  </si>
  <si>
    <t>Bill</t>
  </si>
  <si>
    <t>N. Bills</t>
  </si>
  <si>
    <t>Cost</t>
  </si>
  <si>
    <t>Total Cost</t>
  </si>
  <si>
    <t>Value</t>
  </si>
  <si>
    <t>% cost over value</t>
  </si>
  <si>
    <t>Digital Money (Billions $)</t>
  </si>
  <si>
    <t>% Of physic money over Total</t>
  </si>
  <si>
    <t>Total production (Billion $)</t>
  </si>
  <si>
    <t>Labour Production over Total(%)</t>
  </si>
  <si>
    <t>Labour production without money commodity over total(%)</t>
  </si>
  <si>
    <t>https://www.federalreserve.gov/faqs/currency_12771.htm</t>
  </si>
  <si>
    <t>https://www.federalreserve.gov/paymentsystems/coin_currency_orders.htm</t>
  </si>
  <si>
    <t>https://www.bankofengland.co.uk/knowledgebank/what-is-money</t>
  </si>
  <si>
    <t>Print Order (000s of pieces)</t>
  </si>
  <si>
    <t>Dollar value (000s)</t>
  </si>
  <si>
    <t>$1</t>
  </si>
  <si>
    <t>709,120 to 1,030,400</t>
  </si>
  <si>
    <t>$709,120 to $1,030,400</t>
  </si>
  <si>
    <t>$2</t>
  </si>
  <si>
    <t>38,400 to 51,200</t>
  </si>
  <si>
    <t>$76,800 to $102,400</t>
  </si>
  <si>
    <t>$5</t>
  </si>
  <si>
    <t>419,200 to 467,200</t>
  </si>
  <si>
    <t>$2,096,000 to $2,336,000</t>
  </si>
  <si>
    <t>$10</t>
  </si>
  <si>
    <t>300,800 to 428,800</t>
  </si>
  <si>
    <t>$3,008,000 to $4,288,000</t>
  </si>
  <si>
    <t>$20</t>
  </si>
  <si>
    <t>3,107,200 to 3,968,000</t>
  </si>
  <si>
    <t>$62,144,000 to $79,360,000</t>
  </si>
  <si>
    <t>$50</t>
  </si>
  <si>
    <t>483,200 to 499,200</t>
  </si>
  <si>
    <t>$24,160,000 to $24,960,000</t>
  </si>
  <si>
    <t>$100</t>
  </si>
  <si>
    <t>2,482,176 to 3,196,800</t>
  </si>
  <si>
    <t>$248,217,600 to $319,680,000</t>
  </si>
  <si>
    <t>7,568,896 to 9,612,800</t>
  </si>
  <si>
    <t>$341,237,120 to $430,931,200</t>
  </si>
  <si>
    <t>hypothesis</t>
  </si>
  <si>
    <t>Success rate (%)</t>
  </si>
  <si>
    <t>Money commodity hypothesis</t>
  </si>
  <si>
    <t>Chartalism Hypothesis</t>
  </si>
  <si>
    <t>Bill Type</t>
  </si>
  <si>
    <t>$1s</t>
  </si>
  <si>
    <t>2,022,400</t>
  </si>
  <si>
    <t>1,792,000</t>
  </si>
  <si>
    <t>2,278,400</t>
  </si>
  <si>
    <t>2,451,200</t>
  </si>
  <si>
    <t>2,425,600</t>
  </si>
  <si>
    <t>2,169,600</t>
  </si>
  <si>
    <t>2,118,400</t>
  </si>
  <si>
    <t>1,574,400</t>
  </si>
  <si>
    <t>$2s</t>
  </si>
  <si>
    <t>$5s</t>
  </si>
  <si>
    <t>$10s</t>
  </si>
  <si>
    <t>$20s</t>
  </si>
  <si>
    <t>1,568,000</t>
  </si>
  <si>
    <t>1,785,600</t>
  </si>
  <si>
    <t>1,868,800</t>
  </si>
  <si>
    <t>1,939,200</t>
  </si>
  <si>
    <t>1,715,200</t>
  </si>
  <si>
    <t>1,804,800</t>
  </si>
  <si>
    <t>1,324,800</t>
  </si>
  <si>
    <t>1,721,600</t>
  </si>
  <si>
    <t>$50s</t>
  </si>
  <si>
    <t>Old‑design $100s</t>
  </si>
  <si>
    <t>1,926,400</t>
  </si>
  <si>
    <t>$100s</t>
  </si>
  <si>
    <t>1,100,800</t>
  </si>
  <si>
    <t>2,502,400</t>
  </si>
  <si>
    <t>1,276,800</t>
  </si>
  <si>
    <t>1,516,800</t>
  </si>
  <si>
    <t>1,670,400</t>
  </si>
  <si>
    <t>1,411,200</t>
  </si>
  <si>
    <t>1,334,400</t>
  </si>
  <si>
    <t>Year</t>
  </si>
  <si>
    <t>Volume of money in bills</t>
  </si>
  <si>
    <t>LOCATION</t>
  </si>
  <si>
    <t>INDICATOR</t>
  </si>
  <si>
    <t>SUBJECT</t>
  </si>
  <si>
    <t>MEASURE</t>
  </si>
  <si>
    <t>FREQUENCY</t>
  </si>
  <si>
    <t>TIME</t>
  </si>
  <si>
    <t>Flag Codes</t>
  </si>
  <si>
    <t>USA</t>
  </si>
  <si>
    <t>GDPHRWKD</t>
  </si>
  <si>
    <t>TOT</t>
  </si>
  <si>
    <t>USD</t>
  </si>
  <si>
    <t>A</t>
  </si>
  <si>
    <t/>
  </si>
  <si>
    <t>E</t>
  </si>
  <si>
    <t>ANDALUCIA</t>
  </si>
  <si>
    <t>ARAGÓN</t>
  </si>
  <si>
    <t>P. Asturias</t>
  </si>
  <si>
    <t>Castilla-La Mancha</t>
  </si>
  <si>
    <t>Castilla Y León</t>
  </si>
  <si>
    <t>Illes Balears</t>
  </si>
  <si>
    <t>C. Madrid</t>
  </si>
  <si>
    <t>C. Valenciana</t>
  </si>
  <si>
    <t>Comunidad de Madrid</t>
  </si>
  <si>
    <t>ANDALUCÍA</t>
  </si>
  <si>
    <t>Principado de Asturias</t>
  </si>
  <si>
    <t>Tasa Ganancia</t>
  </si>
  <si>
    <t>Tasa Plusvalia</t>
  </si>
  <si>
    <t>Acumulación de Capital</t>
  </si>
  <si>
    <t>Ciclos del Capital</t>
  </si>
  <si>
    <t>TP-TG</t>
  </si>
  <si>
    <t>https://ec.europa.eu/eurostat/databrowser/view/tepsr_wc170/default/line?lang=en</t>
  </si>
  <si>
    <t>Tasa media de acierto 2005-2018</t>
  </si>
  <si>
    <t>Estados Sociedades</t>
  </si>
  <si>
    <t>Disueltas</t>
  </si>
  <si>
    <t>Reducen Capital</t>
  </si>
  <si>
    <t>Constituidas</t>
  </si>
  <si>
    <t>Empresas disueltas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</si>
  <si>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</si>
  <si>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</si>
  <si>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</si>
  <si>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</si>
  <si>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</si>
  <si>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</si>
  <si>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</si>
  <si>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</si>
  <si>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</si>
  <si>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</si>
  <si>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</si>
  <si>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</si>
  <si>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</si>
  <si>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</si>
  <si>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</si>
  <si>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</si>
  <si>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</si>
  <si>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</si>
  <si>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</si>
  <si>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</si>
  <si>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</si>
  <si>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</si>
  <si>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</si>
  <si>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</si>
  <si>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</si>
  <si>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</si>
  <si>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</si>
  <si>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</si>
  <si>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</si>
  <si>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</si>
  <si>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</si>
  <si>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</si>
  <si>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</si>
  <si>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</si>
  <si>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</si>
  <si>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</si>
  <si>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</si>
  <si>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</si>
  <si>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</si>
  <si>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</si>
  <si>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</si>
  <si>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</si>
  <si>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</si>
  <si>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</si>
  <si>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</si>
  <si>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</si>
  <si>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</si>
  <si>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</si>
  <si>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</si>
  <si>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</si>
  <si>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</si>
  <si>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</si>
  <si>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</si>
  <si>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</si>
  <si>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</si>
  <si>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</si>
  <si>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</si>
  <si>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</si>
  <si>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</si>
  <si>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</si>
  <si>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</si>
  <si>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</si>
  <si>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</si>
  <si>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</si>
  <si>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</si>
  <si>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</si>
  <si>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</si>
  <si>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</si>
  <si>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</si>
  <si>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</si>
  <si>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</si>
  <si>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</si>
  <si>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</si>
  <si>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</si>
  <si>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</si>
  <si>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</si>
  <si>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</si>
  <si>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</si>
  <si>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</si>
  <si>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</si>
  <si>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</si>
  <si>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</si>
  <si>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</si>
  <si>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</si>
  <si>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</si>
  <si>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</si>
  <si>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</si>
  <si>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</si>
  <si>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</si>
  <si>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</si>
  <si>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</si>
  <si>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</si>
  <si>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</si>
  <si>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</si>
  <si>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</si>
  <si>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</si>
  <si>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</si>
  <si>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</si>
  <si>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</si>
  <si>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</si>
  <si>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</si>
  <si>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</si>
  <si>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</si>
  <si>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</si>
  <si>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</si>
  <si>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</si>
  <si>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</si>
  <si>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</si>
  <si>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</si>
  <si>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</si>
  <si>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</si>
  <si>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</si>
  <si>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</si>
  <si>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</si>
  <si>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</si>
  <si>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</si>
  <si>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</si>
  <si>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</si>
  <si>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</si>
  <si>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</si>
  <si>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</si>
  <si>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</si>
  <si>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</si>
  <si>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</si>
  <si>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</si>
  <si>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</si>
  <si>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</si>
  <si>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</si>
  <si>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</si>
  <si>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</si>
  <si>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</si>
  <si>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</si>
  <si>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</si>
  <si>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</si>
  <si>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</si>
  <si>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</si>
  <si>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</si>
  <si>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</si>
  <si>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</si>
  <si>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</si>
  <si>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</si>
  <si>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</si>
  <si>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</si>
  <si>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</si>
  <si>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</si>
  <si>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</si>
  <si>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</si>
  <si>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</si>
  <si>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</si>
  <si>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</si>
  <si>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</si>
  <si>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</si>
  <si>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</si>
  <si>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</si>
  <si>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</si>
  <si>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</si>
  <si>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</si>
  <si>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</si>
  <si>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</si>
  <si>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</si>
  <si>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</si>
  <si>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</si>
  <si>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</si>
  <si>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</si>
  <si>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</si>
  <si>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</si>
  <si>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</si>
  <si>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</si>
  <si>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2007T4</t>
  </si>
  <si>
    <t>2007T3</t>
  </si>
  <si>
    <t>2007T2</t>
  </si>
  <si>
    <t>2007T1</t>
  </si>
  <si>
    <t>2006T4</t>
  </si>
  <si>
    <t>2006T3</t>
  </si>
  <si>
    <t>2006T2</t>
  </si>
  <si>
    <t>2006T1</t>
  </si>
  <si>
    <t>2005T4</t>
  </si>
  <si>
    <t>2005T3</t>
  </si>
  <si>
    <t>2005T2</t>
  </si>
  <si>
    <t>2005T1</t>
  </si>
  <si>
    <t>Comunidades, Ciudades Autónomas y Provincias</t>
  </si>
  <si>
    <t>SUM de Total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</si>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</sst>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\ [$€-1]"/>
    <numFmt numFmtId="165" formatCode="0.000"/>
    <numFmt numFmtId="166" formatCode="#,##0&quot;€&quot;"/>
    <numFmt numFmtId="167" formatCode="d&quot; de &quot;mmmm&quot; de &quot;yyyy"/>
    <numFmt numFmtId="168" formatCode="[$$]#,##0.00"/>
    <numFmt numFmtId="169" formatCode="#,##0.000"/>
  </numFmts>
  <fonts count="4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sz val="18.0"/>
      <color theme="1"/>
      <name val="Arial"/>
      <scheme val="minor"/>
    </font>
    <font/>
    <font>
      <b/>
      <sz val="18.0"/>
      <color theme="1"/>
      <name val="Arial"/>
    </font>
    <font>
      <sz val="11.0"/>
      <color rgb="FF1155CC"/>
      <name val="Inconsolata"/>
    </font>
    <font>
      <b/>
      <sz val="12.0"/>
      <color theme="1"/>
      <name val="Arial"/>
    </font>
    <font>
      <b/>
      <color theme="1"/>
      <name val="Arial"/>
      <scheme val="minor"/>
    </font>
    <font>
      <sz val="11.0"/>
      <color rgb="FFA61D4C"/>
      <name val="Inconsolata"/>
    </font>
    <font>
      <color theme="1"/>
      <name val="Arial"/>
    </font>
    <font>
      <sz val="7.0"/>
      <color rgb="FF000000"/>
      <name val="Verdana"/>
    </font>
    <font>
      <sz val="7.0"/>
      <color rgb="FF333333"/>
      <name val="Verdana"/>
    </font>
    <font>
      <sz val="12.0"/>
      <color theme="1"/>
      <name val="Arial"/>
    </font>
    <font>
      <i/>
      <color theme="1"/>
      <name val="Arial"/>
      <scheme val="minor"/>
    </font>
    <font>
      <u/>
      <color rgb="FF0000FF"/>
    </font>
    <font>
      <b/>
      <sz val="12.0"/>
      <color rgb="FFFFFFFF"/>
      <name val="Arial"/>
    </font>
    <font>
      <b/>
      <i/>
      <sz val="11.0"/>
      <color theme="1"/>
      <name val="Arial"/>
    </font>
    <font>
      <b/>
      <color theme="0"/>
      <name val="Arial"/>
      <scheme val="minor"/>
    </font>
    <font>
      <b/>
      <color rgb="FFFFFFFF"/>
      <name val="Arial"/>
      <scheme val="minor"/>
    </font>
    <font>
      <sz val="11.0"/>
      <color rgb="FF000000"/>
      <name val="Calibri"/>
    </font>
    <font>
      <u/>
      <color rgb="FF2B2B2B"/>
      <name val="Arial"/>
    </font>
    <font>
      <b/>
      <color rgb="FF333333"/>
      <name val="Arial"/>
    </font>
    <font>
      <color rgb="FF333333"/>
      <name val="Arial"/>
    </font>
    <font>
      <sz val="10.0"/>
      <color theme="1"/>
      <name val="Arial"/>
    </font>
    <font>
      <b/>
      <sz val="9.0"/>
      <color theme="1"/>
      <name val="Arial"/>
    </font>
    <font>
      <b/>
      <color theme="1"/>
      <name val="Arial"/>
    </font>
    <font>
      <i/>
      <color theme="1"/>
      <name val="Arial"/>
    </font>
    <font>
      <sz val="11.0"/>
      <color rgb="FF000000"/>
      <name val="Inconsolata"/>
    </font>
    <font>
      <b/>
      <sz val="36.0"/>
      <color rgb="FFFFFFFF"/>
      <name val="Arial"/>
      <scheme val="minor"/>
    </font>
    <font>
      <sz val="8.0"/>
      <color theme="1"/>
      <name val="&quot;Arial&quot;"/>
    </font>
    <font>
      <sz val="8.0"/>
      <color theme="1"/>
      <name val="&quot;Liberation Sans&quot;"/>
    </font>
    <font>
      <sz val="9.0"/>
      <color rgb="FF000000"/>
      <name val="&quot;Microsoft sans serif&quot;"/>
    </font>
    <font>
      <u/>
      <color rgb="FF0000FF"/>
    </font>
    <font>
      <b/>
      <sz val="11.0"/>
      <color theme="1"/>
      <name val="Arial"/>
      <scheme val="minor"/>
    </font>
    <font>
      <b/>
      <sz val="14.0"/>
      <color rgb="FFFFFFFF"/>
      <name val="Arial"/>
      <scheme val="minor"/>
    </font>
    <font>
      <b/>
      <sz val="12.0"/>
      <color theme="1"/>
      <name val="Arial"/>
      <scheme val="minor"/>
    </font>
    <font>
      <b/>
      <i/>
      <color theme="1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CFCFC"/>
        <bgColor rgb="FFFCFCFC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DEEEC"/>
        <bgColor rgb="FFDDEEEC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3F4F7"/>
        <bgColor rgb="FFF3F4F7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457E76"/>
      </bottom>
    </border>
    <border>
      <top style="thin">
        <color rgb="FF000000"/>
      </top>
      <bottom style="thin">
        <color rgb="FF457E76"/>
      </bottom>
    </border>
    <border>
      <right style="thin">
        <color rgb="FF000000"/>
      </right>
      <top style="thin">
        <color rgb="FF000000"/>
      </top>
      <bottom style="thin">
        <color rgb="FF457E76"/>
      </bottom>
    </border>
    <border>
      <left style="thin">
        <color rgb="FF000000"/>
      </left>
      <right style="thin">
        <color rgb="FF000000"/>
      </right>
      <bottom style="thin">
        <color rgb="FF457E76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57E76"/>
      </bottom>
    </border>
    <border>
      <bottom style="dotted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1" fillId="0" fontId="3" numFmtId="164" xfId="0" applyAlignment="1" applyBorder="1" applyFont="1" applyNumberFormat="1">
      <alignment horizontal="center" readingOrder="0" shrinkToFit="0" wrapText="1"/>
    </xf>
    <xf borderId="1" fillId="0" fontId="3" numFmtId="4" xfId="0" applyAlignment="1" applyBorder="1" applyFont="1" applyNumberFormat="1">
      <alignment horizontal="center" readingOrder="0" shrinkToFit="0" wrapText="1"/>
    </xf>
    <xf borderId="2" fillId="0" fontId="4" numFmtId="0" xfId="0" applyBorder="1" applyFont="1"/>
    <xf borderId="0" fillId="0" fontId="5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Font="1"/>
    <xf borderId="0" fillId="0" fontId="1" numFmtId="4" xfId="0" applyFont="1" applyNumberFormat="1"/>
    <xf borderId="0" fillId="4" fontId="6" numFmtId="4" xfId="0" applyAlignment="1" applyFill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/>
    </xf>
    <xf borderId="0" fillId="0" fontId="7" numFmtId="0" xfId="0" applyAlignment="1" applyFont="1">
      <alignment horizontal="center" shrinkToFit="0" vertical="bottom" wrapText="1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 shrinkToFit="0" wrapText="1"/>
    </xf>
    <xf borderId="0" fillId="4" fontId="9" numFmtId="0" xfId="0" applyFont="1"/>
    <xf borderId="0" fillId="0" fontId="1" numFmtId="10" xfId="0" applyFont="1" applyNumberFormat="1"/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3" fillId="2" fontId="10" numFmtId="0" xfId="0" applyAlignment="1" applyBorder="1" applyFont="1">
      <alignment readingOrder="0" vertical="bottom"/>
    </xf>
    <xf borderId="3" fillId="0" fontId="7" numFmtId="0" xfId="0" applyAlignment="1" applyBorder="1" applyFont="1">
      <alignment horizontal="center" readingOrder="0" shrinkToFit="0" vertical="bottom" wrapText="1"/>
    </xf>
    <xf borderId="3" fillId="0" fontId="7" numFmtId="0" xfId="0" applyAlignment="1" applyBorder="1" applyFont="1">
      <alignment horizontal="center" shrinkToFit="0" vertical="bottom" wrapText="1"/>
    </xf>
    <xf borderId="0" fillId="5" fontId="11" numFmtId="3" xfId="0" applyAlignment="1" applyFill="1" applyFont="1" applyNumberFormat="1">
      <alignment horizontal="right" readingOrder="0" shrinkToFit="0" wrapText="0"/>
    </xf>
    <xf borderId="0" fillId="6" fontId="12" numFmtId="3" xfId="0" applyAlignment="1" applyFill="1" applyFont="1" applyNumberFormat="1">
      <alignment horizontal="right" readingOrder="0" shrinkToFit="0" wrapText="0"/>
    </xf>
    <xf borderId="0" fillId="5" fontId="11" numFmtId="3" xfId="0" applyAlignment="1" applyFont="1" applyNumberFormat="1">
      <alignment horizontal="right" readingOrder="0" shrinkToFit="0" vertical="top" wrapText="0"/>
    </xf>
    <xf borderId="0" fillId="6" fontId="12" numFmtId="3" xfId="0" applyAlignment="1" applyFont="1" applyNumberFormat="1">
      <alignment horizontal="right" readingOrder="0" shrinkToFit="0" vertical="top" wrapText="0"/>
    </xf>
    <xf borderId="0" fillId="6" fontId="12" numFmtId="0" xfId="0" applyAlignment="1" applyFont="1">
      <alignment horizontal="right" readingOrder="0" shrinkToFit="0" wrapText="0"/>
    </xf>
    <xf borderId="0" fillId="0" fontId="1" numFmtId="0" xfId="0" applyFont="1"/>
    <xf borderId="0" fillId="0" fontId="8" numFmtId="0" xfId="0" applyAlignment="1" applyFont="1">
      <alignment horizontal="center" readingOrder="0"/>
    </xf>
    <xf borderId="4" fillId="0" fontId="1" numFmtId="0" xfId="0" applyBorder="1" applyFont="1"/>
    <xf borderId="5" fillId="7" fontId="8" numFmtId="0" xfId="0" applyAlignment="1" applyBorder="1" applyFill="1" applyFont="1">
      <alignment horizontal="center" readingOrder="0"/>
    </xf>
    <xf borderId="6" fillId="7" fontId="8" numFmtId="0" xfId="0" applyAlignment="1" applyBorder="1" applyFont="1">
      <alignment horizontal="center" readingOrder="0"/>
    </xf>
    <xf borderId="0" fillId="0" fontId="13" numFmtId="0" xfId="0" applyAlignment="1" applyFont="1">
      <alignment horizontal="center" shrinkToFit="0" vertical="bottom" wrapText="1"/>
    </xf>
    <xf borderId="7" fillId="0" fontId="13" numFmtId="0" xfId="0" applyAlignment="1" applyBorder="1" applyFont="1">
      <alignment horizontal="center" shrinkToFit="0" vertical="bottom" wrapText="1"/>
    </xf>
    <xf borderId="0" fillId="0" fontId="1" numFmtId="165" xfId="0" applyAlignment="1" applyFont="1" applyNumberFormat="1">
      <alignment horizontal="center"/>
    </xf>
    <xf borderId="8" fillId="8" fontId="1" numFmtId="165" xfId="0" applyAlignment="1" applyBorder="1" applyFill="1" applyFont="1" applyNumberFormat="1">
      <alignment horizontal="center"/>
    </xf>
    <xf borderId="0" fillId="0" fontId="8" numFmtId="165" xfId="0" applyAlignment="1" applyFont="1" applyNumberFormat="1">
      <alignment horizontal="center" readingOrder="0"/>
    </xf>
    <xf borderId="8" fillId="8" fontId="8" numFmtId="165" xfId="0" applyAlignment="1" applyBorder="1" applyFont="1" applyNumberFormat="1">
      <alignment horizontal="center" readingOrder="0"/>
    </xf>
    <xf borderId="7" fillId="0" fontId="13" numFmtId="0" xfId="0" applyAlignment="1" applyBorder="1" applyFont="1">
      <alignment horizontal="center" readingOrder="0" shrinkToFit="0" vertical="bottom" wrapText="1"/>
    </xf>
    <xf borderId="8" fillId="9" fontId="1" numFmtId="165" xfId="0" applyAlignment="1" applyBorder="1" applyFill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8" fillId="0" fontId="1" numFmtId="165" xfId="0" applyAlignment="1" applyBorder="1" applyFont="1" applyNumberFormat="1">
      <alignment horizontal="center" readingOrder="0"/>
    </xf>
    <xf borderId="0" fillId="0" fontId="13" numFmtId="0" xfId="0" applyAlignment="1" applyFont="1">
      <alignment horizontal="center" readingOrder="0" shrinkToFit="0" vertical="bottom" wrapText="1"/>
    </xf>
    <xf borderId="8" fillId="0" fontId="1" numFmtId="165" xfId="0" applyAlignment="1" applyBorder="1" applyFont="1" applyNumberFormat="1">
      <alignment horizontal="center"/>
    </xf>
    <xf borderId="8" fillId="10" fontId="1" numFmtId="165" xfId="0" applyAlignment="1" applyBorder="1" applyFill="1" applyFont="1" applyNumberFormat="1">
      <alignment horizontal="center"/>
    </xf>
    <xf borderId="8" fillId="0" fontId="8" numFmtId="165" xfId="0" applyAlignment="1" applyBorder="1" applyFont="1" applyNumberFormat="1">
      <alignment horizontal="center" readingOrder="0"/>
    </xf>
    <xf borderId="8" fillId="11" fontId="1" numFmtId="165" xfId="0" applyAlignment="1" applyBorder="1" applyFill="1" applyFont="1" applyNumberFormat="1">
      <alignment horizontal="center"/>
    </xf>
    <xf borderId="2" fillId="0" fontId="13" numFmtId="0" xfId="0" applyAlignment="1" applyBorder="1" applyFont="1">
      <alignment horizontal="center" shrinkToFit="0" vertical="bottom" wrapText="1"/>
    </xf>
    <xf borderId="3" fillId="0" fontId="1" numFmtId="165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 readingOrder="0"/>
    </xf>
    <xf borderId="9" fillId="0" fontId="1" numFmtId="165" xfId="0" applyAlignment="1" applyBorder="1" applyFont="1" applyNumberFormat="1">
      <alignment horizontal="center" readingOrder="0"/>
    </xf>
    <xf borderId="10" fillId="0" fontId="8" numFmtId="0" xfId="0" applyAlignment="1" applyBorder="1" applyFont="1">
      <alignment horizontal="center" readingOrder="0"/>
    </xf>
    <xf borderId="5" fillId="0" fontId="8" numFmtId="165" xfId="0" applyAlignment="1" applyBorder="1" applyFont="1" applyNumberFormat="1">
      <alignment horizontal="center"/>
    </xf>
    <xf borderId="6" fillId="0" fontId="8" numFmtId="165" xfId="0" applyAlignment="1" applyBorder="1" applyFont="1" applyNumberFormat="1">
      <alignment horizontal="center"/>
    </xf>
    <xf borderId="9" fillId="0" fontId="1" numFmtId="165" xfId="0" applyAlignment="1" applyBorder="1" applyFont="1" applyNumberFormat="1">
      <alignment horizontal="center"/>
    </xf>
    <xf borderId="2" fillId="0" fontId="13" numFmtId="0" xfId="0" applyAlignment="1" applyBorder="1" applyFont="1">
      <alignment horizontal="center" readingOrder="0" shrinkToFit="0" vertical="bottom" wrapText="1"/>
    </xf>
    <xf borderId="3" fillId="2" fontId="10" numFmtId="0" xfId="0" applyAlignment="1" applyBorder="1" applyFont="1">
      <alignment vertical="bottom"/>
    </xf>
    <xf borderId="8" fillId="0" fontId="14" numFmtId="0" xfId="0" applyAlignment="1" applyBorder="1" applyFont="1">
      <alignment horizontal="center" readingOrder="0" shrinkToFit="0" wrapText="1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10" fillId="3" fontId="16" numFmtId="0" xfId="0" applyAlignment="1" applyBorder="1" applyFont="1">
      <alignment horizontal="center" shrinkToFit="0" vertical="bottom" wrapText="1"/>
    </xf>
    <xf borderId="5" fillId="0" fontId="4" numFmtId="0" xfId="0" applyBorder="1" applyFont="1"/>
    <xf borderId="6" fillId="0" fontId="4" numFmtId="0" xfId="0" applyBorder="1" applyFont="1"/>
    <xf borderId="10" fillId="0" fontId="17" numFmtId="10" xfId="0" applyAlignment="1" applyBorder="1" applyFont="1" applyNumberFormat="1">
      <alignment horizontal="center" vertical="bottom"/>
    </xf>
    <xf borderId="10" fillId="3" fontId="16" numFmtId="0" xfId="0" applyAlignment="1" applyBorder="1" applyFont="1">
      <alignment horizontal="center" readingOrder="0" shrinkToFit="0" vertical="bottom" wrapText="1"/>
    </xf>
    <xf borderId="0" fillId="0" fontId="1" numFmtId="4" xfId="0" applyAlignment="1" applyFont="1" applyNumberFormat="1">
      <alignment horizontal="center"/>
    </xf>
    <xf borderId="8" fillId="0" fontId="14" numFmtId="0" xfId="0" applyAlignment="1" applyBorder="1" applyFont="1">
      <alignment horizontal="center" readingOrder="0"/>
    </xf>
    <xf borderId="11" fillId="0" fontId="8" numFmtId="0" xfId="0" applyAlignment="1" applyBorder="1" applyFont="1">
      <alignment horizontal="center" readingOrder="0"/>
    </xf>
    <xf borderId="12" fillId="0" fontId="8" numFmtId="3" xfId="0" applyAlignment="1" applyBorder="1" applyFont="1" applyNumberFormat="1">
      <alignment horizontal="center"/>
    </xf>
    <xf borderId="12" fillId="0" fontId="8" numFmtId="4" xfId="0" applyAlignment="1" applyBorder="1" applyFont="1" applyNumberFormat="1">
      <alignment horizontal="center"/>
    </xf>
    <xf borderId="12" fillId="0" fontId="8" numFmtId="3" xfId="0" applyAlignment="1" applyBorder="1" applyFont="1" applyNumberFormat="1">
      <alignment horizontal="center" readingOrder="0"/>
    </xf>
    <xf borderId="12" fillId="0" fontId="8" numFmtId="0" xfId="0" applyAlignment="1" applyBorder="1" applyFont="1">
      <alignment horizontal="center"/>
    </xf>
    <xf borderId="13" fillId="0" fontId="8" numFmtId="10" xfId="0" applyAlignment="1" applyBorder="1" applyFont="1" applyNumberFormat="1">
      <alignment horizontal="center"/>
    </xf>
    <xf borderId="0" fillId="0" fontId="8" numFmtId="10" xfId="0" applyAlignment="1" applyFont="1" applyNumberFormat="1">
      <alignment horizontal="center"/>
    </xf>
    <xf borderId="3" fillId="0" fontId="14" numFmtId="0" xfId="0" applyAlignment="1" applyBorder="1" applyFont="1">
      <alignment horizontal="center" readingOrder="0"/>
    </xf>
    <xf borderId="0" fillId="0" fontId="1" numFmtId="166" xfId="0" applyAlignment="1" applyFont="1" applyNumberFormat="1">
      <alignment readingOrder="0"/>
    </xf>
    <xf borderId="0" fillId="0" fontId="14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12" fillId="0" fontId="8" numFmtId="0" xfId="0" applyAlignment="1" applyBorder="1" applyFont="1">
      <alignment horizontal="center" readingOrder="0"/>
    </xf>
    <xf borderId="0" fillId="0" fontId="8" numFmtId="3" xfId="0" applyAlignment="1" applyFont="1" applyNumberFormat="1">
      <alignment readingOrder="0"/>
    </xf>
    <xf borderId="10" fillId="3" fontId="18" numFmtId="0" xfId="0" applyAlignment="1" applyBorder="1" applyFont="1">
      <alignment horizontal="center" readingOrder="0"/>
    </xf>
    <xf borderId="5" fillId="3" fontId="18" numFmtId="0" xfId="0" applyAlignment="1" applyBorder="1" applyFont="1">
      <alignment horizontal="center" readingOrder="0"/>
    </xf>
    <xf borderId="5" fillId="3" fontId="19" numFmtId="0" xfId="0" applyAlignment="1" applyBorder="1" applyFont="1">
      <alignment horizontal="center" readingOrder="0"/>
    </xf>
    <xf borderId="6" fillId="3" fontId="19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8" fillId="0" fontId="1" numFmtId="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8" fillId="0" fontId="1" numFmtId="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164" xfId="0" applyAlignment="1" applyBorder="1" applyFont="1" applyNumberFormat="1">
      <alignment horizontal="center"/>
    </xf>
    <xf borderId="3" fillId="0" fontId="1" numFmtId="4" xfId="0" applyAlignment="1" applyBorder="1" applyFont="1" applyNumberFormat="1">
      <alignment horizontal="center"/>
    </xf>
    <xf borderId="3" fillId="0" fontId="1" numFmtId="10" xfId="0" applyAlignment="1" applyBorder="1" applyFont="1" applyNumberFormat="1">
      <alignment horizontal="center"/>
    </xf>
    <xf borderId="9" fillId="0" fontId="1" numFmtId="4" xfId="0" applyAlignment="1" applyBorder="1" applyFont="1" applyNumberFormat="1">
      <alignment horizontal="center" readingOrder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horizontal="right" readingOrder="0" shrinkToFit="0" vertical="bottom" wrapText="0"/>
    </xf>
    <xf borderId="0" fillId="0" fontId="20" numFmtId="4" xfId="0" applyAlignment="1" applyFont="1" applyNumberFormat="1">
      <alignment readingOrder="0" shrinkToFit="0" vertical="bottom" wrapText="0"/>
    </xf>
    <xf borderId="0" fillId="0" fontId="21" numFmtId="0" xfId="0" applyAlignment="1" applyFont="1">
      <alignment horizontal="left" readingOrder="0" shrinkToFit="0" wrapText="0"/>
    </xf>
    <xf borderId="1" fillId="12" fontId="22" numFmtId="0" xfId="0" applyAlignment="1" applyBorder="1" applyFill="1" applyFont="1">
      <alignment horizontal="right"/>
    </xf>
    <xf borderId="1" fillId="12" fontId="22" numFmtId="167" xfId="0" applyAlignment="1" applyBorder="1" applyFont="1" applyNumberFormat="1">
      <alignment horizontal="center" readingOrder="0"/>
    </xf>
    <xf borderId="15" fillId="0" fontId="22" numFmtId="0" xfId="0" applyAlignment="1" applyBorder="1" applyFont="1">
      <alignment horizontal="left" readingOrder="0"/>
    </xf>
    <xf borderId="16" fillId="0" fontId="22" numFmtId="0" xfId="0" applyAlignment="1" applyBorder="1" applyFont="1">
      <alignment horizontal="left" readingOrder="0"/>
    </xf>
    <xf borderId="17" fillId="0" fontId="22" numFmtId="0" xfId="0" applyAlignment="1" applyBorder="1" applyFont="1">
      <alignment horizontal="left" readingOrder="0"/>
    </xf>
    <xf borderId="7" fillId="0" fontId="23" numFmtId="0" xfId="0" applyAlignment="1" applyBorder="1" applyFont="1">
      <alignment horizontal="left" readingOrder="0"/>
    </xf>
    <xf borderId="7" fillId="0" fontId="23" numFmtId="3" xfId="0" applyAlignment="1" applyBorder="1" applyFont="1" applyNumberFormat="1">
      <alignment horizontal="right" readingOrder="0"/>
    </xf>
    <xf borderId="18" fillId="0" fontId="23" numFmtId="0" xfId="0" applyAlignment="1" applyBorder="1" applyFont="1">
      <alignment horizontal="left" readingOrder="0"/>
    </xf>
    <xf borderId="18" fillId="0" fontId="23" numFmtId="3" xfId="0" applyAlignment="1" applyBorder="1" applyFont="1" applyNumberFormat="1">
      <alignment horizontal="right" readingOrder="0"/>
    </xf>
    <xf borderId="16" fillId="0" fontId="4" numFmtId="0" xfId="0" applyBorder="1" applyFont="1"/>
    <xf borderId="17" fillId="0" fontId="4" numFmtId="0" xfId="0" applyBorder="1" applyFont="1"/>
    <xf borderId="1" fillId="0" fontId="23" numFmtId="0" xfId="0" applyAlignment="1" applyBorder="1" applyFont="1">
      <alignment horizontal="left" readingOrder="0"/>
    </xf>
    <xf borderId="1" fillId="0" fontId="23" numFmtId="3" xfId="0" applyAlignment="1" applyBorder="1" applyFont="1" applyNumberFormat="1">
      <alignment horizontal="right" readingOrder="0"/>
    </xf>
    <xf borderId="0" fillId="0" fontId="1" numFmtId="10" xfId="0" applyAlignment="1" applyFont="1" applyNumberFormat="1">
      <alignment horizontal="center" readingOrder="0"/>
    </xf>
    <xf borderId="9" fillId="0" fontId="1" numFmtId="4" xfId="0" applyAlignment="1" applyBorder="1" applyFont="1" applyNumberFormat="1">
      <alignment horizontal="center"/>
    </xf>
    <xf borderId="0" fillId="8" fontId="10" numFmtId="0" xfId="0" applyAlignment="1" applyFont="1">
      <alignment readingOrder="0" vertical="bottom"/>
    </xf>
    <xf borderId="0" fillId="0" fontId="24" numFmtId="3" xfId="0" applyAlignment="1" applyFont="1" applyNumberFormat="1">
      <alignment horizontal="center"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8" numFmtId="164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8" numFmtId="3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/>
    </xf>
    <xf borderId="0" fillId="0" fontId="1" numFmtId="0" xfId="0" applyAlignment="1" applyFont="1">
      <alignment readingOrder="0" shrinkToFit="0" wrapText="1"/>
    </xf>
    <xf borderId="0" fillId="13" fontId="8" numFmtId="0" xfId="0" applyAlignment="1" applyFill="1" applyFont="1">
      <alignment horizontal="center" readingOrder="0"/>
    </xf>
    <xf borderId="0" fillId="13" fontId="1" numFmtId="3" xfId="0" applyAlignment="1" applyFont="1" applyNumberFormat="1">
      <alignment readingOrder="0"/>
    </xf>
    <xf borderId="0" fillId="13" fontId="1" numFmtId="0" xfId="0" applyAlignment="1" applyFont="1">
      <alignment readingOrder="0"/>
    </xf>
    <xf borderId="0" fillId="13" fontId="1" numFmtId="0" xfId="0" applyFont="1"/>
    <xf borderId="0" fillId="3" fontId="16" numFmtId="0" xfId="0" applyAlignment="1" applyFont="1">
      <alignment horizontal="center" shrinkToFit="0" vertical="bottom" wrapText="1"/>
    </xf>
    <xf borderId="0" fillId="0" fontId="17" numFmtId="10" xfId="0" applyAlignment="1" applyFont="1" applyNumberFormat="1">
      <alignment horizontal="center" vertical="bottom"/>
    </xf>
    <xf borderId="0" fillId="3" fontId="16" numFmtId="0" xfId="0" applyAlignment="1" applyFont="1">
      <alignment horizontal="center" readingOrder="0" shrinkToFit="0" vertical="bottom" wrapText="1"/>
    </xf>
    <xf borderId="4" fillId="0" fontId="25" numFmtId="4" xfId="0" applyAlignment="1" applyBorder="1" applyFont="1" applyNumberFormat="1">
      <alignment horizontal="right" readingOrder="0" shrinkToFit="0" vertical="bottom" wrapText="0"/>
    </xf>
    <xf borderId="19" fillId="0" fontId="1" numFmtId="0" xfId="0" applyBorder="1" applyFont="1"/>
    <xf borderId="19" fillId="0" fontId="8" numFmtId="0" xfId="0" applyAlignment="1" applyBorder="1" applyFont="1">
      <alignment horizontal="center" readingOrder="0"/>
    </xf>
    <xf borderId="19" fillId="0" fontId="8" numFmtId="0" xfId="0" applyAlignment="1" applyBorder="1" applyFont="1">
      <alignment horizontal="center" readingOrder="0" shrinkToFit="0" wrapText="1"/>
    </xf>
    <xf borderId="20" fillId="0" fontId="8" numFmtId="0" xfId="0" applyAlignment="1" applyBorder="1" applyFont="1">
      <alignment readingOrder="0"/>
    </xf>
    <xf borderId="0" fillId="0" fontId="1" numFmtId="164" xfId="0" applyAlignment="1" applyFont="1" applyNumberFormat="1">
      <alignment horizontal="center" readingOrder="0"/>
    </xf>
    <xf borderId="20" fillId="0" fontId="14" numFmtId="0" xfId="0" applyAlignment="1" applyBorder="1" applyFont="1">
      <alignment readingOrder="0"/>
    </xf>
    <xf borderId="0" fillId="0" fontId="14" numFmtId="3" xfId="0" applyAlignment="1" applyFont="1" applyNumberFormat="1">
      <alignment horizontal="center" readingOrder="0"/>
    </xf>
    <xf borderId="0" fillId="0" fontId="14" numFmtId="164" xfId="0" applyAlignment="1" applyFont="1" applyNumberFormat="1">
      <alignment horizontal="center" readingOrder="0"/>
    </xf>
    <xf borderId="0" fillId="0" fontId="14" numFmtId="0" xfId="0" applyAlignment="1" applyFont="1">
      <alignment horizontal="center"/>
    </xf>
    <xf borderId="0" fillId="0" fontId="14" numFmtId="164" xfId="0" applyAlignment="1" applyFont="1" applyNumberFormat="1">
      <alignment horizontal="center"/>
    </xf>
    <xf borderId="20" fillId="0" fontId="14" numFmtId="0" xfId="0" applyAlignment="1" applyBorder="1" applyFont="1">
      <alignment readingOrder="0" shrinkToFit="0" wrapText="1"/>
    </xf>
    <xf borderId="0" fillId="0" fontId="10" numFmtId="164" xfId="0" applyAlignment="1" applyFont="1" applyNumberFormat="1">
      <alignment horizontal="center" readingOrder="0" vertical="bottom"/>
    </xf>
    <xf borderId="12" fillId="0" fontId="8" numFmtId="164" xfId="0" applyAlignment="1" applyBorder="1" applyFont="1" applyNumberFormat="1">
      <alignment horizontal="center"/>
    </xf>
    <xf borderId="13" fillId="0" fontId="8" numFmtId="164" xfId="0" applyAlignment="1" applyBorder="1" applyFont="1" applyNumberFormat="1">
      <alignment horizontal="center"/>
    </xf>
    <xf borderId="0" fillId="0" fontId="10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26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 textRotation="90"/>
    </xf>
    <xf borderId="0" fillId="0" fontId="27" numFmtId="0" xfId="0" applyAlignment="1" applyFont="1">
      <alignment vertical="bottom"/>
    </xf>
    <xf borderId="0" fillId="0" fontId="27" numFmtId="0" xfId="0" applyAlignment="1" applyFont="1">
      <alignment shrinkToFit="0" vertical="bottom" wrapText="1"/>
    </xf>
    <xf borderId="0" fillId="4" fontId="28" numFmtId="0" xfId="0" applyAlignment="1" applyFont="1">
      <alignment readingOrder="0"/>
    </xf>
    <xf borderId="21" fillId="0" fontId="8" numFmtId="0" xfId="0" applyAlignment="1" applyBorder="1" applyFont="1">
      <alignment horizontal="center" readingOrder="0"/>
    </xf>
    <xf borderId="22" fillId="0" fontId="8" numFmtId="3" xfId="0" applyAlignment="1" applyBorder="1" applyFont="1" applyNumberFormat="1">
      <alignment horizontal="center"/>
    </xf>
    <xf borderId="22" fillId="0" fontId="8" numFmtId="0" xfId="0" applyAlignment="1" applyBorder="1" applyFont="1">
      <alignment horizontal="center"/>
    </xf>
    <xf borderId="22" fillId="0" fontId="8" numFmtId="4" xfId="0" applyAlignment="1" applyBorder="1" applyFont="1" applyNumberFormat="1">
      <alignment horizontal="center"/>
    </xf>
    <xf borderId="22" fillId="0" fontId="8" numFmtId="3" xfId="0" applyAlignment="1" applyBorder="1" applyFont="1" applyNumberFormat="1">
      <alignment horizontal="center" readingOrder="0"/>
    </xf>
    <xf borderId="23" fillId="0" fontId="8" numFmtId="10" xfId="0" applyAlignment="1" applyBorder="1" applyFont="1" applyNumberFormat="1">
      <alignment horizontal="center"/>
    </xf>
    <xf borderId="0" fillId="14" fontId="29" numFmtId="0" xfId="0" applyAlignment="1" applyFill="1" applyFont="1">
      <alignment horizontal="center" readingOrder="0"/>
    </xf>
    <xf borderId="22" fillId="0" fontId="8" numFmtId="4" xfId="0" applyAlignment="1" applyBorder="1" applyFont="1" applyNumberFormat="1">
      <alignment horizontal="center" readingOrder="0"/>
    </xf>
    <xf borderId="22" fillId="0" fontId="8" numFmtId="10" xfId="0" applyAlignment="1" applyBorder="1" applyFont="1" applyNumberFormat="1">
      <alignment horizontal="center" readingOrder="0"/>
    </xf>
    <xf borderId="0" fillId="4" fontId="6" numFmtId="0" xfId="0" applyAlignment="1" applyFont="1">
      <alignment horizontal="center" readingOrder="0"/>
    </xf>
    <xf borderId="15" fillId="12" fontId="22" numFmtId="0" xfId="0" applyAlignment="1" applyBorder="1" applyFont="1">
      <alignment horizontal="center" readingOrder="0"/>
    </xf>
    <xf borderId="18" fillId="0" fontId="4" numFmtId="0" xfId="0" applyBorder="1" applyFont="1"/>
    <xf borderId="24" fillId="0" fontId="22" numFmtId="0" xfId="0" applyAlignment="1" applyBorder="1" applyFont="1">
      <alignment horizontal="center" readingOrder="0"/>
    </xf>
    <xf borderId="25" fillId="0" fontId="1" numFmtId="0" xfId="0" applyAlignment="1" applyBorder="1" applyFont="1">
      <alignment horizontal="center" readingOrder="0" shrinkToFit="0" wrapText="1"/>
    </xf>
    <xf borderId="25" fillId="0" fontId="1" numFmtId="164" xfId="0" applyAlignment="1" applyBorder="1" applyFont="1" applyNumberFormat="1">
      <alignment horizontal="center" readingOrder="0"/>
    </xf>
    <xf borderId="25" fillId="0" fontId="1" numFmtId="164" xfId="0" applyAlignment="1" applyBorder="1" applyFont="1" applyNumberFormat="1">
      <alignment horizontal="center"/>
    </xf>
    <xf borderId="25" fillId="0" fontId="1" numFmtId="0" xfId="0" applyAlignment="1" applyBorder="1" applyFont="1">
      <alignment horizontal="center" readingOrder="0"/>
    </xf>
    <xf borderId="24" fillId="0" fontId="23" numFmtId="0" xfId="0" applyAlignment="1" applyBorder="1" applyFont="1">
      <alignment horizontal="left" readingOrder="0"/>
    </xf>
    <xf borderId="24" fillId="0" fontId="23" numFmtId="0" xfId="0" applyAlignment="1" applyBorder="1" applyFont="1">
      <alignment horizontal="right" readingOrder="0"/>
    </xf>
    <xf borderId="3" fillId="0" fontId="1" numFmtId="164" xfId="0" applyAlignment="1" applyBorder="1" applyFont="1" applyNumberFormat="1">
      <alignment horizontal="center" readingOrder="0"/>
    </xf>
    <xf borderId="0" fillId="0" fontId="10" numFmtId="0" xfId="0" applyAlignment="1" applyFont="1">
      <alignment horizontal="center" vertical="bottom"/>
    </xf>
    <xf borderId="24" fillId="0" fontId="22" numFmtId="0" xfId="0" applyAlignment="1" applyBorder="1" applyFont="1">
      <alignment horizontal="left" readingOrder="0"/>
    </xf>
    <xf borderId="26" fillId="0" fontId="8" numFmtId="0" xfId="0" applyAlignment="1" applyBorder="1" applyFont="1">
      <alignment horizontal="center" readingOrder="0"/>
    </xf>
    <xf borderId="26" fillId="0" fontId="1" numFmtId="164" xfId="0" applyAlignment="1" applyBorder="1" applyFont="1" applyNumberFormat="1">
      <alignment horizontal="center"/>
    </xf>
    <xf borderId="27" fillId="0" fontId="8" numFmtId="0" xfId="0" applyAlignment="1" applyBorder="1" applyFont="1">
      <alignment horizontal="center" readingOrder="0"/>
    </xf>
    <xf borderId="28" fillId="0" fontId="1" numFmtId="164" xfId="0" applyAlignment="1" applyBorder="1" applyFont="1" applyNumberFormat="1">
      <alignment horizontal="center"/>
    </xf>
    <xf borderId="14" fillId="0" fontId="8" numFmtId="0" xfId="0" applyAlignment="1" applyBorder="1" applyFont="1">
      <alignment horizontal="center" readingOrder="0"/>
    </xf>
    <xf borderId="8" fillId="0" fontId="1" numFmtId="164" xfId="0" applyAlignment="1" applyBorder="1" applyFont="1" applyNumberFormat="1">
      <alignment horizontal="center"/>
    </xf>
    <xf borderId="8" fillId="0" fontId="1" numFmtId="10" xfId="0" applyAlignment="1" applyBorder="1" applyFont="1" applyNumberFormat="1">
      <alignment horizontal="center"/>
    </xf>
    <xf borderId="29" fillId="0" fontId="8" numFmtId="0" xfId="0" applyAlignment="1" applyBorder="1" applyFont="1">
      <alignment horizontal="center" readingOrder="0"/>
    </xf>
    <xf borderId="9" fillId="0" fontId="1" numFmtId="10" xfId="0" applyAlignment="1" applyBorder="1" applyFont="1" applyNumberFormat="1">
      <alignment horizontal="center"/>
    </xf>
    <xf borderId="0" fillId="0" fontId="8" numFmtId="164" xfId="0" applyAlignment="1" applyFont="1" applyNumberFormat="1">
      <alignment horizontal="center" readingOrder="0"/>
    </xf>
    <xf borderId="0" fillId="0" fontId="14" numFmtId="0" xfId="0" applyAlignment="1" applyFont="1">
      <alignment readingOrder="0" shrinkToFit="0" wrapText="1"/>
    </xf>
    <xf borderId="0" fillId="0" fontId="30" numFmtId="164" xfId="0" applyAlignment="1" applyFont="1" applyNumberFormat="1">
      <alignment horizontal="right" readingOrder="0"/>
    </xf>
    <xf borderId="0" fillId="0" fontId="3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31" numFmtId="4" xfId="0" applyAlignment="1" applyFont="1" applyNumberFormat="1">
      <alignment horizontal="left" readingOrder="0"/>
    </xf>
    <xf borderId="0" fillId="0" fontId="31" numFmtId="0" xfId="0" applyAlignment="1" applyFont="1">
      <alignment horizontal="left" readingOrder="0"/>
    </xf>
    <xf borderId="0" fillId="0" fontId="31" numFmtId="0" xfId="0" applyAlignment="1" applyFont="1">
      <alignment horizontal="right" readingOrder="0"/>
    </xf>
    <xf borderId="0" fillId="0" fontId="31" numFmtId="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3" fillId="0" fontId="1" numFmtId="0" xfId="0" applyAlignment="1" applyBorder="1" applyFont="1">
      <alignment readingOrder="0"/>
    </xf>
    <xf borderId="3" fillId="0" fontId="1" numFmtId="3" xfId="0" applyAlignment="1" applyBorder="1" applyFont="1" applyNumberFormat="1">
      <alignment readingOrder="0"/>
    </xf>
    <xf borderId="0" fillId="3" fontId="19" numFmtId="0" xfId="0" applyAlignment="1" applyFont="1">
      <alignment horizontal="center" readingOrder="0"/>
    </xf>
    <xf borderId="0" fillId="3" fontId="19" numFmtId="0" xfId="0" applyAlignment="1" applyFont="1">
      <alignment horizontal="center" readingOrder="0" shrinkToFit="0" wrapText="1"/>
    </xf>
    <xf borderId="0" fillId="0" fontId="1" numFmtId="168" xfId="0" applyAlignment="1" applyFont="1" applyNumberFormat="1">
      <alignment horizontal="center" readingOrder="0"/>
    </xf>
    <xf borderId="0" fillId="0" fontId="1" numFmtId="168" xfId="0" applyAlignment="1" applyFont="1" applyNumberFormat="1">
      <alignment horizontal="center"/>
    </xf>
    <xf borderId="0" fillId="0" fontId="1" numFmtId="168" xfId="0" applyAlignment="1" applyFont="1" applyNumberFormat="1">
      <alignment horizontal="center"/>
    </xf>
    <xf borderId="0" fillId="0" fontId="1" numFmtId="168" xfId="0" applyAlignment="1" applyFont="1" applyNumberFormat="1">
      <alignment horizontal="center" readingOrder="0"/>
    </xf>
    <xf borderId="0" fillId="0" fontId="1" numFmtId="168" xfId="0" applyFont="1" applyNumberFormat="1"/>
    <xf borderId="0" fillId="0" fontId="1" numFmtId="0" xfId="0" applyAlignment="1" applyFont="1">
      <alignment readingOrder="0" vertical="bottom"/>
    </xf>
    <xf borderId="0" fillId="0" fontId="8" numFmtId="0" xfId="0" applyAlignment="1" applyFont="1">
      <alignment horizontal="right" readingOrder="0"/>
    </xf>
    <xf borderId="0" fillId="0" fontId="1" numFmtId="3" xfId="0" applyAlignment="1" applyFont="1" applyNumberFormat="1">
      <alignment horizontal="right" readingOrder="0"/>
    </xf>
    <xf borderId="0" fillId="0" fontId="1" numFmtId="168" xfId="0" applyFont="1" applyNumberFormat="1"/>
    <xf borderId="0" fillId="0" fontId="20" numFmtId="0" xfId="0" applyAlignment="1" applyFont="1">
      <alignment readingOrder="0" shrinkToFit="0" vertical="bottom" wrapText="0"/>
    </xf>
    <xf borderId="0" fillId="0" fontId="20" numFmtId="3" xfId="0" applyAlignment="1" applyFont="1" applyNumberFormat="1">
      <alignment readingOrder="0" shrinkToFit="0" vertical="bottom" wrapText="0"/>
    </xf>
    <xf borderId="0" fillId="0" fontId="32" numFmtId="0" xfId="0" applyAlignment="1" applyFont="1">
      <alignment horizontal="center" vertical="top"/>
    </xf>
    <xf borderId="0" fillId="5" fontId="11" numFmtId="0" xfId="0" applyAlignment="1" applyFont="1">
      <alignment horizontal="right" readingOrder="0" shrinkToFit="0" wrapText="0"/>
    </xf>
    <xf borderId="0" fillId="0" fontId="33" numFmtId="0" xfId="0" applyFont="1"/>
    <xf borderId="0" fillId="15" fontId="1" numFmtId="0" xfId="0" applyFill="1" applyFont="1"/>
    <xf borderId="0" fillId="0" fontId="34" numFmtId="0" xfId="0" applyAlignment="1" applyFont="1">
      <alignment horizontal="center"/>
    </xf>
    <xf borderId="0" fillId="0" fontId="34" numFmtId="0" xfId="0" applyFont="1"/>
    <xf borderId="10" fillId="3" fontId="35" numFmtId="0" xfId="0" applyAlignment="1" applyBorder="1" applyFont="1">
      <alignment horizontal="center" readingOrder="0" shrinkToFit="0" wrapText="1"/>
    </xf>
    <xf borderId="10" fillId="0" fontId="36" numFmtId="10" xfId="0" applyAlignment="1" applyBorder="1" applyFont="1" applyNumberFormat="1">
      <alignment horizontal="center"/>
    </xf>
    <xf borderId="0" fillId="0" fontId="37" numFmtId="0" xfId="0" applyFont="1"/>
    <xf borderId="3" fillId="0" fontId="14" numFmtId="0" xfId="0" applyAlignment="1" applyBorder="1" applyFont="1">
      <alignment horizontal="center" readingOrder="0" shrinkToFit="0" wrapText="1"/>
    </xf>
    <xf borderId="8" fillId="0" fontId="14" numFmtId="0" xfId="0" applyAlignment="1" applyBorder="1" applyFont="1">
      <alignment readingOrder="0"/>
    </xf>
    <xf borderId="8" fillId="0" fontId="14" numFmtId="0" xfId="0" applyAlignment="1" applyBorder="1" applyFont="1">
      <alignment readingOrder="0" shrinkToFit="0" wrapText="1"/>
    </xf>
    <xf borderId="30" fillId="12" fontId="38" numFmtId="0" xfId="0" applyAlignment="1" applyBorder="1" applyFont="1">
      <alignment horizontal="left" readingOrder="0"/>
    </xf>
    <xf borderId="0" fillId="0" fontId="31" numFmtId="0" xfId="0" applyAlignment="1" applyFont="1">
      <alignment horizontal="left"/>
    </xf>
    <xf borderId="30" fillId="16" fontId="39" numFmtId="169" xfId="0" applyAlignment="1" applyBorder="1" applyFill="1" applyFont="1" applyNumberFormat="1">
      <alignment horizontal="right" readingOrder="0" vertical="bottom"/>
    </xf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54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y 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39'!$C$1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39'!$A$2:$A$52</c:f>
            </c:strRef>
          </c:cat>
          <c:val>
            <c:numRef>
              <c:f>'Hoja 39'!$C$2:$C$52</c:f>
              <c:numCache/>
            </c:numRef>
          </c:val>
          <c:smooth val="0"/>
        </c:ser>
        <c:ser>
          <c:idx val="1"/>
          <c:order val="1"/>
          <c:tx>
            <c:strRef>
              <c:f>'Hoja 39'!$D$1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39'!$A$2:$A$52</c:f>
            </c:strRef>
          </c:cat>
          <c:val>
            <c:numRef>
              <c:f>'Hoja 39'!$D$2:$D$52</c:f>
              <c:numCache/>
            </c:numRef>
          </c:val>
          <c:smooth val="0"/>
        </c:ser>
        <c:axId val="1081427678"/>
        <c:axId val="105951467"/>
      </c:lineChart>
      <c:catAx>
        <c:axId val="1081427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51467"/>
      </c:catAx>
      <c:valAx>
        <c:axId val="105951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427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Mínimo tamaño de efecto visible con cada potencia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Replicación (controlad'!$B$40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Replicación (controlad'!$A$41:$A$60</c:f>
            </c:strRef>
          </c:cat>
          <c:val>
            <c:numRef>
              <c:f>'Copia de Replicación (controlad'!$B$41:$B$60</c:f>
              <c:numCache/>
            </c:numRef>
          </c:val>
          <c:smooth val="0"/>
        </c:ser>
        <c:ser>
          <c:idx val="1"/>
          <c:order val="1"/>
          <c:tx>
            <c:strRef>
              <c:f>'Copia de Replicación (controlad'!$C$40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Replicación (controlad'!$A$41:$A$60</c:f>
            </c:strRef>
          </c:cat>
          <c:val>
            <c:numRef>
              <c:f>'Copia de Replicación (controlad'!$C$41:$C$60</c:f>
              <c:numCache/>
            </c:numRef>
          </c:val>
          <c:smooth val="0"/>
        </c:ser>
        <c:axId val="1203100612"/>
        <c:axId val="1252022528"/>
      </c:lineChart>
      <c:catAx>
        <c:axId val="1203100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022528"/>
      </c:catAx>
      <c:valAx>
        <c:axId val="125202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100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Curva de potencia por tamaño de efecto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Replicación (controlad'!$C$66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Replicación (controlad'!$B$67:$B$86</c:f>
            </c:strRef>
          </c:cat>
          <c:val>
            <c:numRef>
              <c:f>'Copia de Replicación (controlad'!$C$67:$C$86</c:f>
              <c:numCache/>
            </c:numRef>
          </c:val>
          <c:smooth val="1"/>
        </c:ser>
        <c:ser>
          <c:idx val="1"/>
          <c:order val="1"/>
          <c:tx>
            <c:strRef>
              <c:f>'Copia de Replicación (controlad'!$D$66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Replicación (controlad'!$B$67:$B$86</c:f>
            </c:strRef>
          </c:cat>
          <c:val>
            <c:numRef>
              <c:f>'Copia de Replicación (controlad'!$D$67:$D$86</c:f>
              <c:numCache/>
            </c:numRef>
          </c:val>
          <c:smooth val="1"/>
        </c:ser>
        <c:ser>
          <c:idx val="2"/>
          <c:order val="2"/>
          <c:tx>
            <c:strRef>
              <c:f>'Copia de Replicación (controlad'!$E$66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Replicación (controlad'!$B$67:$B$86</c:f>
            </c:strRef>
          </c:cat>
          <c:val>
            <c:numRef>
              <c:f>'Copia de Replicación (controlad'!$E$67:$E$86</c:f>
              <c:numCache/>
            </c:numRef>
          </c:val>
          <c:smooth val="1"/>
        </c:ser>
        <c:axId val="1372108404"/>
        <c:axId val="455409043"/>
      </c:lineChart>
      <c:catAx>
        <c:axId val="1372108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por grupo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409043"/>
      </c:catAx>
      <c:valAx>
        <c:axId val="455409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Potencia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108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 frente a Año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PvLog!$Q$1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PvLog!$A$2:$A$1000</c:f>
            </c:strRef>
          </c:cat>
          <c:val>
            <c:numRef>
              <c:f>PvLog!$Q$2:$Q$1000</c:f>
              <c:numCache/>
            </c:numRef>
          </c:val>
        </c:ser>
        <c:axId val="1866793767"/>
        <c:axId val="1020385152"/>
      </c:areaChart>
      <c:catAx>
        <c:axId val="1866793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385152"/>
      </c:catAx>
      <c:valAx>
        <c:axId val="1020385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793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frente a Año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PvLog!$R$1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PvLog!$A$2:$A$1000</c:f>
            </c:strRef>
          </c:cat>
          <c:val>
            <c:numRef>
              <c:f>PvLog!$R$2:$R$1000</c:f>
              <c:numCache/>
            </c:numRef>
          </c:val>
        </c:ser>
        <c:axId val="1586222623"/>
        <c:axId val="1434772186"/>
      </c:areaChart>
      <c:catAx>
        <c:axId val="158622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772186"/>
      </c:catAx>
      <c:valAx>
        <c:axId val="1434772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222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Ciclos del capital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de Anual'!$E$1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Anual'!$A$2:$A$20</c:f>
            </c:strRef>
          </c:cat>
          <c:val>
            <c:numRef>
              <c:f>'Copia de Anual'!$E$2:$E$20</c:f>
              <c:numCache/>
            </c:numRef>
          </c:val>
          <c:smooth val="0"/>
        </c:ser>
        <c:axId val="814759183"/>
        <c:axId val="125545491"/>
      </c:lineChart>
      <c:catAx>
        <c:axId val="81475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45491"/>
      </c:catAx>
      <c:valAx>
        <c:axId val="125545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Ciclos del capital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759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x=rx(1-x) frente a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Anual'!$F$26:$F$40</c:f>
            </c:strRef>
          </c:cat>
          <c:val>
            <c:numRef>
              <c:f>'Copia de Anual'!$G$26:$G$40</c:f>
              <c:numCache/>
            </c:numRef>
          </c:val>
          <c:smooth val="0"/>
        </c:ser>
        <c:axId val="394961964"/>
        <c:axId val="1969100920"/>
      </c:lineChart>
      <c:catAx>
        <c:axId val="394961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100920"/>
      </c:catAx>
      <c:valAx>
        <c:axId val="1969100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x=rx(1-x)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961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Número de muestras mínimo para cada tamaño de efecto para una potencia de 80%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TODAS!$A$29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TODAS!$C$30:$C$39</c:f>
            </c:strRef>
          </c:cat>
          <c:val>
            <c:numRef>
              <c:f>TODAS!$A$30:$A$39</c:f>
              <c:numCache/>
            </c:numRef>
          </c:val>
          <c:smooth val="0"/>
        </c:ser>
        <c:axId val="1406320787"/>
        <c:axId val="336046146"/>
      </c:lineChart>
      <c:catAx>
        <c:axId val="1406320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046146"/>
      </c:catAx>
      <c:valAx>
        <c:axId val="336046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320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Número de muestras mínimo para cada tamaño de efecto para una potencia de 90%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TODAS!$B$29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TODAS!$C$30:$C$39</c:f>
            </c:strRef>
          </c:cat>
          <c:val>
            <c:numRef>
              <c:f>TODAS!$B$30:$B$39</c:f>
              <c:numCache/>
            </c:numRef>
          </c:val>
          <c:smooth val="0"/>
        </c:ser>
        <c:axId val="741304946"/>
        <c:axId val="230594249"/>
      </c:lineChart>
      <c:catAx>
        <c:axId val="741304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594249"/>
      </c:catAx>
      <c:valAx>
        <c:axId val="230594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304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Mínimo tamaño de efecto visible con cada potencia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TODAS!$B$42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TODAS!$A$43:$A$62</c:f>
            </c:strRef>
          </c:cat>
          <c:val>
            <c:numRef>
              <c:f>TODAS!$B$43:$B$62</c:f>
              <c:numCache/>
            </c:numRef>
          </c:val>
          <c:smooth val="0"/>
        </c:ser>
        <c:ser>
          <c:idx val="1"/>
          <c:order val="1"/>
          <c:tx>
            <c:strRef>
              <c:f>TODAS!$C$42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TODAS!$A$43:$A$62</c:f>
            </c:strRef>
          </c:cat>
          <c:val>
            <c:numRef>
              <c:f>TODAS!$C$43:$C$62</c:f>
              <c:numCache/>
            </c:numRef>
          </c:val>
          <c:smooth val="0"/>
        </c:ser>
        <c:axId val="1412625477"/>
        <c:axId val="2116432334"/>
      </c:lineChart>
      <c:catAx>
        <c:axId val="1412625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432334"/>
      </c:catAx>
      <c:valAx>
        <c:axId val="2116432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625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Curva de potencia por tamaño de efecto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TODAS!$C$68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TODAS!$B$69:$B$88</c:f>
            </c:strRef>
          </c:cat>
          <c:val>
            <c:numRef>
              <c:f>TODAS!$C$69:$C$88</c:f>
              <c:numCache/>
            </c:numRef>
          </c:val>
          <c:smooth val="1"/>
        </c:ser>
        <c:ser>
          <c:idx val="1"/>
          <c:order val="1"/>
          <c:tx>
            <c:strRef>
              <c:f>TODAS!$D$68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TODAS!$B$69:$B$88</c:f>
            </c:strRef>
          </c:cat>
          <c:val>
            <c:numRef>
              <c:f>TODAS!$D$69:$D$88</c:f>
              <c:numCache/>
            </c:numRef>
          </c:val>
          <c:smooth val="1"/>
        </c:ser>
        <c:ser>
          <c:idx val="2"/>
          <c:order val="2"/>
          <c:tx>
            <c:strRef>
              <c:f>TODAS!$E$68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TODAS!$B$69:$B$88</c:f>
            </c:strRef>
          </c:cat>
          <c:val>
            <c:numRef>
              <c:f>TODAS!$E$69:$E$88</c:f>
              <c:numCache/>
            </c:numRef>
          </c:val>
          <c:smooth val="1"/>
        </c:ser>
        <c:axId val="1931581303"/>
        <c:axId val="574782493"/>
      </c:lineChart>
      <c:catAx>
        <c:axId val="1931581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por grupo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782493"/>
      </c:catAx>
      <c:valAx>
        <c:axId val="574782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Potencia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581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y 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de Hoja 39'!$C$1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Hoja 39'!$A$2:$A$52</c:f>
            </c:strRef>
          </c:cat>
          <c:val>
            <c:numRef>
              <c:f>'Copia de Hoja 39'!$C$2:$C$52</c:f>
              <c:numCache/>
            </c:numRef>
          </c:val>
          <c:smooth val="0"/>
        </c:ser>
        <c:ser>
          <c:idx val="1"/>
          <c:order val="1"/>
          <c:tx>
            <c:strRef>
              <c:f>'Copia de Hoja 39'!$D$1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Hoja 39'!$A$2:$A$52</c:f>
            </c:strRef>
          </c:cat>
          <c:val>
            <c:numRef>
              <c:f>'Copia de Hoja 39'!$D$2:$D$52</c:f>
              <c:numCache/>
            </c:numRef>
          </c:val>
          <c:smooth val="0"/>
        </c:ser>
        <c:ser>
          <c:idx val="2"/>
          <c:order val="2"/>
          <c:tx>
            <c:strRef>
              <c:f>'Copia de Hoja 39'!$E$1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Hoja 39'!$A$2:$A$52</c:f>
            </c:strRef>
          </c:cat>
          <c:val>
            <c:numRef>
              <c:f>'Copia de Hoja 39'!$E$2:$E$52</c:f>
              <c:numCache/>
            </c:numRef>
          </c:val>
          <c:smooth val="0"/>
        </c:ser>
        <c:axId val="351242615"/>
        <c:axId val="847389375"/>
      </c:lineChart>
      <c:catAx>
        <c:axId val="351242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389375"/>
      </c:catAx>
      <c:valAx>
        <c:axId val="84738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242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Número de muestras mínimo para cada tamaño de efecto para una potencia de 80%</a:t>
            </a:r>
          </a:p>
        </c:rich>
      </c:tx>
      <c:overlay val="0"/>
    </c:title>
    <c:plotArea>
      <c:layout/>
      <c:lineChart>
        <c:varyColors val="0"/>
        <c:axId val="1026905945"/>
        <c:axId val="1667108419"/>
      </c:lineChart>
      <c:catAx>
        <c:axId val="1026905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108419"/>
      </c:catAx>
      <c:valAx>
        <c:axId val="16671084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26905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Número de muestras mínimo para cada tamaño de efecto para una potencia de 90%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'USO PV'!$B$30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'USO PV'!$C$31:$C$46</c:f>
            </c:strRef>
          </c:cat>
          <c:val>
            <c:numRef>
              <c:f>'USO PV'!$B$31:$B$46</c:f>
              <c:numCache/>
            </c:numRef>
          </c:val>
          <c:smooth val="0"/>
        </c:ser>
        <c:axId val="97307177"/>
        <c:axId val="1145960407"/>
      </c:lineChart>
      <c:catAx>
        <c:axId val="97307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960407"/>
      </c:catAx>
      <c:valAx>
        <c:axId val="1145960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07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Mínimo tamaño de efecto visible con cada potencia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'USO PV'!$B$43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'USO PV'!$A$44:$A$63</c:f>
            </c:strRef>
          </c:cat>
          <c:val>
            <c:numRef>
              <c:f>'USO PV'!$B$44:$B$63</c:f>
              <c:numCache/>
            </c:numRef>
          </c:val>
          <c:smooth val="0"/>
        </c:ser>
        <c:axId val="463017418"/>
        <c:axId val="579199409"/>
      </c:lineChart>
      <c:catAx>
        <c:axId val="463017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199409"/>
      </c:catAx>
      <c:valAx>
        <c:axId val="579199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017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Curva de potencia por tamaño de efecto</a:t>
            </a:r>
          </a:p>
        </c:rich>
      </c:tx>
      <c:overlay val="0"/>
    </c:title>
    <c:plotArea>
      <c:layout/>
      <c:lineChart>
        <c:axId val="692726837"/>
        <c:axId val="427639128"/>
      </c:lineChart>
      <c:catAx>
        <c:axId val="692726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por grupo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639128"/>
      </c:catAx>
      <c:valAx>
        <c:axId val="42763912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92726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Success rate (%) of Chartalism and Money Commodity  hypothesis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'Hoja 16'!$J$29</c:f>
            </c:strRef>
          </c:tx>
          <c:spPr>
            <a:solidFill>
              <a:srgbClr val="93C47D"/>
            </a:solidFill>
            <a:ln cmpd="sng">
              <a:solidFill>
                <a:schemeClr val="dk1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 sz="24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16'!$I$30:$I$31</c:f>
            </c:strRef>
          </c:cat>
          <c:val>
            <c:numRef>
              <c:f>'Hoja 16'!$J$30:$J$31</c:f>
              <c:numCache/>
            </c:numRef>
          </c:val>
        </c:ser>
        <c:axId val="195234172"/>
        <c:axId val="1911776969"/>
      </c:barChart>
      <c:catAx>
        <c:axId val="1952341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hypothesis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1911776969"/>
      </c:catAx>
      <c:valAx>
        <c:axId val="19117769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341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Number of bills in United States (Data: Federal Reserve)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16'!$J$48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16'!$A$49:$A$57</c:f>
            </c:strRef>
          </c:cat>
          <c:val>
            <c:numRef>
              <c:f>'Hoja 16'!$J$49:$J$57</c:f>
              <c:numCache/>
            </c:numRef>
          </c:val>
          <c:smooth val="0"/>
        </c:ser>
        <c:axId val="833936039"/>
        <c:axId val="478930503"/>
      </c:lineChart>
      <c:catAx>
        <c:axId val="833936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Bill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930503"/>
      </c:catAx>
      <c:valAx>
        <c:axId val="478930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936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Volume of money in bills (Data: Federal Reserve)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16'!$B$92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16'!$A$93:$A$100</c:f>
            </c:strRef>
          </c:cat>
          <c:val>
            <c:numRef>
              <c:f>'Hoja 16'!$B$93:$B$100</c:f>
              <c:numCache/>
            </c:numRef>
          </c:val>
          <c:smooth val="0"/>
        </c:ser>
        <c:axId val="416464138"/>
        <c:axId val="105719443"/>
      </c:lineChart>
      <c:catAx>
        <c:axId val="416464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19443"/>
      </c:catAx>
      <c:valAx>
        <c:axId val="105719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 of money in bills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464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Tasa Ganancia y Tasa Plusvalía en España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PLUSVALIA_TOTAL!$A$22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PLUSVALIA_TOTAL!$B$21:$O$21</c:f>
            </c:strRef>
          </c:cat>
          <c:val>
            <c:numRef>
              <c:f>PLUSVALIA_TOTAL!$B$22:$O$22</c:f>
              <c:numCache/>
            </c:numRef>
          </c:val>
          <c:smooth val="0"/>
        </c:ser>
        <c:ser>
          <c:idx val="1"/>
          <c:order val="1"/>
          <c:tx>
            <c:strRef>
              <c:f>PLUSVALIA_TOTAL!$A$23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PLUSVALIA_TOTAL!$B$21:$O$21</c:f>
            </c:strRef>
          </c:cat>
          <c:val>
            <c:numRef>
              <c:f>PLUSVALIA_TOTAL!$B$23:$O$23</c:f>
              <c:numCache/>
            </c:numRef>
          </c:val>
          <c:smooth val="0"/>
        </c:ser>
        <c:axId val="1028871765"/>
        <c:axId val="992911998"/>
      </c:lineChart>
      <c:catAx>
        <c:axId val="1028871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911998"/>
      </c:catAx>
      <c:valAx>
        <c:axId val="992911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871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Disueltas y Reducen Capital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PLUSVALIA_TOTAL!$A$57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PLUSVALIA_TOTAL!$B$56:$O$56</c:f>
            </c:strRef>
          </c:cat>
          <c:val>
            <c:numRef>
              <c:f>PLUSVALIA_TOTAL!$B$57:$O$57</c:f>
              <c:numCache/>
            </c:numRef>
          </c:val>
          <c:smooth val="0"/>
        </c:ser>
        <c:ser>
          <c:idx val="1"/>
          <c:order val="1"/>
          <c:tx>
            <c:strRef>
              <c:f>PLUSVALIA_TOTAL!$A$58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PLUSVALIA_TOTAL!$B$56:$O$56</c:f>
            </c:strRef>
          </c:cat>
          <c:val>
            <c:numRef>
              <c:f>PLUSVALIA_TOTAL!$B$58:$O$58</c:f>
              <c:numCache/>
            </c:numRef>
          </c:val>
          <c:smooth val="0"/>
        </c:ser>
        <c:ser>
          <c:idx val="2"/>
          <c:order val="2"/>
          <c:tx>
            <c:strRef>
              <c:f>PLUSVALIA_TOTAL!$A$59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PLUSVALIA_TOTAL!$B$56:$O$56</c:f>
            </c:strRef>
          </c:cat>
          <c:val>
            <c:numRef>
              <c:f>PLUSVALIA_TOTAL!$B$59:$O$59</c:f>
              <c:numCache/>
            </c:numRef>
          </c:val>
          <c:smooth val="0"/>
        </c:ser>
        <c:ser>
          <c:idx val="3"/>
          <c:order val="3"/>
          <c:tx>
            <c:strRef>
              <c:f>PLUSVALIA_TOTAL!$A$60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PLUSVALIA_TOTAL!$B$56:$O$56</c:f>
            </c:strRef>
          </c:cat>
          <c:val>
            <c:numRef>
              <c:f>PLUSVALIA_TOTAL!$B$60:$O$60</c:f>
              <c:numCache/>
            </c:numRef>
          </c:val>
          <c:smooth val="0"/>
        </c:ser>
        <c:axId val="1562459147"/>
        <c:axId val="653228643"/>
      </c:lineChart>
      <c:catAx>
        <c:axId val="156245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Estados Sociedades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228643"/>
      </c:catAx>
      <c:valAx>
        <c:axId val="653228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459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Ganancia, Tasa Plusvalia y Acumulación de Capital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11'!$A$9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11'!$C$10:$C$23</c:f>
            </c:strRef>
          </c:cat>
          <c:val>
            <c:numRef>
              <c:f>'Hoja 11'!$A$10:$A$23</c:f>
              <c:numCache/>
            </c:numRef>
          </c:val>
          <c:smooth val="0"/>
        </c:ser>
        <c:ser>
          <c:idx val="1"/>
          <c:order val="1"/>
          <c:tx>
            <c:strRef>
              <c:f>'Hoja 11'!$B$9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11'!$C$10:$C$23</c:f>
            </c:strRef>
          </c:cat>
          <c:val>
            <c:numRef>
              <c:f>'Hoja 11'!$B$10:$B$23</c:f>
              <c:numCache/>
            </c:numRef>
          </c:val>
          <c:smooth val="0"/>
        </c:ser>
        <c:axId val="1783311592"/>
        <c:axId val="667573149"/>
      </c:lineChart>
      <c:catAx>
        <c:axId val="178331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573149"/>
      </c:catAx>
      <c:valAx>
        <c:axId val="667573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311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Tp frente a Pv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de Hoja 39'!$E$1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Hoja 39'!$D$2:$D$52</c:f>
            </c:strRef>
          </c:cat>
          <c:val>
            <c:numRef>
              <c:f>'Copia de Hoja 39'!$E$2:$E$52</c:f>
              <c:numCache/>
            </c:numRef>
          </c:val>
          <c:smooth val="0"/>
        </c:ser>
        <c:axId val="1244799285"/>
        <c:axId val="1511187641"/>
      </c:lineChart>
      <c:catAx>
        <c:axId val="1244799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187641"/>
      </c:catAx>
      <c:valAx>
        <c:axId val="1511187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799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Tendencia decreciente de la tasa de ganancia y el colapso del capitalismo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'decreciente tasa ganancia'!$A$1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Línea de tendencia de Tp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'decreciente tasa ganancia'!$B$2:$B$12</c:f>
            </c:strRef>
          </c:cat>
          <c:val>
            <c:numRef>
              <c:f>'decreciente tasa ganancia'!$A$2:$A$12</c:f>
              <c:numCache/>
            </c:numRef>
          </c:val>
          <c:smooth val="0"/>
        </c:ser>
        <c:ser>
          <c:idx val="1"/>
          <c:order val="1"/>
          <c:tx>
            <c:strRef>
              <c:f>'decreciente tasa ganancia'!$C$1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>Línea de tendencia de Tg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'decreciente tasa ganancia'!$B$2:$B$12</c:f>
            </c:strRef>
          </c:cat>
          <c:val>
            <c:numRef>
              <c:f>'decreciente tasa ganancia'!$C$2:$C$12</c:f>
              <c:numCache/>
            </c:numRef>
          </c:val>
          <c:smooth val="0"/>
        </c:ser>
        <c:axId val="423619913"/>
        <c:axId val="1512140475"/>
      </c:lineChart>
      <c:catAx>
        <c:axId val="423619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140475"/>
      </c:catAx>
      <c:valAx>
        <c:axId val="1512140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619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Número de muestras mínimo para cada tamaño de efecto para una potencia de 80%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'Replicación (controlada)'!$A$30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'Replicación (controlada)'!$C$31:$C$40</c:f>
            </c:strRef>
          </c:cat>
          <c:val>
            <c:numRef>
              <c:f>'Replicación (controlada)'!$A$31:$A$40</c:f>
              <c:numCache/>
            </c:numRef>
          </c:val>
          <c:smooth val="0"/>
        </c:ser>
        <c:axId val="1511020664"/>
        <c:axId val="1679880353"/>
      </c:lineChart>
      <c:catAx>
        <c:axId val="151102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880353"/>
      </c:catAx>
      <c:valAx>
        <c:axId val="1679880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020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Número de muestras mínimo para cada tamaño de efecto para una potencia de 90%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'Replicación (controlada)'!$B$30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'Replicación (controlada)'!$C$31:$C$40</c:f>
            </c:strRef>
          </c:cat>
          <c:val>
            <c:numRef>
              <c:f>'Replicación (controlada)'!$B$31:$B$40</c:f>
              <c:numCache/>
            </c:numRef>
          </c:val>
          <c:smooth val="0"/>
        </c:ser>
        <c:axId val="47111615"/>
        <c:axId val="1489545644"/>
      </c:lineChart>
      <c:catAx>
        <c:axId val="4711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545644"/>
      </c:catAx>
      <c:valAx>
        <c:axId val="1489545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11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Mínimo tamaño de efecto visible con cada potencia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'Replicación (controlada)'!$B$43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'Replicación (controlada)'!$A$44:$A$63</c:f>
            </c:strRef>
          </c:cat>
          <c:val>
            <c:numRef>
              <c:f>'Replicación (controlada)'!$B$44:$B$63</c:f>
              <c:numCache/>
            </c:numRef>
          </c:val>
          <c:smooth val="0"/>
        </c:ser>
        <c:ser>
          <c:idx val="1"/>
          <c:order val="1"/>
          <c:tx>
            <c:strRef>
              <c:f>'Replicación (controlada)'!$C$43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'Replicación (controlada)'!$A$44:$A$63</c:f>
            </c:strRef>
          </c:cat>
          <c:val>
            <c:numRef>
              <c:f>'Replicación (controlada)'!$C$44:$C$63</c:f>
              <c:numCache/>
            </c:numRef>
          </c:val>
          <c:smooth val="0"/>
        </c:ser>
        <c:axId val="696880653"/>
        <c:axId val="258132038"/>
      </c:lineChart>
      <c:catAx>
        <c:axId val="696880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132038"/>
      </c:catAx>
      <c:valAx>
        <c:axId val="258132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880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Curva de potencia por tamaño de efecto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'Replicación (controlada)'!$C$69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'Replicación (controlada)'!$B$70:$B$89</c:f>
            </c:strRef>
          </c:cat>
          <c:val>
            <c:numRef>
              <c:f>'Replicación (controlada)'!$C$70:$C$89</c:f>
              <c:numCache/>
            </c:numRef>
          </c:val>
          <c:smooth val="1"/>
        </c:ser>
        <c:ser>
          <c:idx val="1"/>
          <c:order val="1"/>
          <c:tx>
            <c:strRef>
              <c:f>'Replicación (controlada)'!$D$69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'Replicación (controlada)'!$B$70:$B$89</c:f>
            </c:strRef>
          </c:cat>
          <c:val>
            <c:numRef>
              <c:f>'Replicación (controlada)'!$D$70:$D$89</c:f>
              <c:numCache/>
            </c:numRef>
          </c:val>
          <c:smooth val="1"/>
        </c:ser>
        <c:ser>
          <c:idx val="2"/>
          <c:order val="2"/>
          <c:tx>
            <c:strRef>
              <c:f>'Replicación (controlada)'!$E$69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'Replicación (controlada)'!$B$70:$B$89</c:f>
            </c:strRef>
          </c:cat>
          <c:val>
            <c:numRef>
              <c:f>'Replicación (controlada)'!$E$70:$E$89</c:f>
              <c:numCache/>
            </c:numRef>
          </c:val>
          <c:smooth val="1"/>
        </c:ser>
        <c:axId val="628009825"/>
        <c:axId val="1560350217"/>
      </c:lineChart>
      <c:catAx>
        <c:axId val="628009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por grupo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350217"/>
      </c:catAx>
      <c:valAx>
        <c:axId val="1560350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Potencia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009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Número de muestras mínimo para cada tamaño de efecto para una potencia de 80%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de Replicación (controlad'!$A$27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Replicación (controlad'!$C$28:$C$37</c:f>
            </c:strRef>
          </c:cat>
          <c:val>
            <c:numRef>
              <c:f>'Copia de Replicación (controlad'!$A$28:$A$37</c:f>
              <c:numCache/>
            </c:numRef>
          </c:val>
          <c:smooth val="0"/>
        </c:ser>
        <c:axId val="1928555204"/>
        <c:axId val="621025223"/>
      </c:lineChart>
      <c:catAx>
        <c:axId val="1928555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025223"/>
      </c:catAx>
      <c:valAx>
        <c:axId val="621025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555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Número de muestras mínimo para cada tamaño de efecto para una potencia de 90%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de Replicación (controlad'!$B$27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Replicación (controlad'!$C$28:$C$37</c:f>
            </c:strRef>
          </c:cat>
          <c:val>
            <c:numRef>
              <c:f>'Copia de Replicación (controlad'!$B$28:$B$37</c:f>
              <c:numCache/>
            </c:numRef>
          </c:val>
          <c:smooth val="0"/>
        </c:ser>
        <c:axId val="1473255513"/>
        <c:axId val="170027685"/>
      </c:lineChart>
      <c:catAx>
        <c:axId val="1473255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27685"/>
      </c:catAx>
      <c:valAx>
        <c:axId val="170027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255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5.png"/><Relationship Id="rId10" Type="http://schemas.openxmlformats.org/officeDocument/2006/relationships/image" Target="../media/image2.png"/><Relationship Id="rId13" Type="http://schemas.openxmlformats.org/officeDocument/2006/relationships/image" Target="../media/image14.png"/><Relationship Id="rId12" Type="http://schemas.openxmlformats.org/officeDocument/2006/relationships/image" Target="../media/image8.png"/><Relationship Id="rId1" Type="http://schemas.openxmlformats.org/officeDocument/2006/relationships/image" Target="../media/image13.png"/><Relationship Id="rId2" Type="http://schemas.openxmlformats.org/officeDocument/2006/relationships/image" Target="../media/image5.png"/><Relationship Id="rId3" Type="http://schemas.openxmlformats.org/officeDocument/2006/relationships/image" Target="../media/image10.png"/><Relationship Id="rId4" Type="http://schemas.openxmlformats.org/officeDocument/2006/relationships/image" Target="../media/image6.png"/><Relationship Id="rId9" Type="http://schemas.openxmlformats.org/officeDocument/2006/relationships/image" Target="../media/image3.png"/><Relationship Id="rId15" Type="http://schemas.openxmlformats.org/officeDocument/2006/relationships/image" Target="../media/image7.png"/><Relationship Id="rId1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4.png"/><Relationship Id="rId7" Type="http://schemas.openxmlformats.org/officeDocument/2006/relationships/image" Target="../media/image9.png"/><Relationship Id="rId8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/Relationships>
</file>

<file path=xl/drawings/_rels/drawing3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image" Target="../media/image16.png"/></Relationships>
</file>

<file path=xl/drawings/_rels/drawing4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image" Target="../media/image17.png"/></Relationships>
</file>

<file path=xl/drawings/_rels/drawing4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-9525</xdr:rowOff>
    </xdr:from>
    <xdr:ext cx="2809875" cy="1152525"/>
    <xdr:pic>
      <xdr:nvPicPr>
        <xdr:cNvPr id="0" name="image1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942975</xdr:rowOff>
    </xdr:from>
    <xdr:ext cx="2809875" cy="1095375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781050</xdr:rowOff>
    </xdr:from>
    <xdr:ext cx="2809875" cy="657225"/>
    <xdr:pic>
      <xdr:nvPicPr>
        <xdr:cNvPr id="0" name="image10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457200</xdr:rowOff>
    </xdr:from>
    <xdr:ext cx="2809875" cy="723900"/>
    <xdr:pic>
      <xdr:nvPicPr>
        <xdr:cNvPr id="0" name="image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533400</xdr:rowOff>
    </xdr:from>
    <xdr:ext cx="2809875" cy="657225"/>
    <xdr:pic>
      <xdr:nvPicPr>
        <xdr:cNvPr id="0" name="image1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476250</xdr:rowOff>
    </xdr:from>
    <xdr:ext cx="2809875" cy="723900"/>
    <xdr:pic>
      <xdr:nvPicPr>
        <xdr:cNvPr id="0" name="image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304800</xdr:rowOff>
    </xdr:from>
    <xdr:ext cx="2809875" cy="581025"/>
    <xdr:pic>
      <xdr:nvPicPr>
        <xdr:cNvPr id="0" name="image9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361950</xdr:rowOff>
    </xdr:from>
    <xdr:ext cx="2809875" cy="771525"/>
    <xdr:pic>
      <xdr:nvPicPr>
        <xdr:cNvPr id="0" name="image1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9525</xdr:rowOff>
    </xdr:from>
    <xdr:ext cx="2809875" cy="828675"/>
    <xdr:pic>
      <xdr:nvPicPr>
        <xdr:cNvPr id="0" name="image3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638175</xdr:rowOff>
    </xdr:from>
    <xdr:ext cx="2809875" cy="723900"/>
    <xdr:pic>
      <xdr:nvPicPr>
        <xdr:cNvPr id="0" name="image2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523875</xdr:rowOff>
    </xdr:from>
    <xdr:ext cx="2809875" cy="581025"/>
    <xdr:pic>
      <xdr:nvPicPr>
        <xdr:cNvPr id="0" name="image15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352425</xdr:rowOff>
    </xdr:from>
    <xdr:ext cx="2809875" cy="723900"/>
    <xdr:pic>
      <xdr:nvPicPr>
        <xdr:cNvPr id="0" name="image8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2809875" cy="495300"/>
    <xdr:pic>
      <xdr:nvPicPr>
        <xdr:cNvPr id="0" name="image14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257175</xdr:rowOff>
    </xdr:from>
    <xdr:ext cx="2857500" cy="657225"/>
    <xdr:pic>
      <xdr:nvPicPr>
        <xdr:cNvPr id="0" name="image11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323850</xdr:rowOff>
    </xdr:from>
    <xdr:ext cx="2809875" cy="581025"/>
    <xdr:pic>
      <xdr:nvPicPr>
        <xdr:cNvPr id="0" name="image7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28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46</xdr:row>
      <xdr:rowOff>142875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76200</xdr:colOff>
      <xdr:row>28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76200</xdr:colOff>
      <xdr:row>46</xdr:row>
      <xdr:rowOff>142875</xdr:rowOff>
    </xdr:from>
    <xdr:ext cx="7381875" cy="56292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25</xdr:row>
      <xdr:rowOff>180975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43</xdr:row>
      <xdr:rowOff>142875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76200</xdr:colOff>
      <xdr:row>25</xdr:row>
      <xdr:rowOff>180975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76200</xdr:colOff>
      <xdr:row>43</xdr:row>
      <xdr:rowOff>142875</xdr:rowOff>
    </xdr:from>
    <xdr:ext cx="7381875" cy="56292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609600</xdr:colOff>
      <xdr:row>29</xdr:row>
      <xdr:rowOff>95250</xdr:rowOff>
    </xdr:from>
    <xdr:ext cx="2895600" cy="17907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609600</xdr:colOff>
      <xdr:row>38</xdr:row>
      <xdr:rowOff>114300</xdr:rowOff>
    </xdr:from>
    <xdr:ext cx="2457450" cy="15240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2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20</xdr:row>
      <xdr:rowOff>19050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39</xdr:row>
      <xdr:rowOff>28575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27</xdr:row>
      <xdr:rowOff>180975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45</xdr:row>
      <xdr:rowOff>142875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76200</xdr:colOff>
      <xdr:row>27</xdr:row>
      <xdr:rowOff>180975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76200</xdr:colOff>
      <xdr:row>45</xdr:row>
      <xdr:rowOff>142875</xdr:rowOff>
    </xdr:from>
    <xdr:ext cx="7381875" cy="56292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828675</xdr:colOff>
      <xdr:row>2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352425</xdr:colOff>
      <xdr:row>2</xdr:row>
      <xdr:rowOff>95250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28</xdr:row>
      <xdr:rowOff>180975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46</xdr:row>
      <xdr:rowOff>142875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76200</xdr:colOff>
      <xdr:row>28</xdr:row>
      <xdr:rowOff>180975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76200</xdr:colOff>
      <xdr:row>46</xdr:row>
      <xdr:rowOff>142875</xdr:rowOff>
    </xdr:from>
    <xdr:ext cx="7381875" cy="56292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180975</xdr:rowOff>
    </xdr:from>
    <xdr:ext cx="6410325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190500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533400</xdr:colOff>
      <xdr:row>58</xdr:row>
      <xdr:rowOff>190500</xdr:rowOff>
    </xdr:from>
    <xdr:ext cx="5715000" cy="3533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15</xdr:row>
      <xdr:rowOff>0</xdr:rowOff>
    </xdr:from>
    <xdr:ext cx="8172450" cy="2200275"/>
    <xdr:pic>
      <xdr:nvPicPr>
        <xdr:cNvPr id="0" name="image1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180975</xdr:rowOff>
    </xdr:from>
    <xdr:ext cx="7153275" cy="4419600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85725</xdr:rowOff>
    </xdr:from>
    <xdr:ext cx="7153275" cy="4419600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895350</xdr:colOff>
      <xdr:row>24</xdr:row>
      <xdr:rowOff>114300</xdr:rowOff>
    </xdr:from>
    <xdr:ext cx="9610725" cy="4695825"/>
    <xdr:pic>
      <xdr:nvPicPr>
        <xdr:cNvPr id="0" name="image1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1</xdr:row>
      <xdr:rowOff>95250</xdr:rowOff>
    </xdr:from>
    <xdr:ext cx="5715000" cy="353377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9525</xdr:rowOff>
    </xdr:from>
    <xdr:ext cx="6553200" cy="4057650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D29" sheet="Hoja 10"/>
  </cacheSource>
  <cacheFields>
    <cacheField name="Estados Sociedades" numFmtId="0">
      <sharedItems>
        <s v="Reducen Capital"/>
        <s v="Disueltas"/>
      </sharedItems>
    </cacheField>
    <cacheField name="Periodo" numFmtId="0">
      <sharedItems containsSemiMixedTypes="0" containsString="0" containsNumber="1" containsInteger="1"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</sharedItems>
    </cacheField>
    <cacheField name="Total" numFmtId="3">
      <sharedItems containsSemiMixedTypes="0" containsString="0" containsNumber="1" containsInteger="1">
        <n v="6308.0"/>
        <n v="6142.0"/>
        <n v="6323.0"/>
        <n v="8103.0"/>
        <n v="7000.0"/>
        <n v="6670.0"/>
        <n v="6627.0"/>
        <n v="6282.0"/>
        <n v="5885.0"/>
        <n v="5737.0"/>
        <n v="6018.0"/>
        <n v="6035.0"/>
        <n v="5714.0"/>
        <n v="5674.0"/>
        <n v="22560.0"/>
        <n v="21820.0"/>
        <n v="21467.0"/>
        <n v="21016.0"/>
        <n v="22097.0"/>
        <n v="25044.0"/>
        <n v="22887.0"/>
        <n v="20010.0"/>
        <n v="18700.0"/>
        <n v="17556.0"/>
        <n v="16368.0"/>
        <n v="18198.0"/>
        <n v="11178.0"/>
        <n v="984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P5" firstHeaderRow="0" firstDataRow="1" firstDataCol="1"/>
  <pivotFields>
    <pivotField name="Estados Sociedades" axis="axisRow" compact="0" outline="0" multipleItemSelectionAllowed="1" showAll="0" sortType="ascending">
      <items>
        <item x="1"/>
        <item x="0"/>
        <item t="default"/>
      </items>
    </pivotField>
    <pivotField name="Periodo" axis="axisCol" compact="0" outline="0" multipleItemSelectionAllowed="1" showAll="0" sortType="ascending">
      <items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0"/>
  </rowFields>
  <colFields>
    <field x="1"/>
  </colFields>
  <dataFields>
    <dataField name="SUM of Total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783F04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ditex.com/documents/10279/664163/Cuenas+Anuales+Individuales+2020.pdf/0c482dbb-b784-212a-da0b-08b24a7c831c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genciatributaria.es/AEAT/Contenidos_Comunes/La_Agencia_Tributaria/Estadisticas/Publicaciones/sites/sociedadest2/2018/home_parcial689f0ab99b0843e21ae03191e14b7b49a77c7524.html" TargetMode="External"/><Relationship Id="rId2" Type="http://schemas.openxmlformats.org/officeDocument/2006/relationships/hyperlink" Target="https://www.ine.es/jaxiT3/Datos.htm?t=4241" TargetMode="External"/><Relationship Id="rId3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genciatributaria.es/AEAT/Contenidos_Comunes/La_Agencia_Tributaria/Estadisticas/Publicaciones/sites/sociedadest2/2018/home_parcial689f0ab99b0843e21ae03191e14b7b49a77c7524.html" TargetMode="External"/><Relationship Id="rId2" Type="http://schemas.openxmlformats.org/officeDocument/2006/relationships/hyperlink" Target="https://www.ine.es/jaxiT3/Datos.htm?t=4241" TargetMode="External"/><Relationship Id="rId3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e.es/jaxiT3/Datos.htm?t=6044" TargetMode="External"/><Relationship Id="rId2" Type="http://schemas.openxmlformats.org/officeDocument/2006/relationships/hyperlink" Target="https://www.ine.es/jaxiT3/Datos.htm?t=4745" TargetMode="External"/><Relationship Id="rId3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fred.stlouisfed.org/series/COFC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ine.es/jaxiT3/Datos.htm?t=9663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e.es/jaxiT3/Datos.htm?t=4745" TargetMode="Externa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genciatributaria.es/AEAT/Contenidos_Comunes/La_Agencia_Tributaria/Estadisticas/Publicaciones/sites/sociedadest2/2018/home_parcial689f0ab99b0843e21ae03191e14b7b49a77c7524.html" TargetMode="External"/><Relationship Id="rId2" Type="http://schemas.openxmlformats.org/officeDocument/2006/relationships/hyperlink" Target="https://www.ine.es/jaxiT3/Datos.htm?t=4241" TargetMode="External"/><Relationship Id="rId3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s://ine.es/dyngs/INEbase/es/operacion.htm?c=Estadistica_C&amp;cid=1254736176865&amp;menu=resultados&amp;idp=1254735576550" TargetMode="External"/><Relationship Id="rId2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e.es/jaxiT3/Datos.htm?t=24885" TargetMode="External"/><Relationship Id="rId2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e.es/dyngs/INEbase/es/operacion.htm?c=Estadistica_C&amp;cid=1254736177056&amp;menu=resultados&amp;idp=1254735576581" TargetMode="External"/><Relationship Id="rId2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ederalreserve.gov/faqs/currency_12771.htm" TargetMode="External"/><Relationship Id="rId2" Type="http://schemas.openxmlformats.org/officeDocument/2006/relationships/hyperlink" Target="https://www.federalreserve.gov/paymentsystems/coin_currency_orders.htm" TargetMode="External"/><Relationship Id="rId3" Type="http://schemas.openxmlformats.org/officeDocument/2006/relationships/hyperlink" Target="https://www.bankofengland.co.uk/knowledgebank/what-is-money" TargetMode="External"/><Relationship Id="rId4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hyperlink" Target="https://sci-hub.mksa.top/10.1093/cje/27.5.749" TargetMode="External"/><Relationship Id="rId2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hyperlink" Target="https://ec.europa.eu/eurostat/databrowser/view/tepsr_wc170/default/line?lang=en" TargetMode="External"/><Relationship Id="rId2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63"/>
    <col customWidth="1" min="4" max="4" width="20.0"/>
    <col customWidth="1" min="5" max="5" width="18.13"/>
    <col customWidth="1" min="6" max="7" width="20.0"/>
    <col customWidth="1" min="8" max="8" width="30.0"/>
    <col customWidth="1" min="9" max="9" width="30.25"/>
    <col customWidth="1" min="10" max="10" width="32.25"/>
    <col customWidth="1" min="11" max="11" width="25.88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5</v>
      </c>
      <c r="I1" s="3" t="s">
        <v>6</v>
      </c>
      <c r="J1" s="3" t="s">
        <v>7</v>
      </c>
      <c r="K1" s="4" t="s">
        <v>8</v>
      </c>
      <c r="L1" s="4" t="s">
        <v>9</v>
      </c>
    </row>
    <row r="2">
      <c r="A2" s="4"/>
      <c r="B2" s="4"/>
      <c r="C2" s="5" t="s">
        <v>10</v>
      </c>
      <c r="D2" s="5">
        <f>EMPRESAS!K2*100</f>
        <v>364.3506879</v>
      </c>
      <c r="E2" s="5">
        <v>13.533251128199474</v>
      </c>
      <c r="F2" s="5">
        <v>38.2753138064634</v>
      </c>
      <c r="G2" s="5">
        <v>8.787178025964376</v>
      </c>
      <c r="H2" s="6">
        <v>158947.53000000014</v>
      </c>
      <c r="I2" s="7">
        <f>(H2*10.12)/60</f>
        <v>26809.15006</v>
      </c>
      <c r="J2" s="7">
        <f>(I2/12)/24</f>
        <v>93.0873266</v>
      </c>
      <c r="K2" s="7">
        <f>H2/E2</f>
        <v>11744.96272</v>
      </c>
    </row>
    <row r="3" ht="75.0" customHeight="1">
      <c r="A3" s="4"/>
      <c r="B3" s="4"/>
      <c r="C3" s="8"/>
      <c r="D3" s="8"/>
      <c r="E3" s="8"/>
      <c r="F3" s="8"/>
      <c r="G3" s="8"/>
      <c r="H3" s="8"/>
      <c r="I3" s="8"/>
      <c r="J3" s="8"/>
      <c r="K3" s="8"/>
    </row>
    <row r="4" ht="24.0" customHeight="1">
      <c r="A4" s="4"/>
      <c r="C4" s="5" t="s">
        <v>11</v>
      </c>
      <c r="D4" s="5">
        <v>204.9614</v>
      </c>
      <c r="E4" s="5">
        <v>5.119</v>
      </c>
      <c r="F4" s="5">
        <v>66.7686</v>
      </c>
      <c r="G4" s="5">
        <v>2.06972</v>
      </c>
      <c r="H4" s="6">
        <v>1.3697702E7</v>
      </c>
      <c r="I4" s="7">
        <f>(H4*10.12)/60</f>
        <v>2310345.737</v>
      </c>
      <c r="J4" s="7">
        <f>(I4/12)/24</f>
        <v>8022.03381</v>
      </c>
      <c r="K4" s="7">
        <f>H4/E4</f>
        <v>2675855.05</v>
      </c>
    </row>
    <row r="5" ht="61.5" customHeight="1">
      <c r="C5" s="8"/>
      <c r="D5" s="8"/>
      <c r="E5" s="8"/>
      <c r="F5" s="8"/>
      <c r="G5" s="8"/>
      <c r="H5" s="8"/>
      <c r="I5" s="8"/>
      <c r="J5" s="8"/>
      <c r="K5" s="8"/>
    </row>
    <row r="6">
      <c r="A6" s="4">
        <v>37.0</v>
      </c>
      <c r="C6" s="5" t="s">
        <v>12</v>
      </c>
      <c r="D6" s="5">
        <v>304.62059</v>
      </c>
      <c r="E6" s="5">
        <v>7.925</v>
      </c>
      <c r="F6" s="5">
        <v>62.4368</v>
      </c>
      <c r="G6" s="5">
        <v>3.8788566</v>
      </c>
      <c r="H6" s="6">
        <v>287111.0</v>
      </c>
      <c r="I6" s="7">
        <f>(H6*10.12)/60</f>
        <v>48426.05533</v>
      </c>
      <c r="J6" s="7">
        <f>(I6/12)/24</f>
        <v>168.1460255</v>
      </c>
      <c r="K6" s="7">
        <f>H6/E6</f>
        <v>36228.51735</v>
      </c>
    </row>
    <row r="7" ht="36.0" customHeight="1">
      <c r="C7" s="8"/>
      <c r="D7" s="8"/>
      <c r="E7" s="8"/>
      <c r="F7" s="8"/>
      <c r="G7" s="8"/>
      <c r="H7" s="8"/>
      <c r="I7" s="8"/>
      <c r="J7" s="8"/>
      <c r="K7" s="8"/>
    </row>
    <row r="8">
      <c r="A8" s="9"/>
      <c r="C8" s="5" t="s">
        <v>13</v>
      </c>
      <c r="D8" s="7">
        <v>1875.8771</v>
      </c>
      <c r="E8" s="5">
        <v>67.383763</v>
      </c>
      <c r="F8" s="5">
        <v>75.8602</v>
      </c>
      <c r="G8" s="5">
        <v>23.72807018</v>
      </c>
      <c r="H8" s="6">
        <v>4.277E9</v>
      </c>
      <c r="I8" s="7">
        <f>(H8*10.12)/60</f>
        <v>721387333.3</v>
      </c>
      <c r="J8" s="7">
        <f>(I8/12)/24</f>
        <v>2504817.13</v>
      </c>
      <c r="K8" s="7">
        <f>H8/E8</f>
        <v>63472264.08</v>
      </c>
    </row>
    <row r="9" ht="42.0" customHeight="1">
      <c r="C9" s="8"/>
      <c r="D9" s="8"/>
      <c r="E9" s="8"/>
      <c r="F9" s="8"/>
      <c r="G9" s="8"/>
      <c r="H9" s="8"/>
      <c r="I9" s="8"/>
      <c r="J9" s="8"/>
      <c r="K9" s="8"/>
    </row>
    <row r="10">
      <c r="C10" s="5" t="s">
        <v>14</v>
      </c>
      <c r="D10" s="7">
        <f>Inditex!K6*100</f>
        <v>289.8845091</v>
      </c>
      <c r="E10" s="5">
        <f>Inditex!I6</f>
        <v>4.427694884</v>
      </c>
      <c r="F10" s="5">
        <f>Inditex!J6*100</f>
        <v>189.609542</v>
      </c>
      <c r="G10" s="5">
        <f>Inditex!L6</f>
        <v>0.528849793</v>
      </c>
      <c r="H10" s="6">
        <f>Inditex!H6*1000000</f>
        <v>252759000000</v>
      </c>
      <c r="I10" s="7">
        <f>(H10*10.12)/60</f>
        <v>42632018000</v>
      </c>
      <c r="J10" s="7">
        <f>(I10/12)/24</f>
        <v>148027840.3</v>
      </c>
      <c r="K10" s="7">
        <f>H10/E10</f>
        <v>57085911888</v>
      </c>
    </row>
    <row r="11" ht="37.5" customHeight="1">
      <c r="C11" s="8"/>
      <c r="D11" s="8"/>
      <c r="E11" s="8"/>
      <c r="F11" s="8"/>
      <c r="G11" s="8"/>
      <c r="H11" s="8"/>
      <c r="I11" s="8"/>
      <c r="J11" s="8"/>
      <c r="K11" s="8"/>
    </row>
    <row r="12" ht="27.75" customHeight="1">
      <c r="A12" s="4" t="s">
        <v>15</v>
      </c>
      <c r="C12" s="5" t="s">
        <v>16</v>
      </c>
      <c r="D12" s="7">
        <f>EMPRESAS!K6*100</f>
        <v>44.7191017</v>
      </c>
      <c r="E12" s="5">
        <f>EMPRESAS!I6</f>
        <v>2.169889005</v>
      </c>
      <c r="F12" s="5">
        <f>EMPRESAS!J6*100</f>
        <v>25.95875888</v>
      </c>
      <c r="G12" s="5">
        <f>EMPRESAS!L6</f>
        <v>0.7226979879</v>
      </c>
      <c r="H12" s="6">
        <f>EMPRESAS!H6</f>
        <v>1462512.74</v>
      </c>
      <c r="I12" s="7">
        <f>(H12*10.12)/60</f>
        <v>246677.1488</v>
      </c>
      <c r="J12" s="7">
        <f>(I12/12)/24</f>
        <v>856.5178778</v>
      </c>
      <c r="K12" s="7">
        <f>H12/E12</f>
        <v>674003.4798</v>
      </c>
      <c r="M12" s="10">
        <f>H12/68</f>
        <v>21507.54029</v>
      </c>
    </row>
    <row r="13" ht="28.5" customHeight="1">
      <c r="C13" s="8"/>
      <c r="D13" s="8"/>
      <c r="E13" s="8"/>
      <c r="F13" s="8"/>
      <c r="G13" s="8"/>
      <c r="H13" s="8"/>
      <c r="I13" s="8"/>
      <c r="J13" s="8"/>
      <c r="K13" s="8"/>
    </row>
    <row r="14">
      <c r="C14" s="5" t="s">
        <v>17</v>
      </c>
      <c r="D14" s="7">
        <f>EMPRESAS!K8*100</f>
        <v>50.11264612</v>
      </c>
      <c r="E14" s="5">
        <f>EMPRESAS!I8</f>
        <v>1.628688414</v>
      </c>
      <c r="F14" s="5">
        <f>EMPRESAS!J8*100</f>
        <v>44.44336384</v>
      </c>
      <c r="G14" s="5">
        <f>EMPRESAS!L8</f>
        <v>0.1275619528</v>
      </c>
      <c r="H14" s="6">
        <f>EMPRESAS!H8</f>
        <v>306678.61</v>
      </c>
      <c r="I14" s="7">
        <f>(H14*10.12)/60</f>
        <v>51726.45889</v>
      </c>
      <c r="J14" s="7">
        <f>(I14/12)/24</f>
        <v>179.60576</v>
      </c>
      <c r="K14" s="7">
        <f>H14/E14</f>
        <v>188297.9012</v>
      </c>
      <c r="L14" s="11">
        <f>J14/17</f>
        <v>10.56504471</v>
      </c>
    </row>
    <row r="15" ht="28.5" customHeight="1">
      <c r="C15" s="8"/>
      <c r="D15" s="8"/>
      <c r="E15" s="8"/>
      <c r="F15" s="8"/>
      <c r="G15" s="8"/>
      <c r="H15" s="8"/>
      <c r="I15" s="8"/>
      <c r="J15" s="8"/>
      <c r="K15" s="8"/>
    </row>
    <row r="16">
      <c r="C16" s="5" t="s">
        <v>18</v>
      </c>
      <c r="D16" s="7">
        <f>EMPRESAS!K9*100</f>
        <v>443.095632</v>
      </c>
      <c r="E16" s="5">
        <f>EMPRESAS!I9</f>
        <v>8.958306127</v>
      </c>
      <c r="F16" s="5">
        <f>EMPRESAS!J9*100</f>
        <v>97.87086282</v>
      </c>
      <c r="G16" s="5">
        <f>EMPRESAS!L9</f>
        <v>3.527349808</v>
      </c>
      <c r="H16" s="6">
        <f>EMPRESAS!H9</f>
        <v>24010456.8</v>
      </c>
      <c r="I16" s="7">
        <f>(H16*10.12)/60</f>
        <v>4049763.714</v>
      </c>
      <c r="J16" s="7">
        <f>(I16/12)/24</f>
        <v>14061.67956</v>
      </c>
      <c r="K16" s="7"/>
      <c r="L16" s="7">
        <f>J16/135</f>
        <v>104.1605893</v>
      </c>
    </row>
    <row r="17" ht="44.25" customHeight="1">
      <c r="C17" s="8"/>
      <c r="D17" s="8"/>
      <c r="E17" s="8"/>
      <c r="F17" s="8"/>
      <c r="G17" s="8"/>
      <c r="H17" s="8"/>
      <c r="I17" s="8"/>
      <c r="J17" s="8"/>
      <c r="K17" s="8"/>
      <c r="L17" s="8"/>
    </row>
    <row r="18">
      <c r="C18" s="5" t="s">
        <v>19</v>
      </c>
      <c r="D18" s="7">
        <f>100*EMPRESAS!K10</f>
        <v>11.83653746</v>
      </c>
      <c r="E18" s="5">
        <f>EMPRESAS!I10</f>
        <v>1.360773111</v>
      </c>
      <c r="F18" s="5">
        <f>100*EMPRESAS!J10</f>
        <v>9.527095741</v>
      </c>
      <c r="G18" s="5">
        <f>EMPRESAS!L10</f>
        <v>0.2424077369</v>
      </c>
      <c r="H18" s="6">
        <f>EMPRESAS!H10</f>
        <v>196449000</v>
      </c>
      <c r="I18" s="7">
        <f>(H18*10.12)/60</f>
        <v>33134398</v>
      </c>
      <c r="J18" s="7">
        <f>(I18/12)/24</f>
        <v>115049.9931</v>
      </c>
      <c r="K18" s="7"/>
      <c r="L18" s="7">
        <f>J18/54689</f>
        <v>2.1037136</v>
      </c>
    </row>
    <row r="19" ht="50.25" customHeight="1">
      <c r="C19" s="8"/>
      <c r="D19" s="8"/>
      <c r="E19" s="8"/>
      <c r="F19" s="8"/>
      <c r="G19" s="8"/>
      <c r="H19" s="8"/>
      <c r="I19" s="8"/>
      <c r="J19" s="8"/>
      <c r="K19" s="8"/>
      <c r="L19" s="8"/>
    </row>
    <row r="20">
      <c r="B20" s="4" t="s">
        <v>15</v>
      </c>
      <c r="C20" s="5" t="s">
        <v>20</v>
      </c>
      <c r="D20" s="7">
        <f>EMPRESAS!K11*100</f>
        <v>23.84487693</v>
      </c>
      <c r="E20" s="5">
        <f>EMPRESAS!I11</f>
        <v>1.739418089</v>
      </c>
      <c r="F20" s="5">
        <f>100*EMPRESAS!J11</f>
        <v>15.88631867</v>
      </c>
      <c r="G20" s="5">
        <f>EMPRESAS!L11</f>
        <v>0.5009693201</v>
      </c>
      <c r="H20" s="6">
        <f>EMPRESAS!H11</f>
        <v>119800000</v>
      </c>
      <c r="I20" s="7">
        <f>(H20*10.12)/60</f>
        <v>20206266.67</v>
      </c>
      <c r="J20" s="7">
        <f>(I20/12)/24</f>
        <v>70160.64815</v>
      </c>
      <c r="K20" s="7"/>
      <c r="L20" s="7">
        <f>J20/13194</f>
        <v>5.317617716</v>
      </c>
    </row>
    <row r="21" ht="43.5" customHeight="1">
      <c r="C21" s="8"/>
      <c r="D21" s="8"/>
      <c r="E21" s="8"/>
      <c r="F21" s="8"/>
      <c r="G21" s="8"/>
      <c r="H21" s="8"/>
      <c r="I21" s="8"/>
      <c r="J21" s="8"/>
      <c r="K21" s="8"/>
      <c r="L21" s="8"/>
    </row>
    <row r="22">
      <c r="C22" s="5" t="s">
        <v>21</v>
      </c>
      <c r="D22" s="7">
        <f>100*EMPRESAS!K16</f>
        <v>2843.57754</v>
      </c>
      <c r="E22" s="5">
        <f>EMPRESAS!I16</f>
        <v>33.07319619</v>
      </c>
      <c r="F22" s="5"/>
      <c r="G22" s="5">
        <f>EMPRESAS!L16</f>
        <v>3.637420796</v>
      </c>
      <c r="H22" s="6">
        <f>EMPRESAS!H16</f>
        <v>3895360000</v>
      </c>
      <c r="I22" s="7">
        <f>(H22*10.12)/60</f>
        <v>657017386.7</v>
      </c>
      <c r="J22" s="7">
        <f>(I22/12)/24</f>
        <v>2281310.37</v>
      </c>
      <c r="K22" s="7"/>
      <c r="L22" s="7">
        <f>J22/38297</f>
        <v>59.56890541</v>
      </c>
    </row>
    <row r="23" ht="28.5" customHeight="1">
      <c r="C23" s="8"/>
      <c r="D23" s="8"/>
      <c r="E23" s="8"/>
      <c r="F23" s="8"/>
      <c r="G23" s="8"/>
      <c r="H23" s="8"/>
      <c r="I23" s="8"/>
      <c r="J23" s="8"/>
      <c r="K23" s="8"/>
      <c r="L23" s="8"/>
    </row>
    <row r="24">
      <c r="C24" s="5" t="s">
        <v>22</v>
      </c>
      <c r="D24" s="7">
        <f>EMPRESAS!K17*100</f>
        <v>999.4444444</v>
      </c>
      <c r="E24" s="5">
        <v>11.52</v>
      </c>
      <c r="F24" s="5"/>
      <c r="G24" s="5">
        <v>0.53</v>
      </c>
      <c r="H24" s="6">
        <f>EMPRESAS!H17</f>
        <v>1799000000</v>
      </c>
      <c r="I24" s="7">
        <f>(H24*10.12)/60</f>
        <v>303431333.3</v>
      </c>
      <c r="J24" s="7">
        <f>(I24/12)/24</f>
        <v>1053581.019</v>
      </c>
      <c r="K24" s="7"/>
      <c r="L24" s="7">
        <f>J24/1299</f>
        <v>811.070838</v>
      </c>
    </row>
    <row r="25" ht="38.25" customHeight="1"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C26" s="5" t="s">
        <v>23</v>
      </c>
      <c r="D26" s="7">
        <v>705.26</v>
      </c>
      <c r="E26" s="5">
        <v>24.13</v>
      </c>
      <c r="F26" s="5"/>
      <c r="G26" s="5">
        <v>16.07</v>
      </c>
      <c r="H26" s="6">
        <f>EMPRESAS!H18</f>
        <v>268000000</v>
      </c>
      <c r="I26" s="7">
        <f>(H26*10.12)/60</f>
        <v>45202666.67</v>
      </c>
      <c r="J26" s="7">
        <f>(I26/12)/24</f>
        <v>156953.7037</v>
      </c>
      <c r="K26" s="7"/>
      <c r="L26" s="7">
        <f>J26/11847</f>
        <v>13.24839231</v>
      </c>
    </row>
    <row r="27" ht="26.25" customHeight="1">
      <c r="C27" s="8"/>
      <c r="D27" s="8"/>
      <c r="E27" s="8"/>
      <c r="F27" s="8"/>
      <c r="G27" s="8"/>
      <c r="H27" s="8"/>
      <c r="I27" s="8"/>
      <c r="J27" s="8"/>
      <c r="K27" s="8"/>
      <c r="L27" s="8"/>
    </row>
    <row r="28">
      <c r="C28" s="5" t="s">
        <v>24</v>
      </c>
      <c r="D28" s="7">
        <v>174.69</v>
      </c>
      <c r="E28" s="5">
        <v>5.87</v>
      </c>
      <c r="F28" s="5"/>
      <c r="G28" s="5">
        <v>3.12</v>
      </c>
      <c r="H28" s="6">
        <v>1.4091E10</v>
      </c>
      <c r="I28" s="7">
        <f>(H28*10.12)/60</f>
        <v>2376682000</v>
      </c>
      <c r="J28" s="7">
        <f>(I28/12)/24</f>
        <v>8252368.056</v>
      </c>
      <c r="K28" s="7"/>
      <c r="L28" s="7">
        <f>J28/28388</f>
        <v>290.6991706</v>
      </c>
    </row>
    <row r="29" ht="30.0" customHeight="1">
      <c r="C29" s="8"/>
      <c r="D29" s="8"/>
      <c r="E29" s="8"/>
      <c r="F29" s="8"/>
      <c r="G29" s="8"/>
      <c r="H29" s="8"/>
      <c r="I29" s="8"/>
      <c r="J29" s="8"/>
      <c r="K29" s="8"/>
      <c r="L29" s="8"/>
    </row>
    <row r="30">
      <c r="C30" s="5" t="s">
        <v>25</v>
      </c>
      <c r="D30" s="7">
        <v>321.02</v>
      </c>
      <c r="E30" s="5">
        <v>4.63</v>
      </c>
      <c r="F30" s="5"/>
      <c r="G30" s="5">
        <v>0.42</v>
      </c>
      <c r="H30" s="6">
        <v>3.8976E10</v>
      </c>
      <c r="I30" s="7">
        <f>(H30*10.12)/60</f>
        <v>6573952000</v>
      </c>
      <c r="J30" s="7">
        <f>(I30/12)/24</f>
        <v>22826222.22</v>
      </c>
      <c r="K30" s="7"/>
      <c r="L30" s="7">
        <f>J30/193303</f>
        <v>118.0851938</v>
      </c>
    </row>
    <row r="31" ht="24.75" customHeight="1">
      <c r="C31" s="8"/>
      <c r="D31" s="8"/>
      <c r="E31" s="8"/>
      <c r="F31" s="8"/>
      <c r="G31" s="8"/>
      <c r="H31" s="8"/>
      <c r="I31" s="8"/>
      <c r="J31" s="8"/>
      <c r="K31" s="8"/>
      <c r="L31" s="8"/>
    </row>
    <row r="32">
      <c r="H32" s="4"/>
      <c r="I32" s="4"/>
      <c r="J32" s="12"/>
    </row>
    <row r="33">
      <c r="H33" s="4"/>
      <c r="I33" s="4"/>
      <c r="J33" s="12"/>
    </row>
    <row r="34">
      <c r="H34" s="4"/>
      <c r="I34" s="4"/>
      <c r="J34" s="12"/>
    </row>
    <row r="35">
      <c r="H35" s="4"/>
      <c r="I35" s="4"/>
      <c r="J35" s="12"/>
    </row>
    <row r="36">
      <c r="I36" s="4" t="s">
        <v>26</v>
      </c>
      <c r="J36" s="11">
        <f>7300000000/365000000</f>
        <v>20</v>
      </c>
    </row>
    <row r="45">
      <c r="H45" s="11" t="s">
        <v>27</v>
      </c>
      <c r="I45" s="11" t="s">
        <v>28</v>
      </c>
      <c r="J45" s="11">
        <f>J8/365</f>
        <v>6862.512684</v>
      </c>
    </row>
    <row r="47">
      <c r="H47" s="4"/>
      <c r="I47" s="4"/>
      <c r="J47" s="12"/>
    </row>
    <row r="48">
      <c r="H48" s="4"/>
      <c r="I48" s="4" t="s">
        <v>29</v>
      </c>
      <c r="J48" s="12">
        <f>75000000000/12151.5</f>
        <v>6172077.521</v>
      </c>
    </row>
    <row r="49">
      <c r="J49" s="11">
        <f>J8/144116</f>
        <v>17.38056239</v>
      </c>
    </row>
    <row r="50">
      <c r="J50" s="11">
        <f>J49*8</f>
        <v>139.0444991</v>
      </c>
    </row>
    <row r="51">
      <c r="J51" s="11">
        <f>(40*4)-(4*4*5)</f>
        <v>80</v>
      </c>
    </row>
    <row r="52">
      <c r="J52" s="11">
        <f>3*5*4</f>
        <v>60</v>
      </c>
    </row>
    <row r="53">
      <c r="J53" s="11">
        <f>8*5*4</f>
        <v>160</v>
      </c>
    </row>
    <row r="54">
      <c r="H54" s="13">
        <v>7.5E10</v>
      </c>
      <c r="J54" s="11">
        <f>J52-J53</f>
        <v>-100</v>
      </c>
    </row>
    <row r="55">
      <c r="J55" s="11">
        <f>(J50-abs(J54))/8</f>
        <v>4.880562392</v>
      </c>
    </row>
  </sheetData>
  <mergeCells count="150">
    <mergeCell ref="J28:J29"/>
    <mergeCell ref="K28:K29"/>
    <mergeCell ref="L28:L29"/>
    <mergeCell ref="C28:C29"/>
    <mergeCell ref="D28:D29"/>
    <mergeCell ref="E28:E29"/>
    <mergeCell ref="F28:F29"/>
    <mergeCell ref="G28:G29"/>
    <mergeCell ref="H28:H29"/>
    <mergeCell ref="I28:I29"/>
    <mergeCell ref="J20:J21"/>
    <mergeCell ref="K20:K21"/>
    <mergeCell ref="L20:L21"/>
    <mergeCell ref="L22:L23"/>
    <mergeCell ref="C20:C21"/>
    <mergeCell ref="D20:D21"/>
    <mergeCell ref="E20:E21"/>
    <mergeCell ref="F20:F21"/>
    <mergeCell ref="G20:G21"/>
    <mergeCell ref="H20:H21"/>
    <mergeCell ref="I20:I21"/>
    <mergeCell ref="J24:J25"/>
    <mergeCell ref="K24:K25"/>
    <mergeCell ref="L24:L25"/>
    <mergeCell ref="C24:C25"/>
    <mergeCell ref="D24:D25"/>
    <mergeCell ref="E24:E25"/>
    <mergeCell ref="F24:F25"/>
    <mergeCell ref="G24:G25"/>
    <mergeCell ref="H24:H25"/>
    <mergeCell ref="I24:I25"/>
    <mergeCell ref="J26:J27"/>
    <mergeCell ref="K26:K27"/>
    <mergeCell ref="L26:L27"/>
    <mergeCell ref="C26:C27"/>
    <mergeCell ref="D26:D27"/>
    <mergeCell ref="E26:E27"/>
    <mergeCell ref="F26:F27"/>
    <mergeCell ref="G26:G27"/>
    <mergeCell ref="H26:H27"/>
    <mergeCell ref="I26:I27"/>
    <mergeCell ref="J30:J31"/>
    <mergeCell ref="K30:K31"/>
    <mergeCell ref="L30:L31"/>
    <mergeCell ref="H45:H46"/>
    <mergeCell ref="I45:I46"/>
    <mergeCell ref="J45:J46"/>
    <mergeCell ref="C30:C31"/>
    <mergeCell ref="D30:D31"/>
    <mergeCell ref="E30:E31"/>
    <mergeCell ref="F30:F31"/>
    <mergeCell ref="G30:G31"/>
    <mergeCell ref="H30:H31"/>
    <mergeCell ref="I30:I31"/>
    <mergeCell ref="J8:J9"/>
    <mergeCell ref="K8:K9"/>
    <mergeCell ref="C8:C9"/>
    <mergeCell ref="D8:D9"/>
    <mergeCell ref="E8:E9"/>
    <mergeCell ref="F8:F9"/>
    <mergeCell ref="G8:G9"/>
    <mergeCell ref="H8:H9"/>
    <mergeCell ref="I8:I9"/>
    <mergeCell ref="I10:I11"/>
    <mergeCell ref="J10:J11"/>
    <mergeCell ref="K10:K11"/>
    <mergeCell ref="A10:B11"/>
    <mergeCell ref="C10:C11"/>
    <mergeCell ref="D10:D11"/>
    <mergeCell ref="E10:E11"/>
    <mergeCell ref="F10:F11"/>
    <mergeCell ref="G10:G11"/>
    <mergeCell ref="H10:H11"/>
    <mergeCell ref="I12:I13"/>
    <mergeCell ref="J12:J13"/>
    <mergeCell ref="K12:K13"/>
    <mergeCell ref="A12:B13"/>
    <mergeCell ref="C12:C13"/>
    <mergeCell ref="D12:D13"/>
    <mergeCell ref="E12:E13"/>
    <mergeCell ref="F12:F13"/>
    <mergeCell ref="G12:G13"/>
    <mergeCell ref="H12:H13"/>
    <mergeCell ref="J14:J15"/>
    <mergeCell ref="K14:K15"/>
    <mergeCell ref="C14:C15"/>
    <mergeCell ref="D14:D15"/>
    <mergeCell ref="E14:E15"/>
    <mergeCell ref="F14:F15"/>
    <mergeCell ref="G14:G15"/>
    <mergeCell ref="H14:H15"/>
    <mergeCell ref="I14:I15"/>
    <mergeCell ref="J16:J17"/>
    <mergeCell ref="K16:K17"/>
    <mergeCell ref="L16:L17"/>
    <mergeCell ref="C16:C17"/>
    <mergeCell ref="D16:D17"/>
    <mergeCell ref="E16:E17"/>
    <mergeCell ref="F16:F17"/>
    <mergeCell ref="G16:G17"/>
    <mergeCell ref="H16:H17"/>
    <mergeCell ref="I16:I17"/>
    <mergeCell ref="J18:J19"/>
    <mergeCell ref="K18:K19"/>
    <mergeCell ref="L18:L19"/>
    <mergeCell ref="C18:C19"/>
    <mergeCell ref="D18:D19"/>
    <mergeCell ref="E18:E19"/>
    <mergeCell ref="F18:F19"/>
    <mergeCell ref="G18:G19"/>
    <mergeCell ref="H18:H19"/>
    <mergeCell ref="I18:I19"/>
    <mergeCell ref="J2:J3"/>
    <mergeCell ref="K2:K3"/>
    <mergeCell ref="C2:C3"/>
    <mergeCell ref="D2:D3"/>
    <mergeCell ref="E2:E3"/>
    <mergeCell ref="F2:F3"/>
    <mergeCell ref="G2:G3"/>
    <mergeCell ref="H2:H3"/>
    <mergeCell ref="I2:I3"/>
    <mergeCell ref="I4:I5"/>
    <mergeCell ref="J4:J5"/>
    <mergeCell ref="K4:K5"/>
    <mergeCell ref="A4:B5"/>
    <mergeCell ref="C4:C5"/>
    <mergeCell ref="D4:D5"/>
    <mergeCell ref="E4:E5"/>
    <mergeCell ref="F4:F5"/>
    <mergeCell ref="G4:G5"/>
    <mergeCell ref="H4:H5"/>
    <mergeCell ref="I6:I7"/>
    <mergeCell ref="J6:J7"/>
    <mergeCell ref="K6:K7"/>
    <mergeCell ref="A6:B7"/>
    <mergeCell ref="C6:C7"/>
    <mergeCell ref="D6:D7"/>
    <mergeCell ref="E6:E7"/>
    <mergeCell ref="F6:F7"/>
    <mergeCell ref="G6:G7"/>
    <mergeCell ref="H6:H7"/>
    <mergeCell ref="J22:J23"/>
    <mergeCell ref="K22:K23"/>
    <mergeCell ref="C22:C23"/>
    <mergeCell ref="D22:D23"/>
    <mergeCell ref="E22:E23"/>
    <mergeCell ref="F22:F23"/>
    <mergeCell ref="G22:G23"/>
    <mergeCell ref="H22:H23"/>
    <mergeCell ref="I22:I2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sheetData>
    <row r="1">
      <c r="B1" s="4" t="s">
        <v>129</v>
      </c>
      <c r="D1" s="4" t="s">
        <v>121</v>
      </c>
      <c r="E1" s="4" t="s">
        <v>130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135</v>
      </c>
      <c r="K1" s="4" t="s">
        <v>127</v>
      </c>
      <c r="L1" s="4" t="s">
        <v>78</v>
      </c>
      <c r="M1" s="4" t="s">
        <v>128</v>
      </c>
      <c r="N1" s="4" t="s">
        <v>136</v>
      </c>
      <c r="P1" s="4" t="s">
        <v>121</v>
      </c>
      <c r="Q1" s="28" t="s">
        <v>36</v>
      </c>
      <c r="R1" s="4" t="s">
        <v>38</v>
      </c>
      <c r="S1" s="4" t="s">
        <v>49</v>
      </c>
      <c r="T1" s="4" t="s">
        <v>137</v>
      </c>
    </row>
    <row r="2">
      <c r="B2" s="11">
        <v>1.0126619E7</v>
      </c>
      <c r="C2" s="4" t="s">
        <v>125</v>
      </c>
      <c r="D2" s="34">
        <v>3.4686827300986134</v>
      </c>
      <c r="E2" s="11">
        <v>0.12681443381129492</v>
      </c>
      <c r="F2" s="11">
        <v>0.42379713586559314</v>
      </c>
      <c r="G2" s="11">
        <v>2.3418682962873185</v>
      </c>
      <c r="H2" s="11">
        <v>6.271942699502535</v>
      </c>
      <c r="I2" s="11">
        <f>B2-B7</f>
        <v>3295197</v>
      </c>
      <c r="J2" s="11">
        <f>B3-B8</f>
        <v>3814303</v>
      </c>
      <c r="K2" s="11">
        <f>B4-B9</f>
        <v>56594321</v>
      </c>
      <c r="L2" s="11">
        <f>B5-B10</f>
        <v>1444437</v>
      </c>
      <c r="M2" s="11">
        <f>B6-B11</f>
        <v>6303107</v>
      </c>
      <c r="N2" s="11">
        <v>3295197.0</v>
      </c>
      <c r="O2" s="4">
        <v>1.0</v>
      </c>
      <c r="P2" s="11">
        <v>0.1658122639453854</v>
      </c>
      <c r="Q2" s="11">
        <f t="shared" ref="Q2:T2" si="1">E2-E7</f>
        <v>0.03966473171</v>
      </c>
      <c r="R2" s="11">
        <f t="shared" si="1"/>
        <v>0.09739282039</v>
      </c>
      <c r="S2" s="11">
        <f t="shared" si="1"/>
        <v>-0.4034608053</v>
      </c>
      <c r="T2" s="11">
        <f t="shared" si="1"/>
        <v>1.95067432</v>
      </c>
    </row>
    <row r="3">
      <c r="B3" s="11">
        <v>6.8188223E7</v>
      </c>
      <c r="C3" s="4" t="s">
        <v>126</v>
      </c>
      <c r="D3" s="34">
        <v>4.694402564884922</v>
      </c>
      <c r="E3" s="11">
        <v>0.2874559559964327</v>
      </c>
      <c r="F3" s="11">
        <v>1.266803050483278</v>
      </c>
      <c r="G3" s="11">
        <v>3.406946608888489</v>
      </c>
      <c r="H3" s="11">
        <v>4.721326046545707</v>
      </c>
      <c r="I3" s="11">
        <f>B7-B12</f>
        <v>-8505589</v>
      </c>
      <c r="J3" s="11">
        <f>B8-B13</f>
        <v>3066971</v>
      </c>
      <c r="K3" s="11">
        <f>B9-B14</f>
        <v>-41098635</v>
      </c>
      <c r="L3" s="11">
        <f>B10-B15</f>
        <v>6293687</v>
      </c>
      <c r="M3" s="11">
        <f>B11-B16</f>
        <v>17015393</v>
      </c>
      <c r="N3" s="11">
        <v>3814303.0</v>
      </c>
      <c r="O3" s="11">
        <v>7.0</v>
      </c>
      <c r="P3" s="11">
        <v>-0.1845898265290442</v>
      </c>
      <c r="Q3" s="11">
        <f t="shared" ref="Q3:T3" si="2">E3-E8</f>
        <v>0.01837837169</v>
      </c>
      <c r="R3" s="11">
        <f t="shared" si="2"/>
        <v>0.02345452142</v>
      </c>
      <c r="S3" s="11">
        <f t="shared" si="2"/>
        <v>-0.213834168</v>
      </c>
      <c r="T3" s="11">
        <f t="shared" si="2"/>
        <v>0.2310999827</v>
      </c>
    </row>
    <row r="4">
      <c r="B4" s="11">
        <v>1.27424891E8</v>
      </c>
      <c r="C4" s="4" t="s">
        <v>127</v>
      </c>
      <c r="D4" s="34">
        <v>4.895847076735046</v>
      </c>
      <c r="E4" s="11">
        <v>0.24173755460918633</v>
      </c>
      <c r="F4" s="11">
        <v>1.1250730547620342</v>
      </c>
      <c r="G4" s="11">
        <v>3.6541095221258595</v>
      </c>
      <c r="H4" s="11">
        <v>8.399415141057487</v>
      </c>
      <c r="I4" s="11">
        <f>B12-B17</f>
        <v>7395347</v>
      </c>
      <c r="J4" s="11">
        <f>B13-B18</f>
        <v>5098030</v>
      </c>
      <c r="K4" s="11">
        <f>B14-B19</f>
        <v>-378453</v>
      </c>
      <c r="L4" s="11">
        <f>B15-B20</f>
        <v>8271156</v>
      </c>
      <c r="M4" s="11">
        <f>B16-B21</f>
        <v>18650340</v>
      </c>
      <c r="N4" s="11">
        <v>5.6594321E7</v>
      </c>
      <c r="O4" s="11">
        <v>33.0</v>
      </c>
      <c r="P4" s="11">
        <v>-0.11753268688911334</v>
      </c>
      <c r="Q4" s="11">
        <f t="shared" ref="Q4:T4" si="3">E4-E9</f>
        <v>0.1154858604</v>
      </c>
      <c r="R4" s="11">
        <f t="shared" si="3"/>
        <v>0.6607420367</v>
      </c>
      <c r="S4" s="11">
        <f t="shared" si="3"/>
        <v>0.9762894275</v>
      </c>
      <c r="T4" s="11">
        <f t="shared" si="3"/>
        <v>3.46769894</v>
      </c>
    </row>
    <row r="5">
      <c r="B5" s="11">
        <v>5.5387019E7</v>
      </c>
      <c r="C5" s="4" t="s">
        <v>78</v>
      </c>
      <c r="D5" s="34">
        <v>5.163823231105395</v>
      </c>
      <c r="E5" s="11">
        <v>0.26044574243490304</v>
      </c>
      <c r="F5" s="11">
        <v>1.2770637904753768</v>
      </c>
      <c r="G5" s="11">
        <v>3.9033774886704924</v>
      </c>
      <c r="H5" s="11">
        <v>13.73995743475238</v>
      </c>
      <c r="I5" s="11">
        <f>B17-B22</f>
        <v>-9900890</v>
      </c>
      <c r="J5" s="11">
        <f>B18-B23</f>
        <v>2515357</v>
      </c>
      <c r="K5" s="11">
        <f>B19-B24</f>
        <v>12722420</v>
      </c>
      <c r="L5" s="11">
        <f>B20-B25</f>
        <v>-2510394</v>
      </c>
      <c r="M5" s="11">
        <f>B21-B26</f>
        <v>-255415</v>
      </c>
      <c r="N5" s="11">
        <v>1444437.0</v>
      </c>
      <c r="O5" s="11">
        <v>63.0</v>
      </c>
      <c r="P5" s="11">
        <v>0.053250644933450886</v>
      </c>
      <c r="Q5" s="11">
        <f t="shared" ref="Q5:T5" si="4">E5-E10</f>
        <v>0.005607744229</v>
      </c>
      <c r="R5" s="11">
        <f t="shared" si="4"/>
        <v>-0.03625019728</v>
      </c>
      <c r="S5" s="11">
        <f t="shared" si="4"/>
        <v>-0.2501474841</v>
      </c>
      <c r="T5" s="11">
        <f t="shared" si="4"/>
        <v>-0.2065456428</v>
      </c>
    </row>
    <row r="6">
      <c r="B6" s="11">
        <v>2.02598914E8</v>
      </c>
      <c r="C6" s="4" t="s">
        <v>128</v>
      </c>
      <c r="D6" s="34">
        <v>5.025716949870551</v>
      </c>
      <c r="E6" s="11">
        <v>0.27985219304805026</v>
      </c>
      <c r="F6" s="11">
        <v>1.3281406601062284</v>
      </c>
      <c r="G6" s="11">
        <v>3.7458647568225003</v>
      </c>
      <c r="H6" s="11">
        <v>32.836817603844004</v>
      </c>
      <c r="N6" s="11">
        <v>6303107.0</v>
      </c>
      <c r="O6" s="11">
        <v>921.0</v>
      </c>
      <c r="P6" s="11">
        <v>-0.040578021580924606</v>
      </c>
      <c r="Q6" s="11">
        <f t="shared" ref="Q6:T6" si="5">E6-E11</f>
        <v>-0.004667921887</v>
      </c>
      <c r="R6" s="11">
        <f t="shared" si="5"/>
        <v>-0.04534561444</v>
      </c>
      <c r="S6" s="11">
        <f t="shared" si="5"/>
        <v>-0.08151370412</v>
      </c>
      <c r="T6" s="11">
        <f t="shared" si="5"/>
        <v>-0.6732426302</v>
      </c>
    </row>
    <row r="7">
      <c r="B7" s="11">
        <v>6831422.0</v>
      </c>
      <c r="C7" s="4" t="s">
        <v>125</v>
      </c>
      <c r="D7" s="34">
        <v>3.8324788037319597</v>
      </c>
      <c r="E7" s="11">
        <v>0.08714970210063606</v>
      </c>
      <c r="F7" s="11">
        <v>0.32640431547601273</v>
      </c>
      <c r="G7" s="11">
        <v>2.7453291016313237</v>
      </c>
      <c r="H7" s="11">
        <v>4.321268379636586</v>
      </c>
      <c r="N7" s="11">
        <v>-8505589.0</v>
      </c>
      <c r="O7" s="4">
        <v>1.0</v>
      </c>
      <c r="P7" s="11">
        <v>2.176812482696495</v>
      </c>
      <c r="Q7" s="11">
        <f t="shared" ref="Q7:T7" si="6">E7-E12</f>
        <v>-0.1507297092</v>
      </c>
      <c r="R7" s="11">
        <f t="shared" si="6"/>
        <v>-1.147229552</v>
      </c>
      <c r="S7" s="11">
        <f t="shared" si="6"/>
        <v>-2.449548629</v>
      </c>
      <c r="T7" s="11">
        <f t="shared" si="6"/>
        <v>-5.440756447</v>
      </c>
    </row>
    <row r="8">
      <c r="B8" s="11">
        <v>6.437392E7</v>
      </c>
      <c r="C8" s="4" t="s">
        <v>126</v>
      </c>
      <c r="D8" s="34">
        <v>4.889858361182586</v>
      </c>
      <c r="E8" s="11">
        <v>0.26907758430878226</v>
      </c>
      <c r="F8" s="11">
        <v>1.2433485290616615</v>
      </c>
      <c r="G8" s="11">
        <v>3.6207807768738043</v>
      </c>
      <c r="H8" s="11">
        <v>4.49022606387314</v>
      </c>
      <c r="N8" s="11">
        <v>3066971.0</v>
      </c>
      <c r="O8" s="4">
        <v>4.0</v>
      </c>
      <c r="P8" s="11">
        <v>-0.049242018413210964</v>
      </c>
      <c r="Q8" s="11">
        <f t="shared" ref="Q8:T8" si="7">E8-E13</f>
        <v>0.004269599953</v>
      </c>
      <c r="R8" s="11">
        <f t="shared" si="7"/>
        <v>0.01369261017</v>
      </c>
      <c r="S8" s="11">
        <f t="shared" si="7"/>
        <v>-0.02279491396</v>
      </c>
      <c r="T8" s="11">
        <f t="shared" si="7"/>
        <v>0.1876543857</v>
      </c>
    </row>
    <row r="9">
      <c r="B9" s="11">
        <v>7.083057E7</v>
      </c>
      <c r="C9" s="4" t="s">
        <v>127</v>
      </c>
      <c r="D9" s="34">
        <v>3.8040717889006896</v>
      </c>
      <c r="E9" s="11">
        <v>0.12625169423980825</v>
      </c>
      <c r="F9" s="11">
        <v>0.46433101806014826</v>
      </c>
      <c r="G9" s="11">
        <v>2.6778200946608814</v>
      </c>
      <c r="H9" s="11">
        <v>4.931716200751119</v>
      </c>
      <c r="N9" s="11">
        <v>-4.1098635E7</v>
      </c>
      <c r="O9" s="4">
        <v>44.0</v>
      </c>
      <c r="P9" s="11">
        <v>0.022182572768722153</v>
      </c>
      <c r="Q9" s="11">
        <f t="shared" ref="Q9:T9" si="8">E9-E14</f>
        <v>-0.1090962727</v>
      </c>
      <c r="R9" s="11">
        <f t="shared" si="8"/>
        <v>-0.6693609378</v>
      </c>
      <c r="S9" s="11">
        <f t="shared" si="8"/>
        <v>-1.139268282</v>
      </c>
      <c r="T9" s="11">
        <f t="shared" si="8"/>
        <v>-3.323697596</v>
      </c>
    </row>
    <row r="10">
      <c r="A10" s="4">
        <v>2018.0</v>
      </c>
      <c r="B10" s="11">
        <v>5.3942582E7</v>
      </c>
      <c r="C10" s="4" t="s">
        <v>78</v>
      </c>
      <c r="D10" s="34">
        <v>5.408362970927607</v>
      </c>
      <c r="E10" s="11">
        <v>0.2548379982060528</v>
      </c>
      <c r="F10" s="11">
        <v>1.3133139877532638</v>
      </c>
      <c r="G10" s="11">
        <v>4.153524972721554</v>
      </c>
      <c r="H10" s="11">
        <v>13.946503077518196</v>
      </c>
      <c r="I10" s="11">
        <f t="shared" ref="I10:M10" si="9">I2*-1</f>
        <v>-3295197</v>
      </c>
      <c r="J10" s="11">
        <f t="shared" si="9"/>
        <v>-3814303</v>
      </c>
      <c r="K10" s="11">
        <f t="shared" si="9"/>
        <v>-56594321</v>
      </c>
      <c r="L10" s="11">
        <f t="shared" si="9"/>
        <v>-1444437</v>
      </c>
      <c r="M10" s="11">
        <f t="shared" si="9"/>
        <v>-6303107</v>
      </c>
      <c r="N10" s="11">
        <v>6293687.0</v>
      </c>
      <c r="O10" s="4">
        <v>154.0</v>
      </c>
      <c r="P10" s="11">
        <v>0.04038061614061217</v>
      </c>
      <c r="Q10" s="11">
        <f t="shared" ref="Q10:T10" si="10">E10-E15</f>
        <v>0.007798327931</v>
      </c>
      <c r="R10" s="11">
        <f t="shared" si="10"/>
        <v>0.06742903332</v>
      </c>
      <c r="S10" s="11">
        <f t="shared" si="10"/>
        <v>0.110266321</v>
      </c>
      <c r="T10" s="11">
        <f t="shared" si="10"/>
        <v>0.8943973042</v>
      </c>
    </row>
    <row r="11">
      <c r="A11" s="4">
        <v>2017.0</v>
      </c>
      <c r="B11" s="11">
        <v>1.96295807E8</v>
      </c>
      <c r="C11" s="4" t="s">
        <v>128</v>
      </c>
      <c r="D11" s="34">
        <v>5.111898575875996</v>
      </c>
      <c r="E11" s="11">
        <v>0.28452011493501494</v>
      </c>
      <c r="F11" s="11">
        <v>1.3734862745417433</v>
      </c>
      <c r="G11" s="11">
        <v>3.8273784609409804</v>
      </c>
      <c r="H11" s="11">
        <v>33.51006023402733</v>
      </c>
      <c r="I11" s="11">
        <f t="shared" ref="I11:M11" si="11">I3*-1</f>
        <v>8505589</v>
      </c>
      <c r="J11" s="11">
        <f t="shared" si="11"/>
        <v>-3066971</v>
      </c>
      <c r="K11" s="11">
        <f t="shared" si="11"/>
        <v>41098635</v>
      </c>
      <c r="L11" s="11">
        <f t="shared" si="11"/>
        <v>-6293687</v>
      </c>
      <c r="M11" s="11">
        <f t="shared" si="11"/>
        <v>-17015393</v>
      </c>
      <c r="N11" s="11">
        <v>1.7015393E7</v>
      </c>
      <c r="O11" s="4">
        <v>960.0</v>
      </c>
      <c r="P11" s="11">
        <v>0.14572188238668105</v>
      </c>
      <c r="Q11" s="11">
        <f t="shared" ref="Q11:T11" si="12">E11-E16</f>
        <v>0.01026263327</v>
      </c>
      <c r="R11" s="11">
        <f t="shared" si="12"/>
        <v>0.03753558776</v>
      </c>
      <c r="S11" s="11">
        <f t="shared" si="12"/>
        <v>-0.04377647947</v>
      </c>
      <c r="T11" s="11">
        <f t="shared" si="12"/>
        <v>1.164938158</v>
      </c>
    </row>
    <row r="12">
      <c r="A12" s="4">
        <v>2016.0</v>
      </c>
      <c r="B12" s="11">
        <v>1.5337011E7</v>
      </c>
      <c r="C12" s="4" t="s">
        <v>125</v>
      </c>
      <c r="D12" s="34">
        <v>6.432757141709107</v>
      </c>
      <c r="E12" s="11">
        <v>0.23787941134000135</v>
      </c>
      <c r="F12" s="11">
        <v>1.4736338678234866</v>
      </c>
      <c r="G12" s="11">
        <v>5.194877730369106</v>
      </c>
      <c r="H12" s="11">
        <v>9.762024826827194</v>
      </c>
      <c r="I12" s="11">
        <f t="shared" ref="I12:M12" si="13">I4*-1</f>
        <v>-7395347</v>
      </c>
      <c r="J12" s="11">
        <f t="shared" si="13"/>
        <v>-5098030</v>
      </c>
      <c r="K12" s="11">
        <f t="shared" si="13"/>
        <v>378453</v>
      </c>
      <c r="L12" s="11">
        <f t="shared" si="13"/>
        <v>-8271156</v>
      </c>
      <c r="M12" s="11">
        <f t="shared" si="13"/>
        <v>-18650340</v>
      </c>
      <c r="N12" s="11">
        <v>7395347.0</v>
      </c>
      <c r="O12" s="4">
        <v>1.0</v>
      </c>
      <c r="P12" s="11">
        <v>-2.6002783379771475</v>
      </c>
      <c r="Q12" s="11">
        <f t="shared" ref="Q12:T12" si="14">E12-E17</f>
        <v>0.1119996702</v>
      </c>
      <c r="R12" s="11">
        <f t="shared" si="14"/>
        <v>0.9537423649</v>
      </c>
      <c r="S12" s="11">
        <f t="shared" si="14"/>
        <v>2.064812813</v>
      </c>
      <c r="T12" s="11">
        <f t="shared" si="14"/>
        <v>4.54512854</v>
      </c>
    </row>
    <row r="13">
      <c r="A13" s="4">
        <v>2015.0</v>
      </c>
      <c r="B13" s="11">
        <v>6.1306949E7</v>
      </c>
      <c r="C13" s="4" t="s">
        <v>126</v>
      </c>
      <c r="D13" s="34">
        <v>4.908383675189251</v>
      </c>
      <c r="E13" s="11">
        <v>0.2648079843558982</v>
      </c>
      <c r="F13" s="11">
        <v>1.2296559188936276</v>
      </c>
      <c r="G13" s="11">
        <v>3.6435756908333525</v>
      </c>
      <c r="H13" s="11">
        <v>4.302571678133973</v>
      </c>
      <c r="I13" s="11">
        <f t="shared" ref="I13:M13" si="15">I5*-1</f>
        <v>9900890</v>
      </c>
      <c r="J13" s="11">
        <f t="shared" si="15"/>
        <v>-2515357</v>
      </c>
      <c r="K13" s="11">
        <f t="shared" si="15"/>
        <v>-12722420</v>
      </c>
      <c r="L13" s="11">
        <f t="shared" si="15"/>
        <v>2510394</v>
      </c>
      <c r="M13" s="11">
        <f t="shared" si="15"/>
        <v>255415</v>
      </c>
      <c r="N13" s="11">
        <v>5098030.0</v>
      </c>
      <c r="O13" s="11">
        <v>1.0</v>
      </c>
      <c r="P13" s="11">
        <v>-0.018525314006664573</v>
      </c>
      <c r="Q13" s="11">
        <f t="shared" ref="Q13:T13" si="16">E13-E18</f>
        <v>0.0133116227</v>
      </c>
      <c r="R13" s="11">
        <f t="shared" si="16"/>
        <v>0.04608151441</v>
      </c>
      <c r="S13" s="11">
        <f t="shared" si="16"/>
        <v>-0.06255364111</v>
      </c>
      <c r="T13" s="11">
        <f t="shared" si="16"/>
        <v>-31.73317129</v>
      </c>
    </row>
    <row r="14">
      <c r="B14" s="11">
        <v>1.11929205E8</v>
      </c>
      <c r="C14" s="4" t="s">
        <v>127</v>
      </c>
      <c r="D14" s="34">
        <v>5.05243634369281</v>
      </c>
      <c r="E14" s="11">
        <v>0.23534796689010534</v>
      </c>
      <c r="F14" s="11">
        <v>1.1336919558104743</v>
      </c>
      <c r="G14" s="11">
        <v>3.817088376802705</v>
      </c>
      <c r="H14" s="11">
        <v>8.25541379664268</v>
      </c>
      <c r="N14" s="11">
        <v>-378453.0</v>
      </c>
      <c r="O14" s="11">
        <v>11.0</v>
      </c>
      <c r="P14" s="11">
        <v>-1.2483645547921207</v>
      </c>
      <c r="Q14" s="11">
        <f t="shared" ref="Q14:T14" si="17">E14-E19</f>
        <v>-0.02286071424</v>
      </c>
      <c r="R14" s="11">
        <f t="shared" si="17"/>
        <v>-0.09849151312</v>
      </c>
      <c r="S14" s="11">
        <f t="shared" si="17"/>
        <v>0.04504328701</v>
      </c>
      <c r="T14" s="11">
        <f t="shared" si="17"/>
        <v>-31.49977708</v>
      </c>
    </row>
    <row r="15">
      <c r="B15" s="11">
        <v>4.7648895E7</v>
      </c>
      <c r="C15" s="4" t="s">
        <v>78</v>
      </c>
      <c r="D15" s="34">
        <v>5.290298321990082</v>
      </c>
      <c r="E15" s="11">
        <v>0.24703967027542706</v>
      </c>
      <c r="F15" s="11">
        <v>1.245884954433283</v>
      </c>
      <c r="G15" s="11">
        <v>4.0432586517146545</v>
      </c>
      <c r="H15" s="11">
        <v>13.05210577334359</v>
      </c>
      <c r="N15" s="11">
        <v>8271156.0</v>
      </c>
      <c r="O15" s="11">
        <v>97.0</v>
      </c>
      <c r="P15" s="11">
        <v>0.11806464893752544</v>
      </c>
      <c r="Q15" s="11">
        <f t="shared" ref="Q15:T15" si="18">E15-E20</f>
        <v>0.02859389294</v>
      </c>
      <c r="R15" s="11">
        <f t="shared" si="18"/>
        <v>0.1467811579</v>
      </c>
      <c r="S15" s="11">
        <f t="shared" si="18"/>
        <v>0.0117867232</v>
      </c>
      <c r="T15" s="11">
        <f t="shared" si="18"/>
        <v>-16.46213059</v>
      </c>
    </row>
    <row r="16">
      <c r="B16" s="11">
        <v>1.79280414E8</v>
      </c>
      <c r="C16" s="4" t="s">
        <v>128</v>
      </c>
      <c r="D16" s="34">
        <v>5.145412422082914</v>
      </c>
      <c r="E16" s="11">
        <v>0.274257481669992</v>
      </c>
      <c r="F16" s="11">
        <v>1.3359506867819877</v>
      </c>
      <c r="G16" s="11">
        <v>3.8711549404129215</v>
      </c>
      <c r="H16" s="11">
        <v>32.34512207574385</v>
      </c>
      <c r="N16" s="11">
        <v>1.865034E7</v>
      </c>
      <c r="O16" s="11">
        <v>1135.0</v>
      </c>
      <c r="P16" s="11">
        <v>-0.033513846206918</v>
      </c>
      <c r="Q16" s="11">
        <f t="shared" ref="Q16:T16" si="19">E16-E21</f>
        <v>0.005546604288</v>
      </c>
      <c r="R16" s="11">
        <f t="shared" si="19"/>
        <v>0.06468499085</v>
      </c>
      <c r="S16" s="11">
        <f t="shared" si="19"/>
        <v>0.1401752781</v>
      </c>
      <c r="T16" s="11">
        <f t="shared" si="19"/>
        <v>13.32841925</v>
      </c>
    </row>
    <row r="17">
      <c r="B17" s="11">
        <v>7941664.0</v>
      </c>
      <c r="C17" s="4" t="s">
        <v>125</v>
      </c>
      <c r="D17" s="34">
        <v>4.255944659012612</v>
      </c>
      <c r="E17" s="11">
        <v>0.12587974118080952</v>
      </c>
      <c r="F17" s="11">
        <v>0.5198915029166087</v>
      </c>
      <c r="G17" s="11">
        <v>3.130064917831802</v>
      </c>
      <c r="H17" s="11">
        <v>5.216896287078606</v>
      </c>
      <c r="N17" s="11">
        <v>-9900890.0</v>
      </c>
      <c r="O17" s="4">
        <v>1.0</v>
      </c>
      <c r="P17" s="11">
        <v>-0.08618162600544466</v>
      </c>
      <c r="Q17" s="11">
        <f t="shared" ref="Q17:T17" si="20">E17-E22</f>
        <v>-0.124707295</v>
      </c>
      <c r="R17" s="11">
        <f t="shared" si="20"/>
        <v>-0.4422487889</v>
      </c>
      <c r="S17" s="11">
        <f t="shared" si="20"/>
        <v>0.290519559</v>
      </c>
      <c r="T17" s="11">
        <f t="shared" si="20"/>
        <v>-6.873172837</v>
      </c>
    </row>
    <row r="18">
      <c r="B18" s="11">
        <v>5.6208919E7</v>
      </c>
      <c r="C18" s="4" t="s">
        <v>126</v>
      </c>
      <c r="D18" s="34">
        <v>4.957625693602462</v>
      </c>
      <c r="E18" s="34">
        <v>0.251496361659994</v>
      </c>
      <c r="F18" s="11">
        <v>1.1835744044849088</v>
      </c>
      <c r="G18" s="11">
        <v>3.706129331942468</v>
      </c>
      <c r="H18" s="11">
        <v>36.03574296510221</v>
      </c>
      <c r="I18" s="11">
        <v>3295197.0</v>
      </c>
      <c r="J18" s="11">
        <v>3814303.0</v>
      </c>
      <c r="K18" s="11">
        <v>5.6594321E7</v>
      </c>
      <c r="L18" s="11">
        <v>1444437.0</v>
      </c>
      <c r="M18" s="11">
        <v>6303107.0</v>
      </c>
      <c r="N18" s="11">
        <v>2515357.0</v>
      </c>
      <c r="O18" s="11">
        <v>6.0</v>
      </c>
      <c r="P18" s="11">
        <v>-0.19545579629766419</v>
      </c>
      <c r="Q18" s="11">
        <f t="shared" ref="Q18:T18" si="21">E18-E23</f>
        <v>0.006402534747</v>
      </c>
      <c r="R18" s="11">
        <f t="shared" si="21"/>
        <v>-0.01667989216</v>
      </c>
      <c r="S18" s="11">
        <f t="shared" si="21"/>
        <v>-0.1909923613</v>
      </c>
      <c r="T18" s="11">
        <f t="shared" si="21"/>
        <v>29.929622</v>
      </c>
    </row>
    <row r="19">
      <c r="B19" s="11">
        <v>1.12307658E8</v>
      </c>
      <c r="C19" s="4" t="s">
        <v>127</v>
      </c>
      <c r="D19" s="34">
        <v>5.030253770924088</v>
      </c>
      <c r="E19" s="11">
        <v>0.25820868113113765</v>
      </c>
      <c r="F19" s="11">
        <v>1.232183468933759</v>
      </c>
      <c r="G19" s="11">
        <v>3.7720450897929503</v>
      </c>
      <c r="H19" s="11">
        <v>39.75519087181234</v>
      </c>
      <c r="I19" s="11">
        <v>-8505589.0</v>
      </c>
      <c r="J19" s="11">
        <v>3066971.0</v>
      </c>
      <c r="K19" s="11">
        <v>-4.1098635E7</v>
      </c>
      <c r="L19" s="11">
        <v>6293687.0</v>
      </c>
      <c r="M19" s="11">
        <v>1.7015393E7</v>
      </c>
      <c r="N19" s="11">
        <v>1.272242E7</v>
      </c>
      <c r="O19" s="11">
        <v>41.0</v>
      </c>
      <c r="P19" s="11">
        <v>1.091775287834356</v>
      </c>
      <c r="Q19" s="11">
        <f t="shared" ref="Q19:T19" si="22">E19-E24</f>
        <v>0.02371677571</v>
      </c>
      <c r="R19" s="11">
        <f t="shared" si="22"/>
        <v>0.08005566745</v>
      </c>
      <c r="S19" s="11">
        <f t="shared" si="22"/>
        <v>-0.1412494626</v>
      </c>
      <c r="T19" s="11">
        <f t="shared" si="22"/>
        <v>29.61021448</v>
      </c>
    </row>
    <row r="20">
      <c r="B20" s="11">
        <v>3.9377739E7</v>
      </c>
      <c r="C20" s="4" t="s">
        <v>78</v>
      </c>
      <c r="D20" s="34">
        <v>5.2499177058494695</v>
      </c>
      <c r="E20" s="11">
        <v>0.21844577733852627</v>
      </c>
      <c r="F20" s="11">
        <v>1.099103796580547</v>
      </c>
      <c r="G20" s="11">
        <v>4.0314719285109435</v>
      </c>
      <c r="H20" s="11">
        <v>29.514236361782903</v>
      </c>
      <c r="I20" s="11">
        <v>7395347.0</v>
      </c>
      <c r="J20" s="11">
        <v>5098030.0</v>
      </c>
      <c r="K20" s="11">
        <v>-378453.0</v>
      </c>
      <c r="L20" s="11">
        <v>8271156.0</v>
      </c>
      <c r="M20" s="11">
        <v>1.865034E7</v>
      </c>
      <c r="N20" s="11">
        <v>-2510394.0</v>
      </c>
      <c r="O20" s="11">
        <v>222.0</v>
      </c>
      <c r="P20" s="11">
        <v>-0.244539739822212</v>
      </c>
      <c r="Q20" s="11">
        <f t="shared" ref="Q20:T20" si="23">E20-E25</f>
        <v>-0.03507976165</v>
      </c>
      <c r="R20" s="11">
        <f t="shared" si="23"/>
        <v>-0.1541088221</v>
      </c>
      <c r="S20" s="11">
        <f t="shared" si="23"/>
        <v>0.08833040659</v>
      </c>
      <c r="T20" s="11">
        <f t="shared" si="23"/>
        <v>14.74101444</v>
      </c>
    </row>
    <row r="21">
      <c r="B21" s="11">
        <v>1.60630074E8</v>
      </c>
      <c r="C21" s="4" t="s">
        <v>128</v>
      </c>
      <c r="D21" s="34">
        <v>4.999690539696233</v>
      </c>
      <c r="E21" s="11">
        <v>0.2687108773816958</v>
      </c>
      <c r="F21" s="11">
        <v>1.271265695935498</v>
      </c>
      <c r="G21" s="11">
        <v>3.7309796623145366</v>
      </c>
      <c r="H21" s="11">
        <v>19.016702822500072</v>
      </c>
      <c r="I21" s="11">
        <v>-9900890.0</v>
      </c>
      <c r="J21" s="11">
        <v>2515357.0</v>
      </c>
      <c r="K21" s="11">
        <v>1.272242E7</v>
      </c>
      <c r="L21" s="11">
        <v>-2510394.0</v>
      </c>
      <c r="M21" s="11">
        <v>-255415.0</v>
      </c>
      <c r="N21" s="11">
        <v>-255415.0</v>
      </c>
      <c r="O21" s="11">
        <v>1334.0</v>
      </c>
      <c r="P21" s="11">
        <v>-0.08618162600544466</v>
      </c>
      <c r="Q21" s="11">
        <f t="shared" ref="Q21:T21" si="24">E21-E26</f>
        <v>-0.01101066056</v>
      </c>
      <c r="R21" s="11">
        <f t="shared" si="24"/>
        <v>-0.0603618389</v>
      </c>
      <c r="S21" s="11">
        <f t="shared" si="24"/>
        <v>-0.02956736102</v>
      </c>
      <c r="T21" s="11">
        <f t="shared" si="24"/>
        <v>1.741105207</v>
      </c>
    </row>
    <row r="22">
      <c r="B22" s="11">
        <v>1.7842554E7</v>
      </c>
      <c r="C22" s="4" t="s">
        <v>125</v>
      </c>
      <c r="D22" s="34">
        <v>4.090132395067227</v>
      </c>
      <c r="E22" s="11">
        <v>0.25058703618769207</v>
      </c>
      <c r="F22" s="11">
        <v>0.9621402917898312</v>
      </c>
      <c r="G22" s="11">
        <v>2.8395453588795343</v>
      </c>
      <c r="H22" s="11">
        <v>12.09006912438092</v>
      </c>
    </row>
    <row r="23">
      <c r="B23" s="11">
        <v>5.3693562E7</v>
      </c>
      <c r="C23" s="4" t="s">
        <v>126</v>
      </c>
      <c r="D23" s="34">
        <v>5.142215520131506</v>
      </c>
      <c r="E23" s="11">
        <v>0.24509382691282905</v>
      </c>
      <c r="F23" s="11">
        <v>1.200254296648799</v>
      </c>
      <c r="G23" s="11">
        <v>3.897121693218678</v>
      </c>
      <c r="H23" s="11">
        <v>6.106120960204648</v>
      </c>
    </row>
    <row r="24">
      <c r="B24" s="11">
        <v>9.9585238E7</v>
      </c>
      <c r="C24" s="4" t="s">
        <v>127</v>
      </c>
      <c r="D24" s="34">
        <v>5.1477864578132015</v>
      </c>
      <c r="E24" s="11">
        <v>0.23449190542046316</v>
      </c>
      <c r="F24" s="11">
        <v>1.1521278014825547</v>
      </c>
      <c r="G24" s="11">
        <v>3.913294552392738</v>
      </c>
      <c r="H24" s="11">
        <v>10.144976396451781</v>
      </c>
    </row>
    <row r="25">
      <c r="B25" s="11">
        <v>4.1888133E7</v>
      </c>
      <c r="C25" s="4" t="s">
        <v>78</v>
      </c>
      <c r="D25" s="34">
        <v>5.196667060916019</v>
      </c>
      <c r="E25" s="11">
        <v>0.2535255389915388</v>
      </c>
      <c r="F25" s="11">
        <v>1.2532126186573591</v>
      </c>
      <c r="G25" s="11">
        <v>3.9431415219244794</v>
      </c>
      <c r="H25" s="11">
        <v>14.773221923780127</v>
      </c>
      <c r="N25" s="11">
        <f>B2/B7</f>
        <v>1.482358871</v>
      </c>
      <c r="O25" s="4">
        <v>1.0</v>
      </c>
    </row>
    <row r="26">
      <c r="B26" s="11">
        <v>1.60885489E8</v>
      </c>
      <c r="C26" s="4" t="s">
        <v>128</v>
      </c>
      <c r="D26" s="34">
        <v>5.040268561277157</v>
      </c>
      <c r="E26" s="11">
        <v>0.2797215379466771</v>
      </c>
      <c r="F26" s="11">
        <v>1.3316275348334776</v>
      </c>
      <c r="G26" s="11">
        <v>3.7605470233304805</v>
      </c>
      <c r="H26" s="11">
        <v>17.275597615930163</v>
      </c>
      <c r="O26" s="11">
        <v>7.0</v>
      </c>
    </row>
    <row r="27">
      <c r="O27" s="11">
        <v>33.0</v>
      </c>
    </row>
    <row r="28">
      <c r="O28" s="11">
        <v>63.0</v>
      </c>
    </row>
    <row r="29">
      <c r="O29" s="11">
        <v>921.0</v>
      </c>
    </row>
    <row r="30">
      <c r="N30" s="11">
        <f>B7/B12</f>
        <v>0.4454206886</v>
      </c>
      <c r="O30" s="4">
        <v>1.0</v>
      </c>
    </row>
    <row r="31">
      <c r="N31" s="11">
        <f>B12/B17</f>
        <v>1.931208749</v>
      </c>
      <c r="O31" s="4">
        <v>4.0</v>
      </c>
    </row>
    <row r="32">
      <c r="O32" s="4">
        <v>44.0</v>
      </c>
    </row>
    <row r="33">
      <c r="O33" s="4">
        <v>154.0</v>
      </c>
    </row>
    <row r="34">
      <c r="O34" s="4">
        <v>960.0</v>
      </c>
    </row>
    <row r="35">
      <c r="O35" s="4">
        <v>1.0</v>
      </c>
    </row>
    <row r="36">
      <c r="O36" s="11">
        <v>1.0</v>
      </c>
    </row>
    <row r="37">
      <c r="O37" s="11">
        <v>11.0</v>
      </c>
    </row>
    <row r="38">
      <c r="O38" s="11">
        <v>97.0</v>
      </c>
    </row>
    <row r="39">
      <c r="O39" s="11">
        <v>1135.0</v>
      </c>
    </row>
    <row r="40">
      <c r="O40" s="4">
        <v>1.0</v>
      </c>
    </row>
    <row r="41">
      <c r="O41" s="11">
        <v>6.0</v>
      </c>
    </row>
    <row r="42">
      <c r="O42" s="11">
        <v>41.0</v>
      </c>
    </row>
    <row r="43">
      <c r="O43" s="11">
        <v>222.0</v>
      </c>
    </row>
    <row r="44">
      <c r="O44" s="11">
        <v>1334.0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37</v>
      </c>
      <c r="B1" s="35" t="s">
        <v>121</v>
      </c>
      <c r="C1" s="35" t="s">
        <v>36</v>
      </c>
      <c r="D1" s="35" t="s">
        <v>38</v>
      </c>
      <c r="E1" s="35" t="s">
        <v>49</v>
      </c>
      <c r="F1" s="35" t="s">
        <v>124</v>
      </c>
      <c r="G1" s="35" t="s">
        <v>138</v>
      </c>
      <c r="H1" s="35" t="s">
        <v>139</v>
      </c>
      <c r="I1" s="35" t="s">
        <v>140</v>
      </c>
      <c r="J1" s="35" t="s">
        <v>141</v>
      </c>
      <c r="K1" s="35" t="s">
        <v>142</v>
      </c>
      <c r="L1" s="35" t="s">
        <v>143</v>
      </c>
    </row>
    <row r="2">
      <c r="A2" s="11">
        <v>1.0126619E7</v>
      </c>
      <c r="B2" s="34">
        <v>3.4686827300986134</v>
      </c>
      <c r="C2" s="11">
        <v>0.12681443381129492</v>
      </c>
      <c r="D2" s="11">
        <v>0.42379713586559314</v>
      </c>
      <c r="E2" s="11">
        <v>2.3418682962873185</v>
      </c>
      <c r="F2" s="11">
        <v>6.271942699502535</v>
      </c>
      <c r="G2" s="11">
        <v>3295197.0</v>
      </c>
      <c r="H2" s="11">
        <v>0.1658122639453854</v>
      </c>
      <c r="I2" s="11">
        <v>0.03966473171065886</v>
      </c>
      <c r="J2" s="11">
        <v>0.09739282038958041</v>
      </c>
      <c r="K2" s="11">
        <v>-0.4034608053440052</v>
      </c>
      <c r="L2" s="11">
        <v>1.950674319865949</v>
      </c>
    </row>
    <row r="3">
      <c r="A3" s="11">
        <v>6.8188223E7</v>
      </c>
      <c r="B3" s="34">
        <v>4.694402564884922</v>
      </c>
      <c r="C3" s="11">
        <v>0.2874559559964327</v>
      </c>
      <c r="D3" s="11">
        <v>1.266803050483278</v>
      </c>
      <c r="E3" s="11">
        <v>3.406946608888489</v>
      </c>
      <c r="F3" s="11">
        <v>4.721326046545707</v>
      </c>
      <c r="G3" s="11">
        <v>3814303.0</v>
      </c>
      <c r="H3" s="11">
        <v>-0.1845898265290442</v>
      </c>
      <c r="I3" s="11">
        <v>0.01837837168765044</v>
      </c>
      <c r="J3" s="11">
        <v>0.023454521421616414</v>
      </c>
      <c r="K3" s="11">
        <v>-0.2138341679853153</v>
      </c>
      <c r="L3" s="11">
        <v>0.23109998267256682</v>
      </c>
    </row>
    <row r="4">
      <c r="A4" s="11">
        <v>1.27424891E8</v>
      </c>
      <c r="B4" s="34">
        <v>4.895847076735046</v>
      </c>
      <c r="C4" s="11">
        <v>0.24173755460918633</v>
      </c>
      <c r="D4" s="11">
        <v>1.1250730547620342</v>
      </c>
      <c r="E4" s="11">
        <v>3.6541095221258595</v>
      </c>
      <c r="F4" s="11">
        <v>8.399415141057487</v>
      </c>
      <c r="G4" s="11">
        <v>5.6594321E7</v>
      </c>
      <c r="H4" s="11">
        <v>-0.11753268688911334</v>
      </c>
      <c r="I4" s="11">
        <v>0.11548586036937808</v>
      </c>
      <c r="J4" s="11">
        <v>0.6607420367018859</v>
      </c>
      <c r="K4" s="11">
        <v>0.976289427464978</v>
      </c>
      <c r="L4" s="11">
        <v>3.4676989403063683</v>
      </c>
    </row>
    <row r="5">
      <c r="A5" s="11">
        <v>5.5387019E7</v>
      </c>
      <c r="B5" s="34">
        <v>5.163823231105395</v>
      </c>
      <c r="C5" s="11">
        <v>0.26044574243490304</v>
      </c>
      <c r="D5" s="11">
        <v>1.2770637904753768</v>
      </c>
      <c r="E5" s="11">
        <v>3.9033774886704924</v>
      </c>
      <c r="F5" s="11">
        <v>13.73995743475238</v>
      </c>
      <c r="G5" s="11">
        <v>1444437.0</v>
      </c>
      <c r="H5" s="11">
        <v>0.053250644933450886</v>
      </c>
      <c r="I5" s="11">
        <v>0.005607744228850242</v>
      </c>
      <c r="J5" s="11">
        <v>-0.03625019727788703</v>
      </c>
      <c r="K5" s="11">
        <v>-0.2501474840510616</v>
      </c>
      <c r="L5" s="11">
        <v>-0.20654564276581588</v>
      </c>
    </row>
    <row r="6">
      <c r="A6" s="11">
        <v>2.02598914E8</v>
      </c>
      <c r="B6" s="34">
        <v>5.025716949870551</v>
      </c>
      <c r="C6" s="11">
        <v>0.27985219304805026</v>
      </c>
      <c r="D6" s="11">
        <v>1.3281406601062284</v>
      </c>
      <c r="E6" s="11">
        <v>3.7458647568225003</v>
      </c>
      <c r="F6" s="11">
        <v>32.836817603844004</v>
      </c>
      <c r="G6" s="11">
        <v>6303107.0</v>
      </c>
      <c r="H6" s="11">
        <v>-0.040578021580924606</v>
      </c>
      <c r="I6" s="11">
        <v>-0.004667921886964688</v>
      </c>
      <c r="J6" s="11">
        <v>-0.04534561443551488</v>
      </c>
      <c r="K6" s="11">
        <v>-0.08151370411848013</v>
      </c>
      <c r="L6" s="11">
        <v>-0.6732426301833243</v>
      </c>
    </row>
    <row r="7">
      <c r="A7" s="11">
        <v>6831422.0</v>
      </c>
      <c r="B7" s="34">
        <v>3.8324788037319597</v>
      </c>
      <c r="C7" s="11">
        <v>0.08714970210063606</v>
      </c>
      <c r="D7" s="11">
        <v>0.32640431547601273</v>
      </c>
      <c r="E7" s="11">
        <v>2.7453291016313237</v>
      </c>
      <c r="F7" s="11">
        <v>4.321268379636586</v>
      </c>
      <c r="G7" s="11">
        <v>-8505589.0</v>
      </c>
      <c r="H7" s="11">
        <v>2.176812482696495</v>
      </c>
      <c r="I7" s="11">
        <v>-0.1507297092393653</v>
      </c>
      <c r="J7" s="11">
        <v>-1.1472295523474738</v>
      </c>
      <c r="K7" s="11">
        <v>-2.449548628737782</v>
      </c>
      <c r="L7" s="11">
        <v>-5.440756447190608</v>
      </c>
    </row>
    <row r="8">
      <c r="A8" s="11">
        <v>6.437392E7</v>
      </c>
      <c r="B8" s="34">
        <v>4.889858361182586</v>
      </c>
      <c r="C8" s="11">
        <v>0.26907758430878226</v>
      </c>
      <c r="D8" s="11">
        <v>1.2433485290616615</v>
      </c>
      <c r="E8" s="11">
        <v>3.6207807768738043</v>
      </c>
      <c r="F8" s="11">
        <v>4.49022606387314</v>
      </c>
      <c r="G8" s="11">
        <v>3066971.0</v>
      </c>
      <c r="H8" s="11">
        <v>-0.049242018413210964</v>
      </c>
      <c r="I8" s="11">
        <v>0.004269599952884062</v>
      </c>
      <c r="J8" s="11">
        <v>0.013692610168033914</v>
      </c>
      <c r="K8" s="11">
        <v>-0.022794913959548246</v>
      </c>
      <c r="L8" s="11">
        <v>0.18765438573916704</v>
      </c>
    </row>
    <row r="9">
      <c r="A9" s="11">
        <v>7.083057E7</v>
      </c>
      <c r="B9" s="34">
        <v>3.8040717889006896</v>
      </c>
      <c r="C9" s="11">
        <v>0.12625169423980825</v>
      </c>
      <c r="D9" s="11">
        <v>0.46433101806014826</v>
      </c>
      <c r="E9" s="11">
        <v>2.6778200946608814</v>
      </c>
      <c r="F9" s="11">
        <v>4.931716200751119</v>
      </c>
      <c r="G9" s="11">
        <v>-4.1098635E7</v>
      </c>
      <c r="H9" s="11">
        <v>0.022182572768722153</v>
      </c>
      <c r="I9" s="11">
        <v>-0.10909627265029709</v>
      </c>
      <c r="J9" s="11">
        <v>-0.669360937750326</v>
      </c>
      <c r="K9" s="11">
        <v>-1.1392682821418236</v>
      </c>
      <c r="L9" s="11">
        <v>-3.323697595891561</v>
      </c>
    </row>
    <row r="10">
      <c r="A10" s="11">
        <v>5.3942582E7</v>
      </c>
      <c r="B10" s="34">
        <v>5.408362970927607</v>
      </c>
      <c r="C10" s="11">
        <v>0.2548379982060528</v>
      </c>
      <c r="D10" s="11">
        <v>1.3133139877532638</v>
      </c>
      <c r="E10" s="11">
        <v>4.153524972721554</v>
      </c>
      <c r="F10" s="11">
        <v>13.946503077518196</v>
      </c>
      <c r="G10" s="11">
        <v>6293687.0</v>
      </c>
      <c r="H10" s="11">
        <v>0.04038061614061217</v>
      </c>
      <c r="I10" s="11">
        <v>0.007798327930625737</v>
      </c>
      <c r="J10" s="11">
        <v>0.06742903331998074</v>
      </c>
      <c r="K10" s="11">
        <v>0.11026632100689948</v>
      </c>
      <c r="L10" s="11">
        <v>0.8943973041746069</v>
      </c>
    </row>
    <row r="11">
      <c r="A11" s="11">
        <v>1.96295807E8</v>
      </c>
      <c r="B11" s="34">
        <v>5.111898575875996</v>
      </c>
      <c r="C11" s="11">
        <v>0.28452011493501494</v>
      </c>
      <c r="D11" s="11">
        <v>1.3734862745417433</v>
      </c>
      <c r="E11" s="11">
        <v>3.8273784609409804</v>
      </c>
      <c r="F11" s="11">
        <v>33.51006023402733</v>
      </c>
      <c r="G11" s="11">
        <v>1.7015393E7</v>
      </c>
      <c r="H11" s="11">
        <v>0.14572188238668105</v>
      </c>
      <c r="I11" s="11">
        <v>0.010262633265022969</v>
      </c>
      <c r="J11" s="11">
        <v>0.03753558775975563</v>
      </c>
      <c r="K11" s="11">
        <v>-0.04377647947194108</v>
      </c>
      <c r="L11" s="11">
        <v>1.1649381582834764</v>
      </c>
    </row>
    <row r="12">
      <c r="A12" s="11">
        <v>1.5337011E7</v>
      </c>
      <c r="B12" s="34">
        <v>6.432757141709107</v>
      </c>
      <c r="C12" s="11">
        <v>0.23787941134000135</v>
      </c>
      <c r="D12" s="11">
        <v>1.4736338678234866</v>
      </c>
      <c r="E12" s="11">
        <v>5.194877730369106</v>
      </c>
      <c r="F12" s="11">
        <v>9.762024826827194</v>
      </c>
      <c r="G12" s="11">
        <v>7395347.0</v>
      </c>
      <c r="H12" s="11">
        <v>-2.6002783379771475</v>
      </c>
      <c r="I12" s="11">
        <v>0.11199967015919182</v>
      </c>
      <c r="J12" s="11">
        <v>0.9537423649068779</v>
      </c>
      <c r="K12" s="11">
        <v>2.0648128125373035</v>
      </c>
      <c r="L12" s="11">
        <v>4.545128539748587</v>
      </c>
    </row>
    <row r="13">
      <c r="A13" s="11">
        <v>6.1306949E7</v>
      </c>
      <c r="B13" s="34">
        <v>4.908383675189251</v>
      </c>
      <c r="C13" s="11">
        <v>0.2648079843558982</v>
      </c>
      <c r="D13" s="11">
        <v>1.2296559188936276</v>
      </c>
      <c r="E13" s="11">
        <v>3.6435756908333525</v>
      </c>
      <c r="F13" s="11">
        <v>4.302571678133973</v>
      </c>
      <c r="G13" s="11">
        <v>5098030.0</v>
      </c>
      <c r="H13" s="11">
        <v>-0.018525314006664573</v>
      </c>
      <c r="I13" s="11">
        <v>0.01331162269590419</v>
      </c>
      <c r="J13" s="11">
        <v>0.04608151440871877</v>
      </c>
      <c r="K13" s="11">
        <v>-0.06255364110911543</v>
      </c>
      <c r="L13" s="11">
        <v>-31.733171286968236</v>
      </c>
    </row>
    <row r="14">
      <c r="A14" s="11">
        <v>1.11929205E8</v>
      </c>
      <c r="B14" s="34">
        <v>5.05243634369281</v>
      </c>
      <c r="C14" s="11">
        <v>0.23534796689010534</v>
      </c>
      <c r="D14" s="11">
        <v>1.1336919558104743</v>
      </c>
      <c r="E14" s="11">
        <v>3.817088376802705</v>
      </c>
      <c r="F14" s="11">
        <v>8.25541379664268</v>
      </c>
      <c r="G14" s="11">
        <v>-378453.0</v>
      </c>
      <c r="H14" s="11">
        <v>-1.2483645547921207</v>
      </c>
      <c r="I14" s="11">
        <v>-0.02286071424103231</v>
      </c>
      <c r="J14" s="11">
        <v>-0.09849151312328464</v>
      </c>
      <c r="K14" s="11">
        <v>0.045043287009754795</v>
      </c>
      <c r="L14" s="11">
        <v>-31.49977707516966</v>
      </c>
    </row>
    <row r="15">
      <c r="A15" s="11">
        <v>4.7648895E7</v>
      </c>
      <c r="B15" s="34">
        <v>5.290298321990082</v>
      </c>
      <c r="C15" s="11">
        <v>0.24703967027542706</v>
      </c>
      <c r="D15" s="11">
        <v>1.245884954433283</v>
      </c>
      <c r="E15" s="11">
        <v>4.0432586517146545</v>
      </c>
      <c r="F15" s="11">
        <v>13.05210577334359</v>
      </c>
      <c r="G15" s="11">
        <v>8271156.0</v>
      </c>
      <c r="H15" s="11">
        <v>0.11806464893752544</v>
      </c>
      <c r="I15" s="11">
        <v>0.02859389293690079</v>
      </c>
      <c r="J15" s="11">
        <v>0.14678115785273604</v>
      </c>
      <c r="K15" s="11">
        <v>0.011786723203710991</v>
      </c>
      <c r="L15" s="11">
        <v>-16.462130588439315</v>
      </c>
    </row>
    <row r="16">
      <c r="A16" s="11">
        <v>1.79280414E8</v>
      </c>
      <c r="B16" s="34">
        <v>5.145412422082914</v>
      </c>
      <c r="C16" s="11">
        <v>0.274257481669992</v>
      </c>
      <c r="D16" s="11">
        <v>1.3359506867819877</v>
      </c>
      <c r="E16" s="11">
        <v>3.8711549404129215</v>
      </c>
      <c r="F16" s="11">
        <v>32.34512207574385</v>
      </c>
      <c r="G16" s="11">
        <v>1.865034E7</v>
      </c>
      <c r="H16" s="11">
        <v>-0.033513846206918</v>
      </c>
      <c r="I16" s="11">
        <v>0.005546604288296175</v>
      </c>
      <c r="J16" s="11">
        <v>0.06468499084648971</v>
      </c>
      <c r="K16" s="11">
        <v>0.14017527809838493</v>
      </c>
      <c r="L16" s="11">
        <v>13.32841925324378</v>
      </c>
    </row>
    <row r="17">
      <c r="A17" s="11">
        <v>7941664.0</v>
      </c>
      <c r="B17" s="34">
        <v>4.255944659012612</v>
      </c>
      <c r="C17" s="11">
        <v>0.12587974118080952</v>
      </c>
      <c r="D17" s="11">
        <v>0.5198915029166087</v>
      </c>
      <c r="E17" s="11">
        <v>3.130064917831802</v>
      </c>
      <c r="F17" s="11">
        <v>5.216896287078606</v>
      </c>
      <c r="G17" s="11">
        <v>-9900890.0</v>
      </c>
      <c r="H17" s="11">
        <v>-0.08618162600544466</v>
      </c>
      <c r="I17" s="11">
        <v>-0.12470729500688255</v>
      </c>
      <c r="J17" s="11">
        <v>-0.4422487888732225</v>
      </c>
      <c r="K17" s="11">
        <v>0.2905195589522678</v>
      </c>
      <c r="L17" s="11">
        <v>-6.873172837302313</v>
      </c>
    </row>
    <row r="18">
      <c r="A18" s="11">
        <v>5.6208919E7</v>
      </c>
      <c r="B18" s="34">
        <v>4.957625693602462</v>
      </c>
      <c r="C18" s="34">
        <v>0.251496361659994</v>
      </c>
      <c r="D18" s="11">
        <v>1.1835744044849088</v>
      </c>
      <c r="E18" s="11">
        <v>3.706129331942468</v>
      </c>
      <c r="F18" s="11">
        <v>36.03574296510221</v>
      </c>
      <c r="G18" s="11">
        <v>2515357.0</v>
      </c>
      <c r="H18" s="11">
        <v>-0.19545579629766419</v>
      </c>
      <c r="I18" s="11">
        <v>0.006402534747164956</v>
      </c>
      <c r="J18" s="11">
        <v>-0.01667989216389021</v>
      </c>
      <c r="K18" s="11">
        <v>-0.1909923612762099</v>
      </c>
      <c r="L18" s="11">
        <v>29.92962200489756</v>
      </c>
    </row>
    <row r="19">
      <c r="A19" s="11">
        <v>1.12307658E8</v>
      </c>
      <c r="B19" s="34">
        <v>5.030253770924088</v>
      </c>
      <c r="C19" s="11">
        <v>0.25820868113113765</v>
      </c>
      <c r="D19" s="11">
        <v>1.232183468933759</v>
      </c>
      <c r="E19" s="11">
        <v>3.7720450897929503</v>
      </c>
      <c r="F19" s="11">
        <v>39.75519087181234</v>
      </c>
      <c r="G19" s="11">
        <v>1.272242E7</v>
      </c>
      <c r="H19" s="11">
        <v>1.091775287834356</v>
      </c>
      <c r="I19" s="11">
        <v>0.023716775710674487</v>
      </c>
      <c r="J19" s="11">
        <v>0.0800556674512043</v>
      </c>
      <c r="K19" s="11">
        <v>-0.14124946259978755</v>
      </c>
      <c r="L19" s="11">
        <v>29.610214475360557</v>
      </c>
    </row>
    <row r="20">
      <c r="A20" s="11">
        <v>3.9377739E7</v>
      </c>
      <c r="B20" s="34">
        <v>5.2499177058494695</v>
      </c>
      <c r="C20" s="11">
        <v>0.21844577733852627</v>
      </c>
      <c r="D20" s="11">
        <v>1.099103796580547</v>
      </c>
      <c r="E20" s="11">
        <v>4.0314719285109435</v>
      </c>
      <c r="F20" s="11">
        <v>29.514236361782903</v>
      </c>
      <c r="G20" s="11">
        <v>-2510394.0</v>
      </c>
      <c r="H20" s="11">
        <v>-0.244539739822212</v>
      </c>
      <c r="I20" s="11">
        <v>-0.03507976165301252</v>
      </c>
      <c r="J20" s="11">
        <v>-0.1541088220768121</v>
      </c>
      <c r="K20" s="11">
        <v>0.08833040658646407</v>
      </c>
      <c r="L20" s="11">
        <v>14.741014438002775</v>
      </c>
    </row>
    <row r="21">
      <c r="A21" s="11">
        <v>1.60630074E8</v>
      </c>
      <c r="B21" s="34">
        <v>4.999690539696233</v>
      </c>
      <c r="C21" s="11">
        <v>0.2687108773816958</v>
      </c>
      <c r="D21" s="11">
        <v>1.271265695935498</v>
      </c>
      <c r="E21" s="11">
        <v>3.7309796623145366</v>
      </c>
      <c r="F21" s="11">
        <v>19.016702822500072</v>
      </c>
      <c r="G21" s="11">
        <v>-255415.0</v>
      </c>
      <c r="H21" s="11">
        <v>-0.08618162600544466</v>
      </c>
      <c r="I21" s="11">
        <v>-0.01101066056498129</v>
      </c>
      <c r="J21" s="11">
        <v>-0.060361838897979636</v>
      </c>
      <c r="K21" s="11">
        <v>-0.029567361015943927</v>
      </c>
      <c r="L21" s="11">
        <v>1.7411052065699089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4"/>
      <c r="B1" s="18" t="s">
        <v>144</v>
      </c>
      <c r="H1" s="18" t="s">
        <v>36</v>
      </c>
    </row>
    <row r="2">
      <c r="B2" s="36"/>
      <c r="C2" s="37" t="s">
        <v>145</v>
      </c>
      <c r="D2" s="38" t="s">
        <v>146</v>
      </c>
      <c r="E2" s="37" t="s">
        <v>147</v>
      </c>
      <c r="F2" s="38" t="s">
        <v>148</v>
      </c>
      <c r="H2" s="36"/>
      <c r="I2" s="37" t="s">
        <v>145</v>
      </c>
      <c r="J2" s="38" t="s">
        <v>146</v>
      </c>
      <c r="K2" s="37" t="s">
        <v>147</v>
      </c>
      <c r="L2" s="38" t="s">
        <v>148</v>
      </c>
    </row>
    <row r="3">
      <c r="A3" s="39"/>
      <c r="B3" s="40" t="s">
        <v>37</v>
      </c>
      <c r="C3" s="41">
        <f>PEARSON(ridgelines!I2:I26,ridgelines!R2:R26)</f>
        <v>0.8027466129</v>
      </c>
      <c r="D3" s="42">
        <f>pearson('Hoja 33'!N2:N21,'Hoja 33'!O2:O21)</f>
        <v>0.153736292</v>
      </c>
      <c r="E3" s="43">
        <v>2.695</v>
      </c>
      <c r="F3" s="44">
        <v>0.312</v>
      </c>
      <c r="H3" s="45" t="s">
        <v>37</v>
      </c>
      <c r="I3" s="41">
        <f>pearson('Hoja 33'!B2:B26,'Hoja 33'!E2:E26)</f>
        <v>0.5560499093</v>
      </c>
      <c r="J3" s="46">
        <f>pearson('Hoja 33'!E2:E21,'Hoja 33'!N2:N21)</f>
        <v>0.5074852162</v>
      </c>
      <c r="K3" s="47">
        <v>1.338</v>
      </c>
      <c r="L3" s="48">
        <v>1.176</v>
      </c>
    </row>
    <row r="4">
      <c r="A4" s="49"/>
      <c r="B4" s="45" t="s">
        <v>121</v>
      </c>
      <c r="C4" s="41">
        <f>pearson(ridgelines!J2:J26,ridgelines!R2:R26)</f>
        <v>0.1858920166</v>
      </c>
      <c r="D4" s="50">
        <f>PEARSON('Hoja 33'!O2:O21,'Hoja 33'!P2:P21)</f>
        <v>0.02974287656</v>
      </c>
      <c r="E4" s="47">
        <v>0.379</v>
      </c>
      <c r="F4" s="48">
        <v>0.06</v>
      </c>
      <c r="H4" s="45" t="s">
        <v>121</v>
      </c>
      <c r="I4" s="41">
        <f>pearson('Hoja 33'!E2:E26,'Hoja 33'!D2:D26)</f>
        <v>0.6732251182</v>
      </c>
      <c r="J4" s="50">
        <f>pearson('Hoja 33'!E2:E21,'Hoja 33'!P2:P21)</f>
        <v>-0.3239000207</v>
      </c>
      <c r="K4" s="47">
        <v>1.82</v>
      </c>
      <c r="L4" s="48">
        <v>-0.324</v>
      </c>
    </row>
    <row r="5">
      <c r="A5" s="39"/>
      <c r="B5" s="40" t="s">
        <v>36</v>
      </c>
      <c r="C5" s="41">
        <f>PEARSON(ridgelines!K2:K26,ridgelines!R2:R26)</f>
        <v>0.4161985989</v>
      </c>
      <c r="D5" s="50">
        <f>PEARSON('Hoja 33'!O2:O21,'Hoja 33'!Q2:Q21)</f>
        <v>0.01905856159</v>
      </c>
      <c r="E5" s="47">
        <v>0.915</v>
      </c>
      <c r="F5" s="48">
        <v>0.038</v>
      </c>
      <c r="H5" s="40" t="s">
        <v>38</v>
      </c>
      <c r="I5" s="41">
        <f>pearson('Hoja 33'!E2:E26,'Hoja 33'!F2:F26)</f>
        <v>0.9500171658</v>
      </c>
      <c r="J5" s="51">
        <f>pearson('Hoja 33'!E2:E21,'Hoja 33'!R2:R21)</f>
        <v>0.6006353989</v>
      </c>
      <c r="K5" s="43">
        <v>6.085</v>
      </c>
      <c r="L5" s="52">
        <v>1.504</v>
      </c>
    </row>
    <row r="6">
      <c r="A6" s="39"/>
      <c r="B6" s="40" t="s">
        <v>38</v>
      </c>
      <c r="C6" s="41">
        <f>pearson(ridgelines!L2:L26,ridgelines!R2:R26)</f>
        <v>0.3786044418</v>
      </c>
      <c r="D6" s="50">
        <f>PEARSON('Hoja 33'!O2:O21,'Hoja 33'!R2:R21)</f>
        <v>0.02555879256</v>
      </c>
      <c r="E6" s="47">
        <v>0.819</v>
      </c>
      <c r="F6" s="48">
        <v>0.052</v>
      </c>
      <c r="H6" s="40" t="s">
        <v>49</v>
      </c>
      <c r="I6" s="41">
        <f>pearson('Hoja 33'!E2:E26,'Hoja 33'!G2:G26)</f>
        <v>0.6182580076</v>
      </c>
      <c r="J6" s="53">
        <f>pearson('Hoja 33'!S2:S21,'Hoja 33'!E2:E21)</f>
        <v>0.4981761605</v>
      </c>
      <c r="K6" s="47">
        <v>1.572</v>
      </c>
      <c r="L6" s="48">
        <v>1.149</v>
      </c>
    </row>
    <row r="7">
      <c r="A7" s="39"/>
      <c r="B7" s="40" t="s">
        <v>49</v>
      </c>
      <c r="C7" s="41">
        <f>pearson(ridgelines!M2:M26,ridgelines!R2:R26)</f>
        <v>0.1570796583</v>
      </c>
      <c r="D7" s="50">
        <f>PEARSON('Hoja 33'!S2:S21,'Hoja 33'!O2:O21)</f>
        <v>0.04741825846</v>
      </c>
      <c r="E7" s="47">
        <v>0.318</v>
      </c>
      <c r="F7" s="48">
        <v>0.094</v>
      </c>
      <c r="H7" s="54" t="s">
        <v>124</v>
      </c>
      <c r="I7" s="55">
        <f>pearson('Hoja 33'!E2:E26,'Hoja 33'!H2:H26)</f>
        <v>0.4228360285</v>
      </c>
      <c r="J7" s="51">
        <f>pearson('Hoja 33'!E2:E21,'Hoja 33'!T2:T21)</f>
        <v>0.1216482766</v>
      </c>
      <c r="K7" s="56">
        <v>0.934</v>
      </c>
      <c r="L7" s="57">
        <v>0.934</v>
      </c>
    </row>
    <row r="8">
      <c r="A8" s="39"/>
      <c r="B8" s="54" t="s">
        <v>124</v>
      </c>
      <c r="C8" s="55">
        <f>pearson(ridgelines!Q2:Q26,ridgelines!R2:R26)</f>
        <v>0.4731537325</v>
      </c>
      <c r="D8" s="51">
        <f>pearson('Hoja 33'!O2:O21,'Hoja 33'!T2:T21)</f>
        <v>0.1494691972</v>
      </c>
      <c r="E8" s="56">
        <v>1.074</v>
      </c>
      <c r="F8" s="57">
        <v>0.301</v>
      </c>
      <c r="H8" s="58" t="s">
        <v>149</v>
      </c>
      <c r="I8" s="59">
        <f t="shared" ref="I8:L8" si="1">AVERAGE(I3:I7)</f>
        <v>0.6440772459</v>
      </c>
      <c r="J8" s="60">
        <f t="shared" si="1"/>
        <v>0.2808090063</v>
      </c>
      <c r="K8" s="60">
        <f t="shared" si="1"/>
        <v>2.3498</v>
      </c>
      <c r="L8" s="60">
        <f t="shared" si="1"/>
        <v>0.8878</v>
      </c>
    </row>
    <row r="9">
      <c r="A9" s="14"/>
      <c r="B9" s="58" t="s">
        <v>149</v>
      </c>
      <c r="C9" s="59">
        <f t="shared" ref="C9:F9" si="2">AVERAGE(C3:C8)</f>
        <v>0.4022791768</v>
      </c>
      <c r="D9" s="60">
        <f t="shared" si="2"/>
        <v>0.07083066306</v>
      </c>
      <c r="E9" s="60">
        <f t="shared" si="2"/>
        <v>1.033333333</v>
      </c>
      <c r="F9" s="60">
        <f t="shared" si="2"/>
        <v>0.1428333333</v>
      </c>
    </row>
    <row r="12">
      <c r="B12" s="18" t="s">
        <v>37</v>
      </c>
      <c r="H12" s="18" t="s">
        <v>38</v>
      </c>
    </row>
    <row r="13">
      <c r="B13" s="36"/>
      <c r="C13" s="37" t="s">
        <v>145</v>
      </c>
      <c r="D13" s="38" t="s">
        <v>146</v>
      </c>
      <c r="E13" s="37" t="s">
        <v>147</v>
      </c>
      <c r="F13" s="38" t="s">
        <v>148</v>
      </c>
      <c r="H13" s="36"/>
      <c r="I13" s="37" t="s">
        <v>145</v>
      </c>
      <c r="J13" s="38" t="s">
        <v>146</v>
      </c>
      <c r="K13" s="37" t="s">
        <v>147</v>
      </c>
      <c r="L13" s="38" t="s">
        <v>148</v>
      </c>
    </row>
    <row r="14">
      <c r="B14" s="45" t="s">
        <v>121</v>
      </c>
      <c r="C14" s="41">
        <f>pearson('Hoja 33'!B2:B26,'Hoja 33'!D2:D26)</f>
        <v>0.250923709</v>
      </c>
      <c r="D14" s="50">
        <f>Pearson('Hoja 33'!N2:N21,'Hoja 33'!P2:P21)</f>
        <v>-0.07837571465</v>
      </c>
      <c r="E14" s="47">
        <v>0.519</v>
      </c>
      <c r="F14" s="48">
        <v>-0.156</v>
      </c>
      <c r="H14" s="45" t="s">
        <v>37</v>
      </c>
      <c r="I14" s="41">
        <f>pearson('Hoja 33'!B2:B26,'Hoja 33'!F2:F26)</f>
        <v>0.4925888435</v>
      </c>
      <c r="J14" s="46">
        <f>pearson('Hoja 33'!F2:F21,'Hoja 33'!N2:N21)</f>
        <v>0.4999053539</v>
      </c>
      <c r="K14" s="47">
        <v>1.133</v>
      </c>
      <c r="L14" s="48">
        <v>1.155</v>
      </c>
    </row>
    <row r="15">
      <c r="B15" s="40" t="s">
        <v>36</v>
      </c>
      <c r="C15" s="41">
        <f>PEARSON('Hoja 33'!B2:B26,'Hoja 33'!E2:E26)</f>
        <v>0.5560499093</v>
      </c>
      <c r="D15" s="53">
        <f>PEARSON('Hoja 33'!N2:N21,'Hoja 33'!Q2:Q21)</f>
        <v>0.7357954755</v>
      </c>
      <c r="E15" s="43">
        <v>1.338</v>
      </c>
      <c r="F15" s="52">
        <v>2.174</v>
      </c>
      <c r="H15" s="45" t="s">
        <v>121</v>
      </c>
      <c r="I15" s="41">
        <f>pearson('Hoja 33'!F2:F26,'Hoja 33'!D2:D26)</f>
        <v>0.8668889494</v>
      </c>
      <c r="J15" s="50">
        <f>pearson('Hoja 33'!F2:F21,'Hoja 33'!P2:P21)</f>
        <v>-0.4569747228</v>
      </c>
      <c r="K15" s="47">
        <v>3.48</v>
      </c>
      <c r="L15" s="48">
        <v>-1.028</v>
      </c>
    </row>
    <row r="16">
      <c r="B16" s="40" t="s">
        <v>38</v>
      </c>
      <c r="C16" s="41">
        <f>pearson('Hoja 33'!B2:B26,'Hoja 33'!F2:F26)</f>
        <v>0.4925888435</v>
      </c>
      <c r="D16" s="53">
        <f>pearson('Hoja 33'!N2:N21,'Hoja 33'!R2:R21)</f>
        <v>0.6708614867</v>
      </c>
      <c r="E16" s="47">
        <v>1.133</v>
      </c>
      <c r="F16" s="48">
        <v>1.81</v>
      </c>
      <c r="H16" s="45" t="s">
        <v>36</v>
      </c>
      <c r="I16" s="41">
        <f>pearson('Hoja 33'!E2:E26,'Hoja 33'!F2:F26)</f>
        <v>0.9500171658</v>
      </c>
      <c r="J16" s="51">
        <f>pearson('Hoja 33'!F2:F21,'Hoja 33'!Q2:Q21)</f>
        <v>0.669460989</v>
      </c>
      <c r="K16" s="43">
        <v>6.085</v>
      </c>
      <c r="L16" s="52">
        <v>1.8</v>
      </c>
    </row>
    <row r="17">
      <c r="B17" s="40" t="s">
        <v>49</v>
      </c>
      <c r="C17" s="41">
        <f>pearson('Hoja 33'!B2:B26,'Hoja 33'!G2:G26)</f>
        <v>0.2125914342</v>
      </c>
      <c r="D17" s="51">
        <f>pearson('Hoja 33'!N2:N21,'Hoja 33'!S2:S21)</f>
        <v>0.5069531247</v>
      </c>
      <c r="E17" s="47">
        <v>0.436</v>
      </c>
      <c r="F17" s="48">
        <v>1.176</v>
      </c>
      <c r="H17" s="40" t="s">
        <v>49</v>
      </c>
      <c r="I17" s="41">
        <f>pearson('Hoja 33'!F2:F26,'Hoja 33'!G2:G26)</f>
        <v>0.8289755737</v>
      </c>
      <c r="J17" s="53">
        <f>pearson('Hoja 33'!F2:F21,'Hoja 33'!S2:S21)</f>
        <v>0.6209859717</v>
      </c>
      <c r="K17" s="47">
        <v>2.965</v>
      </c>
      <c r="L17" s="48">
        <v>1.585</v>
      </c>
    </row>
    <row r="18">
      <c r="B18" s="54" t="s">
        <v>124</v>
      </c>
      <c r="C18" s="55">
        <f>pearson('Hoja 33'!B2:B26,'Hoja 33'!H2:H26)</f>
        <v>0.5515579837</v>
      </c>
      <c r="D18" s="61">
        <f>pearson('Hoja 33'!N2:N21,'Hoja 33'!T2:T21)</f>
        <v>0.1683544236</v>
      </c>
      <c r="E18" s="56">
        <v>1.324</v>
      </c>
      <c r="F18" s="57">
        <v>0.341</v>
      </c>
      <c r="H18" s="54" t="s">
        <v>124</v>
      </c>
      <c r="I18" s="55">
        <f>pearson('Hoja 33'!F2:F26,'Hoja 33'!H2:H26)</f>
        <v>0.4200122465</v>
      </c>
      <c r="J18" s="51">
        <f>pearson('Hoja 33'!F2:F21,'Hoja 33'!T2:T21)</f>
        <v>0.1303595279</v>
      </c>
      <c r="K18" s="56">
        <v>0.926</v>
      </c>
      <c r="L18" s="57">
        <v>0.262</v>
      </c>
    </row>
    <row r="19">
      <c r="B19" s="58" t="s">
        <v>149</v>
      </c>
      <c r="C19" s="59">
        <f t="shared" ref="C19:F19" si="3">AVERAGE(C14:C18)</f>
        <v>0.4127423759</v>
      </c>
      <c r="D19" s="60">
        <f t="shared" si="3"/>
        <v>0.4007177592</v>
      </c>
      <c r="E19" s="60">
        <f t="shared" si="3"/>
        <v>0.95</v>
      </c>
      <c r="F19" s="60">
        <f t="shared" si="3"/>
        <v>1.069</v>
      </c>
      <c r="H19" s="58" t="s">
        <v>149</v>
      </c>
      <c r="I19" s="59">
        <f t="shared" ref="I19:L19" si="4">AVERAGE(I14:I18)</f>
        <v>0.7116965558</v>
      </c>
      <c r="J19" s="60">
        <f t="shared" si="4"/>
        <v>0.292747424</v>
      </c>
      <c r="K19" s="60">
        <f t="shared" si="4"/>
        <v>2.9178</v>
      </c>
      <c r="L19" s="60">
        <f t="shared" si="4"/>
        <v>0.7548</v>
      </c>
    </row>
    <row r="23">
      <c r="B23" s="18" t="s">
        <v>121</v>
      </c>
      <c r="H23" s="18" t="s">
        <v>49</v>
      </c>
    </row>
    <row r="24">
      <c r="B24" s="36"/>
      <c r="C24" s="37" t="s">
        <v>145</v>
      </c>
      <c r="D24" s="38" t="s">
        <v>146</v>
      </c>
      <c r="E24" s="37" t="s">
        <v>147</v>
      </c>
      <c r="F24" s="38" t="s">
        <v>148</v>
      </c>
      <c r="H24" s="36"/>
      <c r="I24" s="37" t="s">
        <v>145</v>
      </c>
      <c r="J24" s="38" t="s">
        <v>146</v>
      </c>
      <c r="K24" s="37" t="s">
        <v>147</v>
      </c>
      <c r="L24" s="38" t="s">
        <v>148</v>
      </c>
    </row>
    <row r="25">
      <c r="B25" s="45" t="s">
        <v>37</v>
      </c>
      <c r="C25" s="41">
        <f>pearson('Hoja 33'!B2:B26,'Hoja 33'!D2:D26)</f>
        <v>0.250923709</v>
      </c>
      <c r="D25" s="50">
        <f>pearson('Hoja 33'!N2:N21,'Hoja 33'!P2:P21)</f>
        <v>-0.07837571465</v>
      </c>
      <c r="E25" s="47">
        <v>0.519</v>
      </c>
      <c r="F25" s="48">
        <v>-0.156</v>
      </c>
      <c r="H25" s="45" t="s">
        <v>37</v>
      </c>
      <c r="I25" s="41">
        <v>0.21259143415680876</v>
      </c>
      <c r="J25" s="51">
        <v>0.5069531246930753</v>
      </c>
      <c r="K25" s="47">
        <v>0.436</v>
      </c>
      <c r="L25" s="48">
        <v>1.176</v>
      </c>
    </row>
    <row r="26">
      <c r="B26" s="40" t="s">
        <v>36</v>
      </c>
      <c r="C26" s="41">
        <f>pearson('Hoja 33'!D2:D26,'Hoja 33'!E2:E26)</f>
        <v>0.6732251182</v>
      </c>
      <c r="D26" s="46">
        <f>pearson('Hoja 33'!D2:D21,'Hoja 33'!Q2:Q21)</f>
        <v>0.5912817277</v>
      </c>
      <c r="E26" s="47">
        <v>1.82</v>
      </c>
      <c r="F26" s="48">
        <v>1.465</v>
      </c>
      <c r="H26" s="45" t="s">
        <v>121</v>
      </c>
      <c r="I26" s="41">
        <v>0.9974064328819683</v>
      </c>
      <c r="J26" s="53">
        <v>0.7348411280521199</v>
      </c>
      <c r="K26" s="43">
        <v>25.762</v>
      </c>
      <c r="L26" s="52">
        <v>2.168</v>
      </c>
    </row>
    <row r="27">
      <c r="B27" s="40" t="s">
        <v>38</v>
      </c>
      <c r="C27" s="41">
        <f>pearson('Hoja 33'!D2:D26,'Hoja 33'!F2:F26)</f>
        <v>0.8668889494</v>
      </c>
      <c r="D27" s="53">
        <f>pearson('Hoja 33'!R2:R21,'Hoja 33'!D2:D21)</f>
        <v>0.6900729838</v>
      </c>
      <c r="E27" s="47">
        <v>3.48</v>
      </c>
      <c r="F27" s="48">
        <v>1.907</v>
      </c>
      <c r="H27" s="45" t="s">
        <v>38</v>
      </c>
      <c r="I27" s="41">
        <v>0.8289755737286177</v>
      </c>
      <c r="J27" s="53">
        <v>0.6209859717382302</v>
      </c>
      <c r="K27" s="47">
        <v>2.965</v>
      </c>
      <c r="L27" s="48">
        <v>1.585</v>
      </c>
    </row>
    <row r="28">
      <c r="B28" s="40" t="s">
        <v>49</v>
      </c>
      <c r="C28" s="41">
        <f>pearson('Hoja 33'!D2:D26,'Hoja 33'!G2:G26)</f>
        <v>0.9974064329</v>
      </c>
      <c r="D28" s="53">
        <f>pearson('Hoja 33'!D2:D21,'Hoja 33'!S2:S21)</f>
        <v>0.7348411281</v>
      </c>
      <c r="E28" s="43">
        <v>25.762</v>
      </c>
      <c r="F28" s="52">
        <v>2.168</v>
      </c>
      <c r="H28" s="45" t="s">
        <v>36</v>
      </c>
      <c r="I28" s="41">
        <v>0.6182580075682449</v>
      </c>
      <c r="J28" s="53">
        <v>0.4981761604595399</v>
      </c>
      <c r="K28" s="47">
        <v>1.572</v>
      </c>
      <c r="L28" s="48">
        <v>1.149</v>
      </c>
    </row>
    <row r="29">
      <c r="B29" s="54" t="s">
        <v>124</v>
      </c>
      <c r="C29" s="55">
        <f>pearson('Hoja 33'!D2:D26,'Hoja 33'!H2:H26)</f>
        <v>0.3114041135</v>
      </c>
      <c r="D29" s="53">
        <f>pearson('Hoja 33'!T2:T21,'Hoja 33'!D2:D21)</f>
        <v>0.1119352598</v>
      </c>
      <c r="E29" s="56">
        <v>0.702</v>
      </c>
      <c r="F29" s="57">
        <v>0.225</v>
      </c>
      <c r="H29" s="54" t="s">
        <v>124</v>
      </c>
      <c r="I29" s="55">
        <f>pearson('Hoja 33'!G2:G26,'Hoja 33'!H2:H26)</f>
        <v>0.2898449789</v>
      </c>
      <c r="J29" s="53">
        <f>pearson('Hoja 33'!G2:G21,'Hoja 33'!T2:T21)</f>
        <v>0.1075223818</v>
      </c>
      <c r="K29" s="56">
        <v>0.606</v>
      </c>
      <c r="L29" s="57">
        <v>0.217</v>
      </c>
    </row>
    <row r="30">
      <c r="B30" s="58" t="s">
        <v>149</v>
      </c>
      <c r="C30" s="59">
        <f t="shared" ref="C30:F30" si="5">AVERAGE(C25:C29)</f>
        <v>0.6199696646</v>
      </c>
      <c r="D30" s="60">
        <f t="shared" si="5"/>
        <v>0.4099510769</v>
      </c>
      <c r="E30" s="60">
        <f t="shared" si="5"/>
        <v>6.4566</v>
      </c>
      <c r="F30" s="60">
        <f t="shared" si="5"/>
        <v>1.1218</v>
      </c>
      <c r="H30" s="58" t="s">
        <v>149</v>
      </c>
      <c r="I30" s="59">
        <f t="shared" ref="I30:L30" si="6">AVERAGE(I25:I29)</f>
        <v>0.5894152854</v>
      </c>
      <c r="J30" s="60">
        <f t="shared" si="6"/>
        <v>0.4936957534</v>
      </c>
      <c r="K30" s="60">
        <f t="shared" si="6"/>
        <v>6.2682</v>
      </c>
      <c r="L30" s="60">
        <f t="shared" si="6"/>
        <v>1.259</v>
      </c>
    </row>
    <row r="34">
      <c r="D34" s="18" t="s">
        <v>124</v>
      </c>
    </row>
    <row r="35">
      <c r="D35" s="36"/>
      <c r="E35" s="37" t="s">
        <v>145</v>
      </c>
      <c r="F35" s="38" t="s">
        <v>146</v>
      </c>
      <c r="G35" s="37" t="s">
        <v>147</v>
      </c>
      <c r="H35" s="38" t="s">
        <v>148</v>
      </c>
    </row>
    <row r="36">
      <c r="D36" s="45" t="s">
        <v>37</v>
      </c>
      <c r="E36" s="41">
        <v>0.5515579836739697</v>
      </c>
      <c r="F36" s="50">
        <v>0.16835442357358346</v>
      </c>
      <c r="G36" s="47">
        <v>1.324</v>
      </c>
      <c r="H36" s="48">
        <v>0.341</v>
      </c>
    </row>
    <row r="37">
      <c r="D37" s="45" t="s">
        <v>121</v>
      </c>
      <c r="E37" s="41">
        <v>0.31140411352371544</v>
      </c>
      <c r="F37" s="53">
        <v>0.11193525975759416</v>
      </c>
      <c r="G37" s="47">
        <v>0.702</v>
      </c>
      <c r="H37" s="48">
        <v>0.225</v>
      </c>
    </row>
    <row r="38">
      <c r="D38" s="45" t="s">
        <v>38</v>
      </c>
      <c r="E38" s="41">
        <v>0.8289755737286177</v>
      </c>
      <c r="F38" s="53">
        <v>0.6209859717382302</v>
      </c>
      <c r="G38" s="43">
        <v>2.965</v>
      </c>
      <c r="H38" s="52">
        <v>1.585</v>
      </c>
    </row>
    <row r="39">
      <c r="D39" s="45" t="s">
        <v>36</v>
      </c>
      <c r="E39" s="41">
        <v>0.6182580075682449</v>
      </c>
      <c r="F39" s="53">
        <v>0.4981761604595399</v>
      </c>
      <c r="G39" s="47">
        <v>1.572</v>
      </c>
      <c r="H39" s="48">
        <v>1.149</v>
      </c>
    </row>
    <row r="40">
      <c r="D40" s="62" t="s">
        <v>49</v>
      </c>
      <c r="E40" s="55">
        <v>0.2898449788519927</v>
      </c>
      <c r="F40" s="53">
        <v>0.10752238182314558</v>
      </c>
      <c r="G40" s="56">
        <v>0.606</v>
      </c>
      <c r="H40" s="57">
        <v>0.217</v>
      </c>
    </row>
    <row r="41">
      <c r="D41" s="58" t="s">
        <v>149</v>
      </c>
      <c r="E41" s="59">
        <f t="shared" ref="E41:H41" si="7">AVERAGE(E36:E40)</f>
        <v>0.5200081315</v>
      </c>
      <c r="F41" s="60">
        <f t="shared" si="7"/>
        <v>0.3013948395</v>
      </c>
      <c r="G41" s="60">
        <f t="shared" si="7"/>
        <v>1.4338</v>
      </c>
      <c r="H41" s="60">
        <f t="shared" si="7"/>
        <v>0.7034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5"/>
    <col customWidth="1" min="3" max="3" width="16.0"/>
    <col customWidth="1" min="4" max="4" width="9.5"/>
    <col customWidth="1" min="5" max="5" width="11.63"/>
    <col customWidth="1" min="6" max="6" width="11.75"/>
    <col customWidth="1" min="13" max="13" width="15.63"/>
  </cols>
  <sheetData>
    <row r="1">
      <c r="A1" s="63"/>
      <c r="B1" s="28" t="s">
        <v>42</v>
      </c>
      <c r="C1" s="28" t="s">
        <v>43</v>
      </c>
      <c r="D1" s="28" t="s">
        <v>44</v>
      </c>
      <c r="E1" s="28" t="s">
        <v>45</v>
      </c>
      <c r="F1" s="28" t="s">
        <v>46</v>
      </c>
      <c r="G1" s="27" t="s">
        <v>120</v>
      </c>
      <c r="H1" s="28" t="s">
        <v>37</v>
      </c>
      <c r="I1" s="27" t="s">
        <v>121</v>
      </c>
      <c r="J1" s="28" t="s">
        <v>36</v>
      </c>
      <c r="K1" s="28" t="s">
        <v>38</v>
      </c>
      <c r="L1" s="28" t="s">
        <v>49</v>
      </c>
      <c r="M1" s="27" t="s">
        <v>122</v>
      </c>
      <c r="N1" s="28" t="s">
        <v>51</v>
      </c>
    </row>
    <row r="2">
      <c r="A2" s="64" t="s">
        <v>13</v>
      </c>
      <c r="B2" s="65">
        <v>5251.0</v>
      </c>
      <c r="C2" s="66">
        <v>126.0</v>
      </c>
      <c r="D2" s="65">
        <v>33.0</v>
      </c>
      <c r="E2" s="65">
        <v>228.0</v>
      </c>
      <c r="F2" s="67">
        <f t="shared" ref="F2:F7" si="1">B2+C2+D2</f>
        <v>5410</v>
      </c>
      <c r="G2" s="65">
        <v>9915.0</v>
      </c>
      <c r="H2" s="67">
        <f t="shared" ref="H2:H7" si="2">G2-E2-F2</f>
        <v>4277</v>
      </c>
      <c r="I2" s="68">
        <f t="shared" ref="I2:I7" si="3">1+L2+K2</f>
        <v>43.48684211</v>
      </c>
      <c r="J2" s="68">
        <f t="shared" ref="J2:J7" si="4">H2/(E2+F2)</f>
        <v>0.7586023413</v>
      </c>
      <c r="K2" s="68">
        <f t="shared" ref="K2:K7" si="5">H2/E2</f>
        <v>18.75877193</v>
      </c>
      <c r="L2" s="68">
        <f t="shared" ref="L2:L7" si="6">F2/E2</f>
        <v>23.72807018</v>
      </c>
      <c r="M2" s="67">
        <f t="shared" ref="M2:M7" si="7">H2+F2+E2</f>
        <v>9915</v>
      </c>
      <c r="N2" s="69">
        <f t="shared" ref="N2:N7" si="8">M2/G2</f>
        <v>1</v>
      </c>
      <c r="O2" s="25">
        <f>F2+E2</f>
        <v>5638</v>
      </c>
      <c r="P2" s="11">
        <f>O2/G2</f>
        <v>0.5686333838</v>
      </c>
    </row>
    <row r="3">
      <c r="A3" s="64" t="s">
        <v>150</v>
      </c>
      <c r="B3" s="65">
        <v>7349.0</v>
      </c>
      <c r="C3" s="66">
        <f>115+2</f>
        <v>117</v>
      </c>
      <c r="D3" s="65">
        <v>9.0</v>
      </c>
      <c r="E3" s="65">
        <v>271.0</v>
      </c>
      <c r="F3" s="67">
        <f t="shared" si="1"/>
        <v>7475</v>
      </c>
      <c r="G3" s="65">
        <v>18261.0</v>
      </c>
      <c r="H3" s="67">
        <f t="shared" si="2"/>
        <v>10515</v>
      </c>
      <c r="I3" s="68">
        <f t="shared" si="3"/>
        <v>67.38376384</v>
      </c>
      <c r="J3" s="68">
        <f t="shared" si="4"/>
        <v>1.357474826</v>
      </c>
      <c r="K3" s="68">
        <f t="shared" si="5"/>
        <v>38.80073801</v>
      </c>
      <c r="L3" s="68">
        <f t="shared" si="6"/>
        <v>27.58302583</v>
      </c>
      <c r="M3" s="67">
        <f t="shared" si="7"/>
        <v>18261</v>
      </c>
      <c r="N3" s="69">
        <f t="shared" si="8"/>
        <v>1</v>
      </c>
    </row>
    <row r="4">
      <c r="A4" s="64" t="s">
        <v>151</v>
      </c>
      <c r="B4" s="65">
        <v>23615.898</v>
      </c>
      <c r="C4" s="65">
        <f>968.315+(-108.622)</f>
        <v>859.693</v>
      </c>
      <c r="D4" s="65">
        <v>387.352</v>
      </c>
      <c r="E4" s="65">
        <v>8126.212</v>
      </c>
      <c r="F4" s="67">
        <f t="shared" si="1"/>
        <v>24862.943</v>
      </c>
      <c r="G4" s="65">
        <v>34937.356</v>
      </c>
      <c r="H4" s="67">
        <f t="shared" si="2"/>
        <v>1948.201</v>
      </c>
      <c r="I4" s="68">
        <f t="shared" si="3"/>
        <v>4.299340948</v>
      </c>
      <c r="J4" s="68">
        <f t="shared" si="4"/>
        <v>0.05905580182</v>
      </c>
      <c r="K4" s="68">
        <f t="shared" si="5"/>
        <v>0.2397428224</v>
      </c>
      <c r="L4" s="68">
        <f t="shared" si="6"/>
        <v>3.059598125</v>
      </c>
      <c r="M4" s="67">
        <f t="shared" si="7"/>
        <v>34937.356</v>
      </c>
      <c r="N4" s="69">
        <f t="shared" si="8"/>
        <v>1</v>
      </c>
    </row>
    <row r="5">
      <c r="A5" s="64" t="s">
        <v>152</v>
      </c>
      <c r="B5" s="66">
        <v>25752.669</v>
      </c>
      <c r="C5" s="68">
        <f>969.714+(-296.085)</f>
        <v>673.629</v>
      </c>
      <c r="D5" s="14">
        <v>408.592</v>
      </c>
      <c r="E5" s="14">
        <v>8394.427</v>
      </c>
      <c r="F5" s="67">
        <f t="shared" si="1"/>
        <v>26834.89</v>
      </c>
      <c r="G5" s="65">
        <v>39048.873</v>
      </c>
      <c r="H5" s="67">
        <f t="shared" si="2"/>
        <v>3819.556</v>
      </c>
      <c r="I5" s="68">
        <f t="shared" si="3"/>
        <v>4.651761579</v>
      </c>
      <c r="J5" s="68">
        <f t="shared" si="4"/>
        <v>0.1084198141</v>
      </c>
      <c r="K5" s="68">
        <f t="shared" si="5"/>
        <v>0.4550109257</v>
      </c>
      <c r="L5" s="68">
        <f t="shared" si="6"/>
        <v>3.196750654</v>
      </c>
      <c r="M5" s="67">
        <f t="shared" si="7"/>
        <v>39048.873</v>
      </c>
      <c r="N5" s="69">
        <f t="shared" si="8"/>
        <v>1</v>
      </c>
    </row>
    <row r="6">
      <c r="A6" s="14" t="s">
        <v>14</v>
      </c>
      <c r="B6" s="70">
        <f>42740</f>
        <v>42740</v>
      </c>
      <c r="C6" s="70">
        <v>509.0</v>
      </c>
      <c r="D6" s="70">
        <v>2863.0</v>
      </c>
      <c r="E6" s="14">
        <v>87193.0</v>
      </c>
      <c r="F6" s="67">
        <f t="shared" si="1"/>
        <v>46112</v>
      </c>
      <c r="G6" s="14">
        <v>386064.0</v>
      </c>
      <c r="H6" s="67">
        <f t="shared" si="2"/>
        <v>252759</v>
      </c>
      <c r="I6" s="68">
        <f t="shared" si="3"/>
        <v>4.427694884</v>
      </c>
      <c r="J6" s="68">
        <f t="shared" si="4"/>
        <v>1.89609542</v>
      </c>
      <c r="K6" s="68">
        <f t="shared" si="5"/>
        <v>2.898845091</v>
      </c>
      <c r="L6" s="68">
        <f t="shared" si="6"/>
        <v>0.528849793</v>
      </c>
      <c r="M6" s="67">
        <f t="shared" si="7"/>
        <v>386064</v>
      </c>
      <c r="N6" s="69">
        <f t="shared" si="8"/>
        <v>1</v>
      </c>
      <c r="O6" s="14"/>
      <c r="P6" s="14"/>
    </row>
    <row r="7">
      <c r="A7" s="70"/>
      <c r="B7" s="68"/>
      <c r="C7" s="68"/>
      <c r="D7" s="68"/>
      <c r="E7" s="68"/>
      <c r="F7" s="67">
        <f t="shared" si="1"/>
        <v>0</v>
      </c>
      <c r="G7" s="70"/>
      <c r="H7" s="67">
        <f t="shared" si="2"/>
        <v>0</v>
      </c>
      <c r="I7" s="68" t="str">
        <f t="shared" si="3"/>
        <v>#DIV/0!</v>
      </c>
      <c r="J7" s="68" t="str">
        <f t="shared" si="4"/>
        <v>#DIV/0!</v>
      </c>
      <c r="K7" s="68" t="str">
        <f t="shared" si="5"/>
        <v>#DIV/0!</v>
      </c>
      <c r="L7" s="68" t="str">
        <f t="shared" si="6"/>
        <v>#DIV/0!</v>
      </c>
      <c r="M7" s="67">
        <f t="shared" si="7"/>
        <v>0</v>
      </c>
      <c r="N7" s="69" t="str">
        <f t="shared" si="8"/>
        <v>#DIV/0!</v>
      </c>
      <c r="O7" s="68"/>
      <c r="P7" s="68"/>
    </row>
    <row r="8">
      <c r="A8" s="14" t="s">
        <v>153</v>
      </c>
      <c r="C8" s="68"/>
      <c r="D8" s="68"/>
      <c r="E8" s="68"/>
      <c r="F8" s="68"/>
      <c r="G8" s="70"/>
      <c r="H8" s="14"/>
      <c r="I8" s="68"/>
      <c r="J8" s="68"/>
      <c r="K8" s="68"/>
      <c r="L8" s="68"/>
      <c r="M8" s="68"/>
      <c r="N8" s="68"/>
    </row>
    <row r="9">
      <c r="A9" s="70"/>
      <c r="B9" s="68"/>
      <c r="C9" s="14"/>
      <c r="D9" s="68"/>
      <c r="E9" s="68"/>
      <c r="F9" s="68"/>
      <c r="G9" s="70"/>
      <c r="H9" s="14"/>
      <c r="I9" s="14"/>
      <c r="J9" s="68"/>
      <c r="K9" s="68"/>
      <c r="L9" s="68"/>
      <c r="M9" s="68"/>
      <c r="N9" s="68"/>
    </row>
    <row r="10">
      <c r="A10" s="70"/>
      <c r="B10" s="68"/>
      <c r="C10" s="68"/>
      <c r="D10" s="14"/>
      <c r="G10" s="70"/>
      <c r="H10" s="14"/>
      <c r="I10" s="14"/>
      <c r="J10" s="14"/>
      <c r="K10" s="68"/>
    </row>
    <row r="11">
      <c r="A11" s="35"/>
      <c r="G11" s="35"/>
    </row>
    <row r="14">
      <c r="A14" s="71" t="s">
        <v>154</v>
      </c>
    </row>
    <row r="19">
      <c r="A19" s="64"/>
    </row>
    <row r="20">
      <c r="A20" s="64"/>
    </row>
    <row r="21">
      <c r="A21" s="64"/>
    </row>
    <row r="22">
      <c r="A22" s="64"/>
    </row>
    <row r="24">
      <c r="A24" s="14"/>
      <c r="B24" s="14"/>
      <c r="C24" s="14"/>
      <c r="D24" s="14"/>
    </row>
    <row r="25">
      <c r="A25" s="14"/>
      <c r="B25" s="68"/>
      <c r="C25" s="14"/>
      <c r="D25" s="14"/>
    </row>
    <row r="26">
      <c r="A26" s="14"/>
      <c r="B26" s="68"/>
      <c r="C26" s="14"/>
      <c r="D26" s="14"/>
    </row>
    <row r="27">
      <c r="A27" s="14"/>
      <c r="B27" s="68"/>
      <c r="C27" s="14"/>
      <c r="D27" s="14"/>
    </row>
    <row r="28">
      <c r="A28" s="14"/>
      <c r="B28" s="68"/>
      <c r="C28" s="14"/>
      <c r="D28" s="14"/>
    </row>
    <row r="29">
      <c r="A29" s="14"/>
      <c r="B29" s="68"/>
      <c r="C29" s="14"/>
      <c r="D29" s="14"/>
    </row>
    <row r="30">
      <c r="A30" s="14"/>
      <c r="B30" s="68"/>
      <c r="C30" s="14"/>
      <c r="D30" s="14"/>
    </row>
    <row r="31">
      <c r="A31" s="14"/>
      <c r="B31" s="68"/>
      <c r="C31" s="14"/>
      <c r="D31" s="14"/>
    </row>
    <row r="32">
      <c r="A32" s="14"/>
      <c r="B32" s="68"/>
      <c r="C32" s="14"/>
      <c r="D32" s="14"/>
    </row>
    <row r="33">
      <c r="A33" s="14"/>
      <c r="B33" s="68"/>
      <c r="C33" s="14"/>
      <c r="D33" s="14"/>
    </row>
    <row r="34">
      <c r="A34" s="14"/>
      <c r="B34" s="68"/>
      <c r="C34" s="14"/>
      <c r="D34" s="14"/>
    </row>
    <row r="35">
      <c r="A35" s="68"/>
      <c r="B35" s="68"/>
      <c r="C35" s="14"/>
      <c r="D35" s="14"/>
    </row>
    <row r="36">
      <c r="A36" s="68"/>
      <c r="B36" s="68"/>
      <c r="C36" s="14"/>
      <c r="D36" s="14"/>
    </row>
    <row r="37">
      <c r="A37" s="35"/>
      <c r="B37" s="35"/>
      <c r="C37" s="14"/>
      <c r="D37" s="14"/>
    </row>
    <row r="38">
      <c r="A38" s="14"/>
      <c r="B38" s="14"/>
      <c r="C38" s="14"/>
      <c r="D38" s="14"/>
    </row>
    <row r="39">
      <c r="A39" s="14"/>
      <c r="B39" s="14"/>
      <c r="C39" s="14"/>
      <c r="D39" s="14"/>
    </row>
    <row r="40">
      <c r="A40" s="14"/>
      <c r="B40" s="14"/>
      <c r="C40" s="14"/>
      <c r="D40" s="14"/>
    </row>
    <row r="41">
      <c r="A41" s="14"/>
      <c r="B41" s="14"/>
      <c r="C41" s="14"/>
      <c r="D41" s="14"/>
    </row>
    <row r="42">
      <c r="A42" s="14"/>
      <c r="B42" s="14"/>
      <c r="C42" s="14"/>
      <c r="D42" s="14"/>
    </row>
    <row r="43">
      <c r="A43" s="14"/>
      <c r="B43" s="14"/>
      <c r="C43" s="14"/>
      <c r="D43" s="14"/>
    </row>
    <row r="44">
      <c r="A44" s="14"/>
      <c r="B44" s="14"/>
      <c r="C44" s="14"/>
      <c r="D44" s="14"/>
    </row>
    <row r="45">
      <c r="A45" s="14"/>
      <c r="B45" s="14"/>
      <c r="C45" s="14"/>
      <c r="D45" s="14"/>
    </row>
    <row r="46">
      <c r="A46" s="14"/>
      <c r="B46" s="14"/>
      <c r="C46" s="14"/>
      <c r="D46" s="14"/>
    </row>
    <row r="47">
      <c r="A47" s="14"/>
      <c r="B47" s="14"/>
      <c r="C47" s="14"/>
      <c r="D47" s="14"/>
    </row>
    <row r="48">
      <c r="A48" s="14"/>
      <c r="B48" s="14"/>
      <c r="C48" s="14"/>
      <c r="D48" s="14"/>
    </row>
    <row r="49">
      <c r="A49" s="14"/>
      <c r="B49" s="14"/>
      <c r="C49" s="14"/>
      <c r="D49" s="14"/>
    </row>
    <row r="50">
      <c r="A50" s="14"/>
      <c r="B50" s="14"/>
      <c r="C50" s="14"/>
      <c r="D50" s="14"/>
    </row>
    <row r="51">
      <c r="A51" s="14"/>
      <c r="B51" s="14"/>
      <c r="C51" s="14"/>
      <c r="D51" s="14"/>
    </row>
    <row r="52">
      <c r="A52" s="14"/>
      <c r="B52" s="14"/>
      <c r="C52" s="14"/>
      <c r="D52" s="14"/>
    </row>
    <row r="53">
      <c r="A53" s="14"/>
      <c r="B53" s="14"/>
      <c r="C53" s="14"/>
      <c r="D53" s="14"/>
    </row>
    <row r="54">
      <c r="A54" s="14"/>
      <c r="B54" s="14"/>
      <c r="C54" s="14"/>
      <c r="D54" s="14"/>
    </row>
    <row r="55">
      <c r="A55" s="14"/>
      <c r="B55" s="14"/>
      <c r="C55" s="14"/>
      <c r="D55" s="14"/>
    </row>
    <row r="56">
      <c r="A56" s="14"/>
      <c r="B56" s="14"/>
      <c r="C56" s="14"/>
      <c r="D56" s="14"/>
    </row>
    <row r="57">
      <c r="A57" s="14"/>
      <c r="B57" s="14"/>
      <c r="C57" s="14"/>
      <c r="D57" s="14"/>
    </row>
    <row r="58">
      <c r="A58" s="68"/>
      <c r="B58" s="68"/>
      <c r="C58" s="14"/>
      <c r="D58" s="14"/>
    </row>
    <row r="59">
      <c r="A59" s="68"/>
      <c r="B59" s="68"/>
      <c r="C59" s="14"/>
      <c r="D59" s="14"/>
    </row>
    <row r="60">
      <c r="A60" s="68"/>
      <c r="B60" s="68"/>
      <c r="C60" s="14"/>
      <c r="D60" s="14"/>
    </row>
    <row r="61">
      <c r="A61" s="68"/>
      <c r="B61" s="68"/>
      <c r="C61" s="14"/>
      <c r="D61" s="14"/>
    </row>
    <row r="62">
      <c r="A62" s="68"/>
      <c r="B62" s="68"/>
      <c r="C62" s="14"/>
      <c r="D62" s="14"/>
    </row>
    <row r="63">
      <c r="A63" s="35"/>
      <c r="B63" s="35"/>
      <c r="C63" s="35"/>
      <c r="D63" s="35"/>
      <c r="E63" s="68"/>
      <c r="F63" s="68"/>
      <c r="G63" s="68"/>
      <c r="H63" s="68"/>
      <c r="I63" s="68"/>
      <c r="J63" s="68"/>
      <c r="K63" s="68"/>
    </row>
    <row r="64">
      <c r="A64" s="14"/>
      <c r="B64" s="14"/>
      <c r="C64" s="14"/>
      <c r="D64" s="14"/>
    </row>
    <row r="65">
      <c r="A65" s="68"/>
      <c r="B65" s="14"/>
      <c r="C65" s="14"/>
      <c r="D65" s="14"/>
    </row>
    <row r="66">
      <c r="A66" s="68"/>
      <c r="B66" s="14"/>
      <c r="C66" s="14"/>
      <c r="D66" s="14"/>
    </row>
    <row r="67">
      <c r="A67" s="68"/>
      <c r="B67" s="14"/>
      <c r="C67" s="14"/>
      <c r="D67" s="14"/>
    </row>
    <row r="68">
      <c r="A68" s="68"/>
      <c r="B68" s="14"/>
      <c r="C68" s="14"/>
      <c r="D68" s="14"/>
    </row>
    <row r="69">
      <c r="A69" s="68"/>
      <c r="B69" s="14"/>
      <c r="C69" s="14"/>
      <c r="D69" s="14"/>
    </row>
    <row r="70">
      <c r="A70" s="68"/>
      <c r="B70" s="14"/>
      <c r="C70" s="14"/>
      <c r="D70" s="14"/>
    </row>
    <row r="71">
      <c r="A71" s="68"/>
      <c r="B71" s="14"/>
      <c r="C71" s="14"/>
      <c r="D71" s="14"/>
    </row>
    <row r="72">
      <c r="A72" s="68"/>
      <c r="B72" s="14"/>
      <c r="C72" s="14"/>
      <c r="D72" s="14"/>
    </row>
    <row r="73">
      <c r="A73" s="68"/>
      <c r="B73" s="14"/>
      <c r="C73" s="14"/>
      <c r="D73" s="14"/>
    </row>
    <row r="74">
      <c r="A74" s="68"/>
      <c r="B74" s="14"/>
      <c r="C74" s="14"/>
      <c r="D74" s="14"/>
    </row>
    <row r="75">
      <c r="A75" s="68"/>
      <c r="B75" s="14"/>
      <c r="C75" s="14"/>
      <c r="D75" s="14"/>
    </row>
    <row r="76">
      <c r="A76" s="68"/>
      <c r="B76" s="14"/>
      <c r="C76" s="14"/>
      <c r="D76" s="14"/>
    </row>
    <row r="77">
      <c r="A77" s="68"/>
      <c r="B77" s="14"/>
      <c r="C77" s="14"/>
      <c r="D77" s="14"/>
    </row>
    <row r="78">
      <c r="A78" s="68"/>
      <c r="B78" s="14"/>
      <c r="C78" s="14"/>
      <c r="D78" s="14"/>
    </row>
    <row r="79">
      <c r="A79" s="68"/>
      <c r="B79" s="14"/>
      <c r="C79" s="14"/>
      <c r="D79" s="14"/>
    </row>
    <row r="80">
      <c r="A80" s="68"/>
      <c r="B80" s="14"/>
      <c r="C80" s="14"/>
      <c r="D80" s="14"/>
    </row>
    <row r="81">
      <c r="A81" s="68"/>
      <c r="B81" s="14"/>
      <c r="C81" s="14"/>
      <c r="D81" s="14"/>
    </row>
    <row r="82">
      <c r="A82" s="68"/>
      <c r="B82" s="14"/>
      <c r="C82" s="14"/>
      <c r="D82" s="14"/>
    </row>
    <row r="83">
      <c r="A83" s="68"/>
      <c r="B83" s="14"/>
      <c r="C83" s="14"/>
      <c r="D83" s="14"/>
    </row>
    <row r="84">
      <c r="A84" s="68"/>
      <c r="B84" s="68"/>
      <c r="C84" s="14"/>
      <c r="D84" s="14"/>
    </row>
    <row r="85">
      <c r="A85" s="68"/>
      <c r="B85" s="68"/>
      <c r="C85" s="14"/>
      <c r="D85" s="14"/>
    </row>
    <row r="86">
      <c r="A86" s="68"/>
      <c r="B86" s="68"/>
      <c r="C86" s="14"/>
      <c r="D86" s="14"/>
    </row>
    <row r="87">
      <c r="A87" s="68"/>
      <c r="B87" s="68"/>
      <c r="C87" s="14"/>
      <c r="D87" s="14"/>
    </row>
    <row r="88">
      <c r="A88" s="68"/>
      <c r="B88" s="68"/>
      <c r="C88" s="14"/>
      <c r="D88" s="14"/>
    </row>
    <row r="89">
      <c r="A89" s="68"/>
      <c r="B89" s="68"/>
      <c r="C89" s="14"/>
      <c r="D89" s="14"/>
    </row>
    <row r="90">
      <c r="A90" s="68"/>
      <c r="B90" s="68"/>
      <c r="C90" s="14"/>
      <c r="D90" s="14"/>
    </row>
    <row r="91">
      <c r="A91" s="68"/>
      <c r="B91" s="68"/>
      <c r="C91" s="14"/>
      <c r="D91" s="14"/>
    </row>
    <row r="92">
      <c r="A92" s="68"/>
      <c r="B92" s="68"/>
      <c r="C92" s="14"/>
      <c r="D92" s="14"/>
    </row>
    <row r="93">
      <c r="A93" s="68"/>
      <c r="B93" s="68"/>
      <c r="C93" s="14"/>
      <c r="D93" s="14"/>
    </row>
    <row r="94">
      <c r="A94" s="68"/>
      <c r="B94" s="72"/>
      <c r="C94" s="73"/>
      <c r="D94" s="74"/>
    </row>
    <row r="95">
      <c r="A95" s="68"/>
      <c r="B95" s="75"/>
      <c r="C95" s="73"/>
      <c r="D95" s="74"/>
    </row>
    <row r="96">
      <c r="A96" s="68"/>
      <c r="B96" s="68"/>
      <c r="C96" s="14"/>
      <c r="D96" s="14"/>
    </row>
    <row r="97">
      <c r="A97" s="68"/>
      <c r="B97" s="76"/>
      <c r="C97" s="73"/>
      <c r="D97" s="74"/>
    </row>
    <row r="98">
      <c r="A98" s="68"/>
      <c r="B98" s="75"/>
      <c r="C98" s="73"/>
      <c r="D98" s="74"/>
    </row>
    <row r="99">
      <c r="A99" s="68"/>
      <c r="B99" s="68"/>
      <c r="C99" s="14"/>
      <c r="D99" s="14"/>
    </row>
    <row r="100">
      <c r="A100" s="68"/>
      <c r="B100" s="76"/>
      <c r="C100" s="73"/>
      <c r="D100" s="74"/>
    </row>
    <row r="101">
      <c r="A101" s="68"/>
      <c r="B101" s="75"/>
      <c r="C101" s="73"/>
      <c r="D101" s="74"/>
    </row>
    <row r="102">
      <c r="A102" s="68"/>
      <c r="B102" s="68"/>
      <c r="C102" s="14"/>
      <c r="D102" s="14"/>
    </row>
    <row r="103">
      <c r="A103" s="68"/>
      <c r="B103" s="68"/>
      <c r="C103" s="14"/>
      <c r="D103" s="14"/>
    </row>
    <row r="104">
      <c r="A104" s="68"/>
      <c r="B104" s="68"/>
      <c r="C104" s="14"/>
      <c r="D104" s="14"/>
    </row>
  </sheetData>
  <mergeCells count="9">
    <mergeCell ref="B100:D100"/>
    <mergeCell ref="B101:D101"/>
    <mergeCell ref="A8:B8"/>
    <mergeCell ref="A11:D11"/>
    <mergeCell ref="G11:K11"/>
    <mergeCell ref="B94:D94"/>
    <mergeCell ref="B95:D95"/>
    <mergeCell ref="B97:D97"/>
    <mergeCell ref="B98:D98"/>
  </mergeCells>
  <hyperlinks>
    <hyperlink r:id="rId1" ref="A14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1.0"/>
    <col customWidth="1" min="3" max="3" width="13.63"/>
    <col customWidth="1" min="4" max="4" width="16.0"/>
    <col customWidth="1" min="5" max="5" width="9.5"/>
    <col customWidth="1" min="6" max="6" width="11.63"/>
    <col customWidth="1" min="7" max="7" width="11.75"/>
    <col customWidth="1" min="15" max="16" width="15.63"/>
  </cols>
  <sheetData>
    <row r="1">
      <c r="A1" s="63"/>
      <c r="B1" s="27" t="s">
        <v>119</v>
      </c>
      <c r="C1" s="28" t="s">
        <v>42</v>
      </c>
      <c r="D1" s="28" t="s">
        <v>43</v>
      </c>
      <c r="E1" s="28" t="s">
        <v>44</v>
      </c>
      <c r="F1" s="28" t="s">
        <v>45</v>
      </c>
      <c r="G1" s="28" t="s">
        <v>46</v>
      </c>
      <c r="H1" s="27" t="s">
        <v>120</v>
      </c>
      <c r="I1" s="28" t="s">
        <v>37</v>
      </c>
      <c r="J1" s="27" t="s">
        <v>121</v>
      </c>
      <c r="K1" s="28" t="s">
        <v>36</v>
      </c>
      <c r="L1" s="28" t="s">
        <v>38</v>
      </c>
      <c r="M1" s="28"/>
      <c r="N1" s="28" t="s">
        <v>49</v>
      </c>
      <c r="O1" s="27" t="s">
        <v>122</v>
      </c>
      <c r="P1" s="27" t="s">
        <v>155</v>
      </c>
      <c r="Q1" s="27" t="s">
        <v>123</v>
      </c>
      <c r="R1" s="28" t="s">
        <v>51</v>
      </c>
      <c r="S1" s="17"/>
      <c r="T1" s="21">
        <f>P2/H2</f>
        <v>1.034052364</v>
      </c>
    </row>
    <row r="2">
      <c r="A2" s="64" t="s">
        <v>156</v>
      </c>
      <c r="B2" s="65">
        <v>1613115.0</v>
      </c>
      <c r="C2" s="65">
        <v>1.263166015E9</v>
      </c>
      <c r="D2" s="77">
        <f>73127325+7379298</f>
        <v>80506623</v>
      </c>
      <c r="E2" s="65">
        <v>2.4398228E7</v>
      </c>
      <c r="F2" s="65">
        <v>3.4191723E8</v>
      </c>
      <c r="G2" s="67">
        <f t="shared" ref="G2:G8" si="1">C2+D2+E2</f>
        <v>1368070866</v>
      </c>
      <c r="H2" s="65">
        <v>2.196918602E9</v>
      </c>
      <c r="I2" s="67">
        <f t="shared" ref="I2:I8" si="2">H2-F2-G2-E2</f>
        <v>462532278</v>
      </c>
      <c r="J2" s="68">
        <f t="shared" ref="J2:J8" si="3">1+N2+L2</f>
        <v>6.353936518</v>
      </c>
      <c r="K2" s="68">
        <f t="shared" ref="K2:K8" si="4">I2/(F2+G2)</f>
        <v>0.2704885953</v>
      </c>
      <c r="L2" s="68">
        <f t="shared" ref="L2:L8" si="5">I2/F2</f>
        <v>1.352760953</v>
      </c>
      <c r="M2" s="68">
        <f t="shared" ref="M2:M7" si="6">abs(log(H2)-log(F2)-log(G2)-log(E2))/10</f>
        <v>1.57155739</v>
      </c>
      <c r="N2" s="68">
        <f t="shared" ref="N2:N8" si="7">G2/F2</f>
        <v>4.001175565</v>
      </c>
      <c r="O2" s="67">
        <f t="shared" ref="O2:O8" si="8">I2+G2+F2</f>
        <v>2172520374</v>
      </c>
      <c r="P2" s="77">
        <f t="shared" ref="P2:P8" si="9">(M2*F2)+F2+G2+E2</f>
        <v>2271728874</v>
      </c>
      <c r="Q2" s="77">
        <f t="shared" ref="Q2:Q4" si="10">((((I2*7.51)/60)/12)/24)/365</f>
        <v>550.7384272</v>
      </c>
      <c r="R2" s="69">
        <f t="shared" ref="R2:R8" si="11">O2/H2</f>
        <v>0.9888943414</v>
      </c>
      <c r="S2" s="69">
        <f t="shared" ref="S2:S7" si="12">P2/H2</f>
        <v>1.034052364</v>
      </c>
      <c r="T2" s="25">
        <f t="shared" ref="T2:T8" si="13">G2+F2</f>
        <v>1709988096</v>
      </c>
      <c r="U2" s="11">
        <f t="shared" ref="U2:U8" si="14">T2/H2</f>
        <v>0.7783575115</v>
      </c>
      <c r="V2" s="11">
        <f t="shared" ref="V2:V5" si="15">2*(log(P2)-log(H2))</f>
        <v>0.0290850635</v>
      </c>
      <c r="W2" s="11">
        <f>10^0.205</f>
        <v>1.603245391</v>
      </c>
    </row>
    <row r="3">
      <c r="A3" s="78" t="s">
        <v>157</v>
      </c>
      <c r="B3" s="65">
        <v>39136.0</v>
      </c>
      <c r="C3" s="65">
        <v>8045967.0</v>
      </c>
      <c r="D3" s="68">
        <f>2569385+90942</f>
        <v>2660327</v>
      </c>
      <c r="E3" s="65">
        <v>51470.0</v>
      </c>
      <c r="F3" s="65">
        <v>1.9778201E7</v>
      </c>
      <c r="G3" s="67">
        <f t="shared" si="1"/>
        <v>10757764</v>
      </c>
      <c r="H3" s="65">
        <v>5.1633288E7</v>
      </c>
      <c r="I3" s="67">
        <f t="shared" si="2"/>
        <v>21045853</v>
      </c>
      <c r="J3" s="68">
        <f t="shared" si="3"/>
        <v>2.608013641</v>
      </c>
      <c r="K3" s="68">
        <f t="shared" si="4"/>
        <v>0.6892152581</v>
      </c>
      <c r="L3" s="68">
        <f t="shared" si="5"/>
        <v>1.064093393</v>
      </c>
      <c r="M3" s="68">
        <f t="shared" si="6"/>
        <v>1.132653319</v>
      </c>
      <c r="N3" s="68">
        <f t="shared" si="7"/>
        <v>0.5439202484</v>
      </c>
      <c r="O3" s="67">
        <f t="shared" si="8"/>
        <v>51581818</v>
      </c>
      <c r="P3" s="77">
        <f t="shared" si="9"/>
        <v>52989280</v>
      </c>
      <c r="Q3" s="77">
        <f t="shared" si="10"/>
        <v>25.05935376</v>
      </c>
      <c r="R3" s="69">
        <f t="shared" si="11"/>
        <v>0.9990031625</v>
      </c>
      <c r="S3" s="69">
        <f t="shared" si="12"/>
        <v>1.026261973</v>
      </c>
      <c r="T3" s="25">
        <f t="shared" si="13"/>
        <v>30535965</v>
      </c>
      <c r="U3" s="11">
        <f t="shared" si="14"/>
        <v>0.5914007452</v>
      </c>
      <c r="V3" s="11">
        <f t="shared" si="15"/>
        <v>0.02251647351</v>
      </c>
    </row>
    <row r="4">
      <c r="A4" s="78" t="s">
        <v>158</v>
      </c>
      <c r="B4" s="65">
        <v>22821.0</v>
      </c>
      <c r="C4" s="65">
        <v>8546272.0</v>
      </c>
      <c r="D4" s="68">
        <f>564727+76302</f>
        <v>641029</v>
      </c>
      <c r="E4" s="65">
        <v>32878.0</v>
      </c>
      <c r="F4" s="65">
        <v>3049997.0</v>
      </c>
      <c r="G4" s="67">
        <f t="shared" si="1"/>
        <v>9220179</v>
      </c>
      <c r="H4" s="65">
        <v>1.6339279E7</v>
      </c>
      <c r="I4" s="67">
        <f t="shared" si="2"/>
        <v>4036225</v>
      </c>
      <c r="J4" s="68">
        <f t="shared" si="3"/>
        <v>5.346366242</v>
      </c>
      <c r="K4" s="68">
        <f t="shared" si="4"/>
        <v>0.3289459744</v>
      </c>
      <c r="L4" s="68">
        <f t="shared" si="5"/>
        <v>1.323353761</v>
      </c>
      <c r="M4" s="68">
        <f t="shared" si="6"/>
        <v>1.075271127</v>
      </c>
      <c r="N4" s="68">
        <f t="shared" si="7"/>
        <v>3.023012482</v>
      </c>
      <c r="O4" s="67">
        <f t="shared" si="8"/>
        <v>16306401</v>
      </c>
      <c r="P4" s="77">
        <f t="shared" si="9"/>
        <v>15582627.71</v>
      </c>
      <c r="Q4" s="77">
        <f t="shared" si="10"/>
        <v>4.805943961</v>
      </c>
      <c r="R4" s="69">
        <f t="shared" si="11"/>
        <v>0.9979877937</v>
      </c>
      <c r="S4" s="69">
        <f t="shared" si="12"/>
        <v>0.9536912682</v>
      </c>
      <c r="T4" s="25">
        <f t="shared" si="13"/>
        <v>12270176</v>
      </c>
      <c r="U4" s="11">
        <f t="shared" si="14"/>
        <v>0.7509618998</v>
      </c>
      <c r="V4" s="11">
        <f t="shared" si="15"/>
        <v>-0.04118438733</v>
      </c>
    </row>
    <row r="5">
      <c r="A5" s="78" t="s">
        <v>159</v>
      </c>
      <c r="B5" s="65">
        <v>27655.0</v>
      </c>
      <c r="C5" s="65">
        <v>4.7212605E7</v>
      </c>
      <c r="D5" s="68">
        <f>977735+35780</f>
        <v>1013515</v>
      </c>
      <c r="E5" s="65">
        <v>77982.0</v>
      </c>
      <c r="F5" s="65">
        <v>6387275.0</v>
      </c>
      <c r="G5" s="67">
        <f t="shared" si="1"/>
        <v>48304102</v>
      </c>
      <c r="H5" s="65">
        <v>5.9897102E7</v>
      </c>
      <c r="I5" s="67">
        <f t="shared" si="2"/>
        <v>5127743</v>
      </c>
      <c r="J5" s="68">
        <f t="shared" si="3"/>
        <v>9.365358467</v>
      </c>
      <c r="K5" s="68">
        <f t="shared" si="4"/>
        <v>0.09375779659</v>
      </c>
      <c r="L5" s="68">
        <f t="shared" si="5"/>
        <v>0.802806048</v>
      </c>
      <c r="M5" s="68">
        <f t="shared" si="6"/>
        <v>1.160388819</v>
      </c>
      <c r="N5" s="68">
        <f t="shared" si="7"/>
        <v>7.562552419</v>
      </c>
      <c r="O5" s="67">
        <f t="shared" si="8"/>
        <v>59819120</v>
      </c>
      <c r="P5" s="77">
        <f t="shared" si="9"/>
        <v>62181081.49</v>
      </c>
      <c r="Q5" s="77">
        <f>((((I5*7.51)/60)/12)/21)</f>
        <v>2546.914678</v>
      </c>
      <c r="R5" s="69">
        <f t="shared" si="11"/>
        <v>0.9986980672</v>
      </c>
      <c r="S5" s="69">
        <f t="shared" si="12"/>
        <v>1.038131719</v>
      </c>
      <c r="T5" s="25">
        <f t="shared" si="13"/>
        <v>54691377</v>
      </c>
      <c r="U5" s="11">
        <f t="shared" si="14"/>
        <v>0.913088867</v>
      </c>
      <c r="V5" s="11">
        <f t="shared" si="15"/>
        <v>0.0325049217</v>
      </c>
    </row>
    <row r="6">
      <c r="A6" s="78" t="s">
        <v>77</v>
      </c>
      <c r="B6" s="65">
        <v>23765.0</v>
      </c>
      <c r="C6" s="65">
        <v>9.23063351E8</v>
      </c>
      <c r="D6" s="68">
        <f>50227225-8141190</f>
        <v>42086035</v>
      </c>
      <c r="E6" s="65">
        <v>1.6241849E7</v>
      </c>
      <c r="F6" s="65">
        <v>1.82940756E8</v>
      </c>
      <c r="G6" s="67">
        <f t="shared" si="1"/>
        <v>981391235</v>
      </c>
      <c r="H6" s="65">
        <v>1.497878896E9</v>
      </c>
      <c r="I6" s="67">
        <f t="shared" si="2"/>
        <v>317305056</v>
      </c>
      <c r="J6" s="68">
        <f t="shared" si="3"/>
        <v>8.098999257</v>
      </c>
      <c r="K6" s="68">
        <f t="shared" si="4"/>
        <v>0.2725211181</v>
      </c>
      <c r="L6" s="68">
        <f t="shared" si="5"/>
        <v>1.734468923</v>
      </c>
      <c r="M6" s="68">
        <f t="shared" si="6"/>
        <v>1.528931141</v>
      </c>
      <c r="N6" s="68">
        <f t="shared" si="7"/>
        <v>5.364530335</v>
      </c>
      <c r="O6" s="67">
        <f t="shared" si="8"/>
        <v>1481637047</v>
      </c>
      <c r="P6" s="77">
        <f t="shared" si="9"/>
        <v>1460277659</v>
      </c>
      <c r="Q6" s="77">
        <f t="shared" ref="Q6:Q7" si="16">((((I6*7.51)/60)/12)/24)/365</f>
        <v>377.8159834</v>
      </c>
      <c r="R6" s="69">
        <f t="shared" si="11"/>
        <v>0.9891567676</v>
      </c>
      <c r="S6" s="69">
        <f t="shared" si="12"/>
        <v>0.9748970112</v>
      </c>
      <c r="T6" s="25">
        <f t="shared" si="13"/>
        <v>1164331991</v>
      </c>
      <c r="U6" s="11">
        <f t="shared" si="14"/>
        <v>0.7773205124</v>
      </c>
      <c r="V6" s="11">
        <f>AVERAGE(V2:V5)</f>
        <v>0.01073051784</v>
      </c>
    </row>
    <row r="7">
      <c r="A7" s="64" t="s">
        <v>160</v>
      </c>
      <c r="B7" s="65">
        <v>1261047.0</v>
      </c>
      <c r="C7" s="65">
        <v>2.42083764E8</v>
      </c>
      <c r="D7" s="68">
        <f>13839822+2169633</f>
        <v>16009455</v>
      </c>
      <c r="E7" s="65">
        <v>5912679.0</v>
      </c>
      <c r="F7" s="65">
        <v>1.15053738E8</v>
      </c>
      <c r="G7" s="67">
        <f t="shared" si="1"/>
        <v>264005898</v>
      </c>
      <c r="H7" s="65">
        <v>4.8135373E8</v>
      </c>
      <c r="I7" s="67">
        <f t="shared" si="2"/>
        <v>96381415</v>
      </c>
      <c r="J7" s="68">
        <f t="shared" si="3"/>
        <v>4.132339021</v>
      </c>
      <c r="K7" s="68">
        <f t="shared" si="4"/>
        <v>0.2542645163</v>
      </c>
      <c r="L7" s="68">
        <f t="shared" si="5"/>
        <v>0.8377078109</v>
      </c>
      <c r="M7" s="68">
        <f t="shared" si="6"/>
        <v>1.457183432</v>
      </c>
      <c r="N7" s="68">
        <f t="shared" si="7"/>
        <v>2.29463121</v>
      </c>
      <c r="O7" s="67">
        <f t="shared" si="8"/>
        <v>475441051</v>
      </c>
      <c r="P7" s="77">
        <f t="shared" si="9"/>
        <v>552626715.8</v>
      </c>
      <c r="Q7" s="77">
        <f t="shared" si="16"/>
        <v>114.76161</v>
      </c>
      <c r="R7" s="69">
        <f t="shared" si="11"/>
        <v>0.9877165614</v>
      </c>
      <c r="S7" s="69">
        <f t="shared" si="12"/>
        <v>1.148067796</v>
      </c>
      <c r="T7" s="25">
        <f t="shared" si="13"/>
        <v>379059636</v>
      </c>
      <c r="U7" s="11">
        <f t="shared" si="14"/>
        <v>0.7874866494</v>
      </c>
      <c r="V7" s="11">
        <f t="shared" ref="V7:V8" si="18">2*(log(P7)-log(H7))</f>
        <v>0.1199350697</v>
      </c>
    </row>
    <row r="8">
      <c r="A8" s="79" t="s">
        <v>161</v>
      </c>
      <c r="B8" s="80">
        <f t="shared" ref="B8:F8" si="17">SUM(B2:B7)</f>
        <v>2987539</v>
      </c>
      <c r="C8" s="80">
        <f t="shared" si="17"/>
        <v>2492117974</v>
      </c>
      <c r="D8" s="81">
        <f t="shared" si="17"/>
        <v>142916984</v>
      </c>
      <c r="E8" s="80">
        <f t="shared" si="17"/>
        <v>46715086</v>
      </c>
      <c r="F8" s="80">
        <f t="shared" si="17"/>
        <v>669127197</v>
      </c>
      <c r="G8" s="80">
        <f t="shared" si="1"/>
        <v>2681750044</v>
      </c>
      <c r="H8" s="82">
        <f>SUM(H2:H7)</f>
        <v>4304020897</v>
      </c>
      <c r="I8" s="80">
        <f t="shared" si="2"/>
        <v>906428570</v>
      </c>
      <c r="J8" s="83">
        <f t="shared" si="3"/>
        <v>6.362476118</v>
      </c>
      <c r="K8" s="83">
        <f t="shared" si="4"/>
        <v>0.2705048573</v>
      </c>
      <c r="L8" s="83">
        <f t="shared" si="5"/>
        <v>1.354643144</v>
      </c>
      <c r="M8" s="83"/>
      <c r="N8" s="83">
        <f t="shared" si="7"/>
        <v>4.007832974</v>
      </c>
      <c r="O8" s="80">
        <f t="shared" si="8"/>
        <v>4257305811</v>
      </c>
      <c r="P8" s="77">
        <f t="shared" si="9"/>
        <v>3397592327</v>
      </c>
      <c r="Q8" s="81">
        <f>((((I8*10.12)/60)/12)/24)/365</f>
        <v>1454.378667</v>
      </c>
      <c r="R8" s="84">
        <f t="shared" si="11"/>
        <v>0.9891461758</v>
      </c>
      <c r="S8" s="85">
        <f>AVERAGE(S2:S7)</f>
        <v>1.029183689</v>
      </c>
      <c r="T8" s="25">
        <f t="shared" si="13"/>
        <v>3350877241</v>
      </c>
      <c r="U8" s="11">
        <f t="shared" si="14"/>
        <v>0.7785457648</v>
      </c>
      <c r="V8" s="11">
        <f t="shared" si="18"/>
        <v>-0.2054062081</v>
      </c>
    </row>
    <row r="9">
      <c r="A9" s="71" t="s">
        <v>162</v>
      </c>
      <c r="B9" s="68"/>
      <c r="C9" s="68"/>
      <c r="D9" s="68"/>
      <c r="E9" s="68"/>
      <c r="F9" s="68"/>
      <c r="G9" s="68"/>
      <c r="H9" s="65"/>
      <c r="I9" s="68"/>
      <c r="J9" s="68"/>
      <c r="K9" s="68"/>
      <c r="L9" s="68"/>
      <c r="M9" s="68"/>
      <c r="N9" s="68"/>
      <c r="O9" s="68"/>
      <c r="P9" s="68"/>
      <c r="Q9" s="77">
        <f>((((I8*10.12)*1000)/(H120*1000))/60)/24</f>
        <v>392.3931189</v>
      </c>
      <c r="R9" s="69">
        <f t="shared" ref="R9:S9" si="19">STDEV(R2:R7)</f>
        <v>0.005494254312</v>
      </c>
      <c r="S9" s="69">
        <f t="shared" si="19"/>
        <v>0.06766370892</v>
      </c>
    </row>
    <row r="10">
      <c r="A10" s="68"/>
      <c r="B10" s="68"/>
      <c r="C10" s="68"/>
      <c r="D10" s="68"/>
      <c r="E10" s="68"/>
      <c r="F10" s="68"/>
      <c r="G10" s="68"/>
      <c r="H10" s="65"/>
      <c r="I10" s="16">
        <f>(I8*1000)/1000000</f>
        <v>906428.57</v>
      </c>
      <c r="J10" s="68">
        <v>906428.57</v>
      </c>
      <c r="K10" s="68"/>
      <c r="L10" s="68"/>
      <c r="M10" s="68"/>
      <c r="N10" s="68"/>
      <c r="O10" s="68"/>
      <c r="P10" s="68"/>
      <c r="Q10" s="14" t="s">
        <v>163</v>
      </c>
      <c r="R10" s="69"/>
      <c r="S10" s="69"/>
    </row>
    <row r="11">
      <c r="A11" s="68"/>
      <c r="B11" s="68"/>
      <c r="C11" s="68"/>
      <c r="D11" s="68"/>
      <c r="E11" s="68"/>
      <c r="F11" s="68"/>
      <c r="G11" s="68"/>
      <c r="H11" s="65"/>
      <c r="I11" s="68"/>
      <c r="J11" s="68"/>
      <c r="K11" s="68"/>
      <c r="L11" s="68">
        <f>STDEV(L2:L7)*100</f>
        <v>35.51055043</v>
      </c>
      <c r="M11" s="68"/>
      <c r="N11" s="68"/>
      <c r="O11" s="68"/>
      <c r="P11" s="68"/>
      <c r="Q11" s="69"/>
      <c r="R11" s="69"/>
      <c r="S11" s="69"/>
    </row>
    <row r="12">
      <c r="A12" s="68"/>
      <c r="B12" s="86" t="s">
        <v>121</v>
      </c>
      <c r="C12" s="86" t="s">
        <v>36</v>
      </c>
      <c r="D12" s="86" t="s">
        <v>38</v>
      </c>
      <c r="E12" s="86" t="s">
        <v>49</v>
      </c>
      <c r="F12" s="68"/>
      <c r="G12" s="68"/>
      <c r="H12" s="68"/>
      <c r="I12" s="86" t="s">
        <v>121</v>
      </c>
      <c r="J12" s="86" t="s">
        <v>36</v>
      </c>
      <c r="K12" s="86" t="s">
        <v>38</v>
      </c>
      <c r="L12" s="86" t="s">
        <v>49</v>
      </c>
      <c r="M12" s="70"/>
      <c r="N12" s="68"/>
      <c r="O12" s="14" t="s">
        <v>164</v>
      </c>
    </row>
    <row r="13">
      <c r="A13" s="78" t="s">
        <v>121</v>
      </c>
      <c r="B13" s="14">
        <v>1.0</v>
      </c>
      <c r="C13" s="68"/>
      <c r="D13" s="68"/>
      <c r="E13" s="68"/>
      <c r="F13" s="68"/>
      <c r="G13" s="68"/>
      <c r="H13" s="78" t="s">
        <v>121</v>
      </c>
      <c r="I13" s="68"/>
      <c r="J13" s="68"/>
      <c r="K13" s="68"/>
      <c r="L13" s="68"/>
      <c r="M13" s="68"/>
      <c r="N13" s="68"/>
      <c r="O13" s="69">
        <f>R8</f>
        <v>0.9891461758</v>
      </c>
    </row>
    <row r="14">
      <c r="A14" s="78" t="s">
        <v>36</v>
      </c>
      <c r="B14" s="68">
        <f>pearson(K2:K7,J2:J7)</f>
        <v>-0.8122869438</v>
      </c>
      <c r="C14" s="14">
        <v>1.0</v>
      </c>
      <c r="D14" s="68"/>
      <c r="E14" s="68"/>
      <c r="F14" s="68"/>
      <c r="G14" s="68"/>
      <c r="H14" s="78" t="s">
        <v>36</v>
      </c>
      <c r="I14" s="14">
        <v>2.782</v>
      </c>
      <c r="J14" s="68"/>
      <c r="K14" s="68"/>
      <c r="L14" s="68"/>
      <c r="M14" s="68"/>
      <c r="N14" s="68">
        <f>(J8/12)/30</f>
        <v>0.01767354477</v>
      </c>
      <c r="O14" s="68"/>
      <c r="P14" s="68"/>
      <c r="Q14" s="68"/>
      <c r="R14" s="68"/>
      <c r="S14" s="68"/>
    </row>
    <row r="15">
      <c r="A15" s="78" t="s">
        <v>38</v>
      </c>
      <c r="B15" s="68">
        <f>pearson(J2:J7,L2:L7)</f>
        <v>0.2015186124</v>
      </c>
      <c r="C15" s="68">
        <f>pearson(K2:K7,L2:L7)</f>
        <v>0.08950001624</v>
      </c>
      <c r="D15" s="14">
        <v>1.0</v>
      </c>
      <c r="E15" s="68"/>
      <c r="F15" s="68"/>
      <c r="G15" s="68"/>
      <c r="H15" s="78" t="s">
        <v>38</v>
      </c>
      <c r="I15" s="14">
        <v>0.41</v>
      </c>
      <c r="J15" s="14">
        <v>0.179</v>
      </c>
      <c r="K15" s="68"/>
      <c r="L15" s="68"/>
      <c r="M15" s="68"/>
      <c r="N15" s="68"/>
      <c r="O15" s="68"/>
      <c r="P15" s="68"/>
      <c r="Q15" s="68"/>
      <c r="R15" s="68"/>
      <c r="S15" s="68"/>
    </row>
    <row r="16">
      <c r="A16" s="78" t="s">
        <v>49</v>
      </c>
      <c r="B16" s="68">
        <f>pearson(J2:J7,N2:N7)</f>
        <v>0.9899066112</v>
      </c>
      <c r="C16" s="68">
        <f>pearson(N2:N7,K2:K7)</f>
        <v>-0.8407223038</v>
      </c>
      <c r="D16" s="68">
        <f>pearson(L2:L7,N2:N7)</f>
        <v>0.06067085304</v>
      </c>
      <c r="E16" s="14">
        <v>1.0</v>
      </c>
      <c r="H16" s="78" t="s">
        <v>49</v>
      </c>
      <c r="I16" s="14">
        <v>13.37</v>
      </c>
      <c r="J16" s="14">
        <v>3.09</v>
      </c>
      <c r="K16" s="14">
        <v>0.12</v>
      </c>
      <c r="L16" s="68"/>
      <c r="M16" s="68"/>
    </row>
    <row r="17">
      <c r="A17" s="35" t="s">
        <v>165</v>
      </c>
      <c r="H17" s="35" t="s">
        <v>166</v>
      </c>
      <c r="M17" s="35"/>
    </row>
    <row r="19">
      <c r="B19" s="4" t="s">
        <v>167</v>
      </c>
    </row>
    <row r="20">
      <c r="A20" s="4" t="s">
        <v>168</v>
      </c>
      <c r="B20" s="4" t="s">
        <v>169</v>
      </c>
      <c r="O20" s="87">
        <v>1.0</v>
      </c>
      <c r="P20" s="87"/>
      <c r="Q20" s="4">
        <v>10.12</v>
      </c>
    </row>
    <row r="21">
      <c r="A21" s="4" t="s">
        <v>170</v>
      </c>
      <c r="B21" s="4" t="s">
        <v>169</v>
      </c>
      <c r="O21" s="4" t="s">
        <v>171</v>
      </c>
      <c r="P21" s="4"/>
      <c r="Q21" s="4" t="s">
        <v>172</v>
      </c>
    </row>
    <row r="22">
      <c r="A22" s="4" t="s">
        <v>173</v>
      </c>
      <c r="B22" s="4" t="s">
        <v>169</v>
      </c>
      <c r="J22" s="12">
        <f>Q9-(4*4*(12-3))</f>
        <v>248.3931189</v>
      </c>
      <c r="K22" s="11">
        <f>(4*5)*11</f>
        <v>220</v>
      </c>
      <c r="O22" s="4" t="s">
        <v>174</v>
      </c>
      <c r="P22" s="4"/>
      <c r="Q22" s="4" t="s">
        <v>175</v>
      </c>
    </row>
    <row r="23">
      <c r="A23" s="4" t="s">
        <v>176</v>
      </c>
      <c r="B23" s="4" t="s">
        <v>177</v>
      </c>
      <c r="K23" s="11">
        <f>(4*4*9)</f>
        <v>144</v>
      </c>
      <c r="O23" s="4" t="s">
        <v>178</v>
      </c>
      <c r="P23" s="4"/>
      <c r="Q23" s="4" t="s">
        <v>179</v>
      </c>
    </row>
    <row r="24">
      <c r="A24" s="4" t="s">
        <v>180</v>
      </c>
      <c r="B24" s="4" t="s">
        <v>169</v>
      </c>
      <c r="K24" s="11">
        <f>K22-K23</f>
        <v>76</v>
      </c>
    </row>
    <row r="25">
      <c r="A25" s="4" t="s">
        <v>181</v>
      </c>
      <c r="K25" s="12">
        <f>Q9-K24</f>
        <v>316.3931189</v>
      </c>
    </row>
    <row r="30">
      <c r="A30" s="14" t="s">
        <v>182</v>
      </c>
      <c r="B30" s="14" t="s">
        <v>183</v>
      </c>
      <c r="C30" s="14" t="s">
        <v>147</v>
      </c>
      <c r="D30" s="14" t="s">
        <v>184</v>
      </c>
      <c r="E30" s="14" t="s">
        <v>185</v>
      </c>
    </row>
    <row r="31">
      <c r="A31" s="14">
        <v>1571.0</v>
      </c>
      <c r="B31" s="4">
        <v>2102.0</v>
      </c>
      <c r="C31" s="68">
        <f>0.1</f>
        <v>0.1</v>
      </c>
      <c r="D31" s="14">
        <v>80.0</v>
      </c>
      <c r="E31" s="14">
        <v>90.0</v>
      </c>
    </row>
    <row r="32">
      <c r="A32" s="14">
        <v>393.0</v>
      </c>
      <c r="B32" s="4">
        <v>526.0</v>
      </c>
      <c r="C32" s="68">
        <f t="shared" ref="C32:C40" si="20">C31+0.1</f>
        <v>0.2</v>
      </c>
      <c r="D32" s="14">
        <v>80.0</v>
      </c>
      <c r="E32" s="14">
        <v>90.0</v>
      </c>
    </row>
    <row r="33">
      <c r="A33" s="14">
        <v>175.0</v>
      </c>
      <c r="B33" s="4">
        <v>234.0</v>
      </c>
      <c r="C33" s="68">
        <f t="shared" si="20"/>
        <v>0.3</v>
      </c>
      <c r="D33" s="14">
        <v>80.0</v>
      </c>
      <c r="E33" s="14">
        <v>90.0</v>
      </c>
    </row>
    <row r="34">
      <c r="A34" s="14">
        <v>99.0</v>
      </c>
      <c r="B34" s="4">
        <v>132.0</v>
      </c>
      <c r="C34" s="68">
        <f t="shared" si="20"/>
        <v>0.4</v>
      </c>
      <c r="D34" s="14">
        <v>80.0</v>
      </c>
      <c r="E34" s="14">
        <v>90.0</v>
      </c>
    </row>
    <row r="35">
      <c r="A35" s="14">
        <v>63.0</v>
      </c>
      <c r="B35" s="4">
        <v>85.0</v>
      </c>
      <c r="C35" s="68">
        <f t="shared" si="20"/>
        <v>0.5</v>
      </c>
      <c r="D35" s="14">
        <v>80.0</v>
      </c>
      <c r="E35" s="14">
        <v>90.0</v>
      </c>
    </row>
    <row r="36">
      <c r="A36" s="14">
        <v>44.0</v>
      </c>
      <c r="B36" s="4">
        <v>59.0</v>
      </c>
      <c r="C36" s="68">
        <f t="shared" si="20"/>
        <v>0.6</v>
      </c>
      <c r="D36" s="14">
        <v>80.0</v>
      </c>
      <c r="E36" s="14">
        <v>90.0</v>
      </c>
    </row>
    <row r="37">
      <c r="A37" s="14">
        <v>33.0</v>
      </c>
      <c r="B37" s="4">
        <v>44.0</v>
      </c>
      <c r="C37" s="68">
        <f t="shared" si="20"/>
        <v>0.7</v>
      </c>
      <c r="D37" s="14">
        <v>80.0</v>
      </c>
      <c r="E37" s="14">
        <v>90.0</v>
      </c>
    </row>
    <row r="38">
      <c r="A38" s="14">
        <v>25.0</v>
      </c>
      <c r="B38" s="4">
        <v>34.0</v>
      </c>
      <c r="C38" s="68">
        <f t="shared" si="20"/>
        <v>0.8</v>
      </c>
      <c r="D38" s="14">
        <v>80.0</v>
      </c>
      <c r="E38" s="14">
        <v>90.0</v>
      </c>
    </row>
    <row r="39">
      <c r="A39" s="14">
        <v>20.0</v>
      </c>
      <c r="B39" s="4">
        <v>27.0</v>
      </c>
      <c r="C39" s="68">
        <f t="shared" si="20"/>
        <v>0.9</v>
      </c>
      <c r="D39" s="14">
        <v>80.0</v>
      </c>
      <c r="E39" s="14">
        <v>90.0</v>
      </c>
    </row>
    <row r="40">
      <c r="A40" s="14">
        <v>16.0</v>
      </c>
      <c r="B40" s="4">
        <v>22.0</v>
      </c>
      <c r="C40" s="68">
        <f t="shared" si="20"/>
        <v>1</v>
      </c>
      <c r="D40" s="14">
        <v>80.0</v>
      </c>
      <c r="E40" s="14">
        <v>90.0</v>
      </c>
    </row>
    <row r="41">
      <c r="A41" s="68"/>
      <c r="C41" s="68"/>
      <c r="D41" s="14"/>
      <c r="E41" s="14"/>
    </row>
    <row r="42">
      <c r="A42" s="68"/>
      <c r="C42" s="68"/>
      <c r="D42" s="14"/>
      <c r="E42" s="14"/>
    </row>
    <row r="43">
      <c r="A43" s="35" t="s">
        <v>186</v>
      </c>
      <c r="B43" s="35" t="s">
        <v>187</v>
      </c>
      <c r="C43" s="35" t="s">
        <v>188</v>
      </c>
      <c r="D43" s="14"/>
      <c r="E43" s="14"/>
    </row>
    <row r="44">
      <c r="A44" s="14">
        <v>5.0</v>
      </c>
      <c r="B44" s="14">
        <v>2.02</v>
      </c>
      <c r="C44" s="14">
        <v>2.347</v>
      </c>
      <c r="D44" s="14"/>
      <c r="E44" s="14"/>
    </row>
    <row r="45">
      <c r="A45" s="14">
        <f t="shared" ref="A45:A63" si="21">A44+5</f>
        <v>10</v>
      </c>
      <c r="B45" s="14">
        <v>1.32</v>
      </c>
      <c r="C45" s="14">
        <v>1.533</v>
      </c>
      <c r="D45" s="14"/>
      <c r="E45" s="14"/>
    </row>
    <row r="46">
      <c r="A46" s="14">
        <f t="shared" si="21"/>
        <v>15</v>
      </c>
      <c r="B46" s="14">
        <v>1.05</v>
      </c>
      <c r="C46" s="14">
        <v>1.22</v>
      </c>
      <c r="D46" s="14"/>
      <c r="E46" s="14"/>
    </row>
    <row r="47">
      <c r="A47" s="14">
        <f t="shared" si="21"/>
        <v>20</v>
      </c>
      <c r="B47" s="14">
        <v>0.909</v>
      </c>
      <c r="C47" s="14">
        <v>1.051</v>
      </c>
      <c r="D47" s="14"/>
      <c r="E47" s="14"/>
    </row>
    <row r="48">
      <c r="A48" s="14">
        <f t="shared" si="21"/>
        <v>25</v>
      </c>
      <c r="B48" s="14">
        <v>0.808</v>
      </c>
      <c r="C48" s="14">
        <v>0.935</v>
      </c>
      <c r="D48" s="14"/>
      <c r="E48" s="14"/>
    </row>
    <row r="49">
      <c r="A49" s="14">
        <f t="shared" si="21"/>
        <v>30</v>
      </c>
      <c r="B49" s="14">
        <v>0.735</v>
      </c>
      <c r="C49" s="14">
        <v>0.851</v>
      </c>
      <c r="D49" s="14"/>
      <c r="E49" s="14"/>
    </row>
    <row r="50">
      <c r="A50" s="14">
        <f t="shared" si="21"/>
        <v>35</v>
      </c>
      <c r="B50" s="14">
        <v>0.679</v>
      </c>
      <c r="C50" s="14">
        <v>0.786</v>
      </c>
      <c r="D50" s="14"/>
      <c r="E50" s="14"/>
    </row>
    <row r="51">
      <c r="A51" s="14">
        <f t="shared" si="21"/>
        <v>40</v>
      </c>
      <c r="B51" s="14">
        <v>0.634</v>
      </c>
      <c r="C51" s="14">
        <v>0.733</v>
      </c>
      <c r="D51" s="14"/>
      <c r="E51" s="14"/>
    </row>
    <row r="52">
      <c r="A52" s="14">
        <f t="shared" si="21"/>
        <v>45</v>
      </c>
      <c r="B52" s="14">
        <v>0.597</v>
      </c>
      <c r="C52" s="14">
        <v>0.69</v>
      </c>
      <c r="D52" s="14"/>
      <c r="E52" s="14"/>
    </row>
    <row r="53">
      <c r="A53" s="14">
        <f t="shared" si="21"/>
        <v>50</v>
      </c>
      <c r="B53" s="14">
        <v>0.565</v>
      </c>
      <c r="C53" s="14">
        <v>0.654</v>
      </c>
      <c r="D53" s="14"/>
      <c r="E53" s="14"/>
    </row>
    <row r="54">
      <c r="A54" s="14">
        <f t="shared" si="21"/>
        <v>55</v>
      </c>
      <c r="B54" s="14">
        <v>0.539</v>
      </c>
      <c r="C54" s="14">
        <v>0.623</v>
      </c>
      <c r="D54" s="14"/>
      <c r="E54" s="14"/>
    </row>
    <row r="55">
      <c r="A55" s="14">
        <f t="shared" si="21"/>
        <v>60</v>
      </c>
      <c r="B55" s="14">
        <v>0.515</v>
      </c>
      <c r="C55" s="14">
        <v>0.596</v>
      </c>
      <c r="D55" s="14"/>
      <c r="E55" s="14"/>
    </row>
    <row r="56">
      <c r="A56" s="14">
        <f t="shared" si="21"/>
        <v>65</v>
      </c>
      <c r="B56" s="14">
        <v>0.495</v>
      </c>
      <c r="C56" s="14">
        <v>0.572</v>
      </c>
      <c r="D56" s="14"/>
      <c r="E56" s="14"/>
    </row>
    <row r="57">
      <c r="A57" s="14">
        <f t="shared" si="21"/>
        <v>70</v>
      </c>
      <c r="B57" s="14">
        <v>0.476</v>
      </c>
      <c r="C57" s="14">
        <v>0.551</v>
      </c>
      <c r="D57" s="14"/>
      <c r="E57" s="14"/>
    </row>
    <row r="58">
      <c r="A58" s="14">
        <f t="shared" si="21"/>
        <v>75</v>
      </c>
      <c r="B58" s="14">
        <v>0.46</v>
      </c>
      <c r="C58" s="14">
        <v>0.532</v>
      </c>
      <c r="D58" s="14"/>
      <c r="E58" s="14"/>
    </row>
    <row r="59">
      <c r="A59" s="14">
        <f t="shared" si="21"/>
        <v>80</v>
      </c>
      <c r="B59" s="14">
        <v>0.44</v>
      </c>
      <c r="C59" s="14">
        <v>0.515</v>
      </c>
      <c r="D59" s="14"/>
      <c r="E59" s="14"/>
    </row>
    <row r="60">
      <c r="A60" s="14">
        <f t="shared" si="21"/>
        <v>85</v>
      </c>
      <c r="B60" s="14">
        <v>0.432</v>
      </c>
      <c r="C60" s="14">
        <v>0.5</v>
      </c>
      <c r="D60" s="14"/>
      <c r="E60" s="14"/>
    </row>
    <row r="61">
      <c r="A61" s="14">
        <f t="shared" si="21"/>
        <v>90</v>
      </c>
      <c r="B61" s="14">
        <v>0.419</v>
      </c>
      <c r="C61" s="14">
        <v>0.485</v>
      </c>
      <c r="D61" s="14"/>
      <c r="E61" s="14"/>
    </row>
    <row r="62">
      <c r="A62" s="14">
        <f t="shared" si="21"/>
        <v>95</v>
      </c>
      <c r="B62" s="14">
        <v>0.408</v>
      </c>
      <c r="C62" s="14">
        <v>0.472</v>
      </c>
      <c r="D62" s="14"/>
      <c r="E62" s="14"/>
    </row>
    <row r="63">
      <c r="A63" s="14">
        <f t="shared" si="21"/>
        <v>100</v>
      </c>
      <c r="B63" s="14">
        <v>0.398</v>
      </c>
      <c r="C63" s="14">
        <v>0.46</v>
      </c>
      <c r="D63" s="14"/>
      <c r="E63" s="14"/>
    </row>
    <row r="64">
      <c r="A64" s="68"/>
      <c r="C64" s="68"/>
      <c r="D64" s="14"/>
      <c r="E64" s="14"/>
    </row>
    <row r="65">
      <c r="A65" s="68"/>
      <c r="C65" s="68"/>
      <c r="D65" s="14"/>
      <c r="E65" s="14"/>
    </row>
    <row r="66">
      <c r="A66" s="68"/>
      <c r="C66" s="68"/>
      <c r="D66" s="14"/>
      <c r="E66" s="14"/>
    </row>
    <row r="67">
      <c r="A67" s="68"/>
      <c r="C67" s="68"/>
      <c r="D67" s="14"/>
      <c r="E67" s="14"/>
    </row>
    <row r="68">
      <c r="A68" s="68"/>
      <c r="C68" s="68"/>
      <c r="D68" s="14"/>
      <c r="E68" s="14"/>
    </row>
    <row r="69">
      <c r="A69" s="35"/>
      <c r="B69" s="35" t="s">
        <v>186</v>
      </c>
      <c r="C69" s="35" t="s">
        <v>189</v>
      </c>
      <c r="D69" s="35" t="s">
        <v>190</v>
      </c>
      <c r="E69" s="35" t="s">
        <v>191</v>
      </c>
      <c r="F69" s="68"/>
      <c r="G69" s="68"/>
      <c r="H69" s="68"/>
      <c r="I69" s="68"/>
      <c r="J69" s="68"/>
      <c r="K69" s="68"/>
      <c r="L69" s="68"/>
      <c r="M69" s="68"/>
    </row>
    <row r="70">
      <c r="A70" s="14"/>
      <c r="B70" s="14">
        <v>5.0</v>
      </c>
      <c r="C70" s="14">
        <v>0.051</v>
      </c>
      <c r="D70" s="14">
        <v>0.098</v>
      </c>
      <c r="E70" s="14">
        <v>0.183</v>
      </c>
    </row>
    <row r="71">
      <c r="A71" s="68"/>
      <c r="B71" s="14">
        <f t="shared" ref="B71:B89" si="22">B70+5</f>
        <v>10</v>
      </c>
      <c r="C71" s="14">
        <v>0.067</v>
      </c>
      <c r="D71" s="14">
        <v>0.182</v>
      </c>
      <c r="E71" s="14">
        <v>0.39</v>
      </c>
    </row>
    <row r="72">
      <c r="A72" s="68"/>
      <c r="B72" s="14">
        <f t="shared" si="22"/>
        <v>15</v>
      </c>
      <c r="C72" s="14">
        <v>0.082</v>
      </c>
      <c r="D72" s="14">
        <v>0.259</v>
      </c>
      <c r="E72" s="14">
        <v>0.56</v>
      </c>
    </row>
    <row r="73">
      <c r="A73" s="68"/>
      <c r="B73" s="14">
        <f t="shared" si="22"/>
        <v>20</v>
      </c>
      <c r="C73" s="14">
        <v>0.094</v>
      </c>
      <c r="D73" s="14">
        <v>0.338</v>
      </c>
      <c r="E73" s="14">
        <v>0.693</v>
      </c>
    </row>
    <row r="74">
      <c r="A74" s="68"/>
      <c r="B74" s="14">
        <f t="shared" si="22"/>
        <v>25</v>
      </c>
      <c r="C74" s="14">
        <v>0.107</v>
      </c>
      <c r="D74" s="14">
        <v>0.41</v>
      </c>
      <c r="E74" s="14">
        <v>0.79</v>
      </c>
    </row>
    <row r="75">
      <c r="A75" s="68"/>
      <c r="B75" s="14">
        <f t="shared" si="22"/>
        <v>30</v>
      </c>
      <c r="C75" s="14">
        <v>0.119</v>
      </c>
      <c r="D75" s="14">
        <v>0.477</v>
      </c>
      <c r="E75" s="14">
        <v>0.858</v>
      </c>
    </row>
    <row r="76">
      <c r="A76" s="68"/>
      <c r="B76" s="14">
        <f t="shared" si="22"/>
        <v>35</v>
      </c>
      <c r="C76" s="14">
        <v>0.13</v>
      </c>
      <c r="D76" s="14">
        <v>0.542</v>
      </c>
      <c r="E76" s="14">
        <v>0.909</v>
      </c>
    </row>
    <row r="77">
      <c r="A77" s="68"/>
      <c r="B77" s="14">
        <f t="shared" si="22"/>
        <v>40</v>
      </c>
      <c r="C77" s="14">
        <v>0.142</v>
      </c>
      <c r="D77" s="14">
        <v>0.6</v>
      </c>
      <c r="E77" s="14">
        <v>0.942</v>
      </c>
    </row>
    <row r="78">
      <c r="A78" s="68"/>
      <c r="B78" s="14">
        <f t="shared" si="22"/>
        <v>45</v>
      </c>
      <c r="C78" s="14">
        <v>0.159</v>
      </c>
      <c r="D78" s="14">
        <v>0.651</v>
      </c>
      <c r="E78" s="14">
        <v>0.963</v>
      </c>
    </row>
    <row r="79">
      <c r="A79" s="68"/>
      <c r="B79" s="14">
        <f t="shared" si="22"/>
        <v>50</v>
      </c>
      <c r="C79" s="14">
        <v>0.174</v>
      </c>
      <c r="D79" s="14">
        <v>0.69</v>
      </c>
      <c r="E79" s="14">
        <v>0.979</v>
      </c>
    </row>
    <row r="80">
      <c r="A80" s="68"/>
      <c r="B80" s="14">
        <f t="shared" si="22"/>
        <v>55</v>
      </c>
      <c r="C80" s="14">
        <v>0.179</v>
      </c>
      <c r="D80" s="14">
        <v>0.738</v>
      </c>
      <c r="E80" s="14">
        <v>0.986</v>
      </c>
    </row>
    <row r="81">
      <c r="A81" s="68"/>
      <c r="B81" s="14">
        <f t="shared" si="22"/>
        <v>60</v>
      </c>
      <c r="C81" s="14">
        <v>0.183</v>
      </c>
      <c r="D81" s="14">
        <v>0.774</v>
      </c>
      <c r="E81" s="14">
        <v>0.991</v>
      </c>
    </row>
    <row r="82">
      <c r="A82" s="68"/>
      <c r="B82" s="14">
        <f t="shared" si="22"/>
        <v>65</v>
      </c>
      <c r="C82" s="14">
        <v>0.2</v>
      </c>
      <c r="D82" s="14">
        <v>0.801</v>
      </c>
      <c r="E82" s="14">
        <v>0.995</v>
      </c>
    </row>
    <row r="83">
      <c r="A83" s="68"/>
      <c r="B83" s="14">
        <f t="shared" si="22"/>
        <v>70</v>
      </c>
      <c r="C83" s="14">
        <v>0.211</v>
      </c>
      <c r="D83" s="14">
        <v>0.845</v>
      </c>
      <c r="E83" s="14">
        <v>0.997</v>
      </c>
    </row>
    <row r="84">
      <c r="A84" s="68"/>
      <c r="B84" s="14">
        <f t="shared" si="22"/>
        <v>75</v>
      </c>
      <c r="C84" s="14">
        <v>0.231</v>
      </c>
      <c r="D84" s="14">
        <v>0.865</v>
      </c>
      <c r="E84" s="14">
        <v>0.998</v>
      </c>
    </row>
    <row r="85">
      <c r="A85" s="68"/>
      <c r="B85" s="14">
        <f t="shared" si="22"/>
        <v>80</v>
      </c>
      <c r="C85" s="14">
        <v>0.24</v>
      </c>
      <c r="D85" s="14">
        <v>0.882</v>
      </c>
      <c r="E85" s="14">
        <v>0.999</v>
      </c>
    </row>
    <row r="86">
      <c r="A86" s="68"/>
      <c r="B86" s="14">
        <f t="shared" si="22"/>
        <v>85</v>
      </c>
      <c r="C86" s="14">
        <v>0.251</v>
      </c>
      <c r="D86" s="14">
        <v>0.898</v>
      </c>
      <c r="E86" s="14">
        <v>0.999</v>
      </c>
    </row>
    <row r="87">
      <c r="A87" s="68"/>
      <c r="B87" s="14">
        <f t="shared" si="22"/>
        <v>90</v>
      </c>
      <c r="C87" s="14">
        <v>0.27</v>
      </c>
      <c r="D87" s="14">
        <v>0.918</v>
      </c>
      <c r="E87" s="14">
        <v>1.0</v>
      </c>
    </row>
    <row r="88">
      <c r="A88" s="68"/>
      <c r="B88" s="14">
        <f t="shared" si="22"/>
        <v>95</v>
      </c>
      <c r="C88" s="14">
        <v>0.274</v>
      </c>
      <c r="D88" s="14">
        <v>0.932</v>
      </c>
      <c r="E88" s="14">
        <v>1.0</v>
      </c>
    </row>
    <row r="89">
      <c r="A89" s="68"/>
      <c r="B89" s="14">
        <f t="shared" si="22"/>
        <v>100</v>
      </c>
      <c r="C89" s="14">
        <v>0.292</v>
      </c>
      <c r="D89" s="14">
        <v>0.943</v>
      </c>
      <c r="E89" s="14">
        <v>1.0</v>
      </c>
    </row>
    <row r="90">
      <c r="A90" s="68"/>
      <c r="C90" s="68"/>
      <c r="D90" s="14"/>
      <c r="E90" s="14"/>
    </row>
    <row r="91">
      <c r="A91" s="68"/>
      <c r="C91" s="68"/>
      <c r="D91" s="14"/>
      <c r="E91" s="14"/>
    </row>
    <row r="92">
      <c r="A92" s="68"/>
      <c r="C92" s="68"/>
      <c r="D92" s="14"/>
      <c r="E92" s="14"/>
    </row>
    <row r="93">
      <c r="A93" s="68"/>
      <c r="C93" s="68"/>
      <c r="D93" s="14"/>
      <c r="E93" s="14"/>
    </row>
    <row r="94">
      <c r="A94" s="68"/>
      <c r="C94" s="68"/>
      <c r="D94" s="14"/>
      <c r="E94" s="14"/>
    </row>
    <row r="95">
      <c r="A95" s="68"/>
      <c r="C95" s="68"/>
      <c r="D95" s="14"/>
      <c r="E95" s="14"/>
    </row>
    <row r="96">
      <c r="A96" s="68"/>
      <c r="C96" s="68"/>
      <c r="D96" s="14"/>
      <c r="E96" s="14"/>
    </row>
    <row r="97">
      <c r="A97" s="68"/>
      <c r="C97" s="68"/>
      <c r="D97" s="14"/>
      <c r="E97" s="14"/>
    </row>
    <row r="98">
      <c r="A98" s="68"/>
      <c r="C98" s="68"/>
      <c r="D98" s="14"/>
      <c r="E98" s="14"/>
    </row>
    <row r="99">
      <c r="A99" s="68"/>
      <c r="C99" s="68"/>
      <c r="D99" s="14"/>
      <c r="E99" s="14"/>
    </row>
    <row r="100">
      <c r="A100" s="68"/>
      <c r="B100" s="72" t="s">
        <v>164</v>
      </c>
      <c r="C100" s="73"/>
      <c r="D100" s="73"/>
      <c r="E100" s="74"/>
    </row>
    <row r="101">
      <c r="A101" s="68"/>
      <c r="B101" s="75">
        <f>R8</f>
        <v>0.9891461758</v>
      </c>
      <c r="C101" s="73"/>
      <c r="D101" s="73"/>
      <c r="E101" s="74"/>
    </row>
    <row r="102">
      <c r="A102" s="68"/>
      <c r="C102" s="68"/>
      <c r="D102" s="14"/>
      <c r="E102" s="14"/>
    </row>
    <row r="103">
      <c r="A103" s="68"/>
      <c r="B103" s="76" t="s">
        <v>192</v>
      </c>
      <c r="C103" s="73"/>
      <c r="D103" s="73"/>
      <c r="E103" s="74"/>
    </row>
    <row r="104">
      <c r="A104" s="68"/>
      <c r="B104" s="75">
        <f>L8</f>
        <v>1.354643144</v>
      </c>
      <c r="C104" s="73"/>
      <c r="D104" s="73"/>
      <c r="E104" s="74"/>
    </row>
    <row r="105">
      <c r="A105" s="68"/>
      <c r="C105" s="68"/>
      <c r="D105" s="14"/>
      <c r="E105" s="14"/>
    </row>
    <row r="106">
      <c r="A106" s="68"/>
      <c r="B106" s="76" t="s">
        <v>193</v>
      </c>
      <c r="C106" s="73"/>
      <c r="D106" s="73"/>
      <c r="E106" s="74"/>
    </row>
    <row r="107">
      <c r="A107" s="68"/>
      <c r="B107" s="75">
        <f>K8</f>
        <v>0.2705048573</v>
      </c>
      <c r="C107" s="73"/>
      <c r="D107" s="73"/>
      <c r="E107" s="74"/>
    </row>
    <row r="108">
      <c r="A108" s="68"/>
      <c r="C108" s="68"/>
      <c r="D108" s="14"/>
      <c r="E108" s="14"/>
      <c r="H108" s="11">
        <f>LOG(H2)-log(F2)-log(G2)-log(E2)</f>
        <v>-15.7155739</v>
      </c>
    </row>
    <row r="109">
      <c r="A109" s="68"/>
      <c r="C109" s="68"/>
      <c r="D109" s="14"/>
      <c r="E109" s="14"/>
      <c r="H109" s="4" t="s">
        <v>194</v>
      </c>
    </row>
    <row r="110">
      <c r="A110" s="68"/>
      <c r="C110" s="68"/>
      <c r="D110" s="14"/>
      <c r="E110" s="14"/>
    </row>
    <row r="115">
      <c r="C115" s="71" t="s">
        <v>195</v>
      </c>
    </row>
    <row r="116">
      <c r="D116" s="35" t="s">
        <v>196</v>
      </c>
    </row>
    <row r="117">
      <c r="D117" s="35" t="s">
        <v>197</v>
      </c>
    </row>
    <row r="118">
      <c r="D118" s="35" t="s">
        <v>198</v>
      </c>
      <c r="E118" s="35" t="s">
        <v>199</v>
      </c>
      <c r="F118" s="35" t="s">
        <v>200</v>
      </c>
      <c r="G118" s="35" t="s">
        <v>201</v>
      </c>
    </row>
    <row r="119">
      <c r="C119" s="35" t="s">
        <v>202</v>
      </c>
    </row>
    <row r="120">
      <c r="C120" s="35" t="s">
        <v>203</v>
      </c>
      <c r="D120" s="22">
        <v>16453.6</v>
      </c>
      <c r="E120" s="22">
        <v>16433.6</v>
      </c>
      <c r="F120" s="22">
        <v>16257.3</v>
      </c>
      <c r="G120" s="22">
        <v>15792.2</v>
      </c>
      <c r="H120" s="12">
        <f>AVERAGE(D120:G120)</f>
        <v>16234.175</v>
      </c>
    </row>
  </sheetData>
  <mergeCells count="14">
    <mergeCell ref="B104:E104"/>
    <mergeCell ref="B106:E106"/>
    <mergeCell ref="B107:E107"/>
    <mergeCell ref="C116:C118"/>
    <mergeCell ref="D116:G116"/>
    <mergeCell ref="D117:G117"/>
    <mergeCell ref="C119:G119"/>
    <mergeCell ref="O12:U12"/>
    <mergeCell ref="O13:U13"/>
    <mergeCell ref="A17:E17"/>
    <mergeCell ref="H17:L17"/>
    <mergeCell ref="B100:E100"/>
    <mergeCell ref="B101:E101"/>
    <mergeCell ref="B103:E103"/>
  </mergeCells>
  <hyperlinks>
    <hyperlink r:id="rId1" ref="A9"/>
    <hyperlink r:id="rId2" location="tabs-mapa" ref="C115"/>
  </hyperlink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1.0"/>
    <col customWidth="1" min="3" max="3" width="13.63"/>
    <col customWidth="1" min="4" max="4" width="16.0"/>
    <col customWidth="1" min="5" max="5" width="9.5"/>
    <col customWidth="1" min="6" max="6" width="11.63"/>
    <col customWidth="1" min="7" max="7" width="11.75"/>
    <col customWidth="1" min="14" max="14" width="15.63"/>
  </cols>
  <sheetData>
    <row r="1">
      <c r="A1" s="63"/>
      <c r="B1" s="27" t="s">
        <v>119</v>
      </c>
      <c r="C1" s="28" t="s">
        <v>42</v>
      </c>
      <c r="D1" s="28" t="s">
        <v>43</v>
      </c>
      <c r="E1" s="28" t="s">
        <v>44</v>
      </c>
      <c r="F1" s="28" t="s">
        <v>45</v>
      </c>
      <c r="G1" s="28" t="s">
        <v>46</v>
      </c>
      <c r="H1" s="27" t="s">
        <v>120</v>
      </c>
      <c r="I1" s="28" t="s">
        <v>37</v>
      </c>
      <c r="J1" s="27" t="s">
        <v>121</v>
      </c>
      <c r="K1" s="28" t="s">
        <v>36</v>
      </c>
      <c r="L1" s="28" t="s">
        <v>38</v>
      </c>
      <c r="M1" s="28" t="s">
        <v>49</v>
      </c>
      <c r="N1" s="27" t="s">
        <v>122</v>
      </c>
      <c r="O1" s="27" t="s">
        <v>123</v>
      </c>
      <c r="P1" s="28" t="s">
        <v>51</v>
      </c>
    </row>
    <row r="2">
      <c r="A2" s="64" t="s">
        <v>204</v>
      </c>
      <c r="B2" s="23">
        <v>1650789.0</v>
      </c>
      <c r="C2" s="23">
        <v>1.137952678E9</v>
      </c>
      <c r="D2" s="77">
        <f>78243309+28919171</f>
        <v>107162480</v>
      </c>
      <c r="E2" s="23">
        <v>1.5378612E7</v>
      </c>
      <c r="F2" s="23">
        <v>3.41990414E8</v>
      </c>
      <c r="G2" s="67">
        <f t="shared" ref="G2:G5" si="1">C2+D2+E2</f>
        <v>1260493770</v>
      </c>
      <c r="H2" s="23">
        <v>2.022744375E9</v>
      </c>
      <c r="I2" s="67">
        <f t="shared" ref="I2:I5" si="2">H2-F2-G2-E2</f>
        <v>404881579</v>
      </c>
      <c r="J2" s="68">
        <f t="shared" ref="J2:J5" si="3">1+M2+L2</f>
        <v>5.869655057</v>
      </c>
      <c r="K2" s="68">
        <f t="shared" ref="K2:K5" si="4">I2/(F2+G2)</f>
        <v>0.2526587052</v>
      </c>
      <c r="L2" s="68">
        <f t="shared" ref="L2:L5" si="5">I2/F2</f>
        <v>1.18389745</v>
      </c>
      <c r="M2" s="68">
        <f t="shared" ref="M2:M5" si="6">G2/F2</f>
        <v>3.685757607</v>
      </c>
      <c r="N2" s="67">
        <f t="shared" ref="N2:N5" si="7">I2+G2+F2</f>
        <v>2007365763</v>
      </c>
      <c r="O2" s="77">
        <f t="shared" ref="O2:O4" si="8">((((I2*7.51)/60)/12)/24)/365</f>
        <v>482.0935848</v>
      </c>
      <c r="P2" s="69">
        <f t="shared" ref="P2:P5" si="9">N2/H2</f>
        <v>0.992397155</v>
      </c>
      <c r="Q2" s="25">
        <f t="shared" ref="Q2:Q5" si="10">G2+F2</f>
        <v>1602484184</v>
      </c>
      <c r="R2" s="11">
        <f t="shared" ref="R2:R5" si="11">Q2/H2</f>
        <v>0.7922326735</v>
      </c>
    </row>
    <row r="3">
      <c r="A3" s="78" t="s">
        <v>77</v>
      </c>
      <c r="B3" s="23">
        <v>24570.0</v>
      </c>
      <c r="C3" s="23">
        <v>8.26850472E8</v>
      </c>
      <c r="D3" s="68">
        <f>53693152-27911119</f>
        <v>25782033</v>
      </c>
      <c r="E3" s="23">
        <v>9439983.0</v>
      </c>
      <c r="F3" s="23">
        <v>1.87275221E8</v>
      </c>
      <c r="G3" s="67">
        <f t="shared" si="1"/>
        <v>862072488</v>
      </c>
      <c r="H3" s="23">
        <v>1.371038568E9</v>
      </c>
      <c r="I3" s="67">
        <f t="shared" si="2"/>
        <v>312250876</v>
      </c>
      <c r="J3" s="68">
        <f t="shared" si="3"/>
        <v>7.270575241</v>
      </c>
      <c r="K3" s="68">
        <f t="shared" si="4"/>
        <v>0.2975666439</v>
      </c>
      <c r="L3" s="68">
        <f t="shared" si="5"/>
        <v>1.667336844</v>
      </c>
      <c r="M3" s="68">
        <f t="shared" si="6"/>
        <v>4.603238396</v>
      </c>
      <c r="N3" s="67">
        <f t="shared" si="7"/>
        <v>1361598585</v>
      </c>
      <c r="O3" s="77">
        <f t="shared" si="8"/>
        <v>371.7979577</v>
      </c>
      <c r="P3" s="69">
        <f t="shared" si="9"/>
        <v>0.993114721</v>
      </c>
      <c r="Q3" s="25">
        <f t="shared" si="10"/>
        <v>1049347709</v>
      </c>
      <c r="R3" s="11">
        <f t="shared" si="11"/>
        <v>0.7653670243</v>
      </c>
    </row>
    <row r="4">
      <c r="A4" s="64" t="s">
        <v>160</v>
      </c>
      <c r="B4" s="23">
        <v>1301484.0</v>
      </c>
      <c r="C4" s="23">
        <v>2.19919907E8</v>
      </c>
      <c r="D4" s="68">
        <f>14616628-963431</f>
        <v>13653197</v>
      </c>
      <c r="E4" s="23">
        <v>4808365.0</v>
      </c>
      <c r="F4" s="23">
        <v>1.0981885E8</v>
      </c>
      <c r="G4" s="67">
        <f t="shared" si="1"/>
        <v>238381469</v>
      </c>
      <c r="H4" s="23">
        <v>4.41887022E8</v>
      </c>
      <c r="I4" s="67">
        <f t="shared" si="2"/>
        <v>88878338</v>
      </c>
      <c r="J4" s="68">
        <f t="shared" si="3"/>
        <v>3.979996667</v>
      </c>
      <c r="K4" s="68">
        <f t="shared" si="4"/>
        <v>0.2552505933</v>
      </c>
      <c r="L4" s="68">
        <f t="shared" si="5"/>
        <v>0.80931769</v>
      </c>
      <c r="M4" s="68">
        <f t="shared" si="6"/>
        <v>2.170678977</v>
      </c>
      <c r="N4" s="67">
        <f t="shared" si="7"/>
        <v>437078657</v>
      </c>
      <c r="O4" s="77">
        <f t="shared" si="8"/>
        <v>105.827676</v>
      </c>
      <c r="P4" s="69">
        <f t="shared" si="9"/>
        <v>0.9891185648</v>
      </c>
      <c r="Q4" s="25">
        <f t="shared" si="10"/>
        <v>348200319</v>
      </c>
      <c r="R4" s="11">
        <f t="shared" si="11"/>
        <v>0.7879849411</v>
      </c>
    </row>
    <row r="5">
      <c r="A5" s="79" t="s">
        <v>161</v>
      </c>
      <c r="B5" s="80">
        <f t="shared" ref="B5:F5" si="12">SUM(B2:B4)</f>
        <v>2976843</v>
      </c>
      <c r="C5" s="80">
        <f t="shared" si="12"/>
        <v>2184723057</v>
      </c>
      <c r="D5" s="81">
        <f t="shared" si="12"/>
        <v>146597710</v>
      </c>
      <c r="E5" s="80">
        <f t="shared" si="12"/>
        <v>29626960</v>
      </c>
      <c r="F5" s="80">
        <f t="shared" si="12"/>
        <v>639084485</v>
      </c>
      <c r="G5" s="80">
        <f t="shared" si="1"/>
        <v>2360947727</v>
      </c>
      <c r="H5" s="82">
        <f>SUM(H2:H4)</f>
        <v>3835669965</v>
      </c>
      <c r="I5" s="80">
        <f t="shared" si="2"/>
        <v>806010793</v>
      </c>
      <c r="J5" s="83">
        <f t="shared" si="3"/>
        <v>5.955461436</v>
      </c>
      <c r="K5" s="83">
        <f t="shared" si="4"/>
        <v>0.2686673796</v>
      </c>
      <c r="L5" s="83">
        <f t="shared" si="5"/>
        <v>1.261195995</v>
      </c>
      <c r="M5" s="83">
        <f t="shared" si="6"/>
        <v>3.694265441</v>
      </c>
      <c r="N5" s="80">
        <f t="shared" si="7"/>
        <v>3806043005</v>
      </c>
      <c r="O5" s="81">
        <f>((((I5*10.12)/60)/12)/24)/365</f>
        <v>1293.25679</v>
      </c>
      <c r="P5" s="84">
        <f t="shared" si="9"/>
        <v>0.9922759361</v>
      </c>
      <c r="Q5" s="25">
        <f t="shared" si="10"/>
        <v>3000032212</v>
      </c>
      <c r="R5" s="11">
        <f t="shared" si="11"/>
        <v>0.7821403404</v>
      </c>
    </row>
    <row r="6">
      <c r="A6" s="71" t="s">
        <v>162</v>
      </c>
      <c r="B6" s="68"/>
      <c r="C6" s="68"/>
      <c r="D6" s="68"/>
      <c r="E6" s="68"/>
      <c r="F6" s="68"/>
      <c r="G6" s="68"/>
      <c r="H6" s="65"/>
      <c r="I6" s="68"/>
      <c r="J6" s="68"/>
      <c r="K6" s="68"/>
      <c r="L6" s="68"/>
      <c r="M6" s="68"/>
      <c r="N6" s="68"/>
      <c r="O6" s="77">
        <f>((((I5*10.12)*1000)/(H117*1000))/60)/24</f>
        <v>348.9222421</v>
      </c>
      <c r="P6" s="77">
        <f>O6/365</f>
        <v>0.9559513482</v>
      </c>
    </row>
    <row r="7">
      <c r="A7" s="68"/>
      <c r="B7" s="68"/>
      <c r="C7" s="68"/>
      <c r="D7" s="68"/>
      <c r="E7" s="68"/>
      <c r="F7" s="68"/>
      <c r="G7" s="68"/>
      <c r="H7" s="65"/>
      <c r="I7" s="16">
        <f>(I5*1000)/1000000</f>
        <v>806010.793</v>
      </c>
      <c r="J7" s="68">
        <v>906428.57</v>
      </c>
      <c r="K7" s="68"/>
      <c r="L7" s="68"/>
      <c r="M7" s="68"/>
      <c r="N7" s="68"/>
      <c r="O7" s="14" t="s">
        <v>163</v>
      </c>
      <c r="P7" s="69"/>
    </row>
    <row r="8">
      <c r="A8" s="68"/>
      <c r="B8" s="68"/>
      <c r="C8" s="68"/>
      <c r="D8" s="68"/>
      <c r="E8" s="68"/>
      <c r="F8" s="68"/>
      <c r="G8" s="68"/>
      <c r="H8" s="65"/>
      <c r="I8" s="68"/>
      <c r="J8" s="68"/>
      <c r="K8" s="68"/>
      <c r="L8" s="68">
        <f>STDEV(L2:L4)*100</f>
        <v>43.01589849</v>
      </c>
      <c r="M8" s="68"/>
      <c r="N8" s="68"/>
      <c r="O8" s="69"/>
      <c r="P8" s="69"/>
    </row>
    <row r="9">
      <c r="A9" s="68"/>
      <c r="B9" s="86" t="s">
        <v>121</v>
      </c>
      <c r="C9" s="86" t="s">
        <v>36</v>
      </c>
      <c r="D9" s="86" t="s">
        <v>38</v>
      </c>
      <c r="E9" s="86" t="s">
        <v>49</v>
      </c>
      <c r="F9" s="68"/>
      <c r="G9" s="68"/>
      <c r="H9" s="68"/>
      <c r="I9" s="86" t="s">
        <v>121</v>
      </c>
      <c r="J9" s="86" t="s">
        <v>36</v>
      </c>
      <c r="K9" s="86" t="s">
        <v>38</v>
      </c>
      <c r="L9" s="86" t="s">
        <v>49</v>
      </c>
      <c r="M9" s="68"/>
      <c r="N9" s="14" t="s">
        <v>164</v>
      </c>
    </row>
    <row r="10">
      <c r="A10" s="78" t="s">
        <v>121</v>
      </c>
      <c r="B10" s="14">
        <v>1.0</v>
      </c>
      <c r="C10" s="68"/>
      <c r="D10" s="68"/>
      <c r="E10" s="68"/>
      <c r="F10" s="68"/>
      <c r="G10" s="68"/>
      <c r="H10" s="78" t="s">
        <v>121</v>
      </c>
      <c r="I10" s="68"/>
      <c r="J10" s="68"/>
      <c r="K10" s="68"/>
      <c r="L10" s="68"/>
      <c r="M10" s="68"/>
      <c r="N10" s="69">
        <f>P5</f>
        <v>0.9922759361</v>
      </c>
    </row>
    <row r="11">
      <c r="A11" s="78" t="s">
        <v>36</v>
      </c>
      <c r="B11" s="68">
        <f>pearson(K2:K4,J2:J4)</f>
        <v>0.789646065</v>
      </c>
      <c r="C11" s="14">
        <v>1.0</v>
      </c>
      <c r="D11" s="68"/>
      <c r="E11" s="68"/>
      <c r="F11" s="68"/>
      <c r="G11" s="68"/>
      <c r="H11" s="78" t="s">
        <v>36</v>
      </c>
      <c r="I11" s="14">
        <v>2.782</v>
      </c>
      <c r="J11" s="68"/>
      <c r="K11" s="68"/>
      <c r="L11" s="68"/>
      <c r="M11" s="68">
        <f>(J5/12)/30</f>
        <v>0.01654294843</v>
      </c>
      <c r="N11" s="68"/>
      <c r="O11" s="68"/>
      <c r="P11" s="68"/>
    </row>
    <row r="12">
      <c r="A12" s="78" t="s">
        <v>38</v>
      </c>
      <c r="B12" s="68">
        <f>pearson(J2:J4,L2:L4)</f>
        <v>0.987439528</v>
      </c>
      <c r="C12" s="68">
        <f>pearson(K2:K4,L2:L4)</f>
        <v>0.876669037</v>
      </c>
      <c r="D12" s="14">
        <v>1.0</v>
      </c>
      <c r="E12" s="68"/>
      <c r="F12" s="68"/>
      <c r="G12" s="68"/>
      <c r="H12" s="78" t="s">
        <v>38</v>
      </c>
      <c r="I12" s="14">
        <v>0.41</v>
      </c>
      <c r="J12" s="14">
        <v>0.179</v>
      </c>
      <c r="K12" s="68"/>
      <c r="L12" s="68"/>
      <c r="M12" s="68"/>
      <c r="N12" s="68"/>
      <c r="O12" s="68"/>
      <c r="P12" s="68"/>
    </row>
    <row r="13">
      <c r="A13" s="78" t="s">
        <v>49</v>
      </c>
      <c r="B13" s="68">
        <f>pearson(J2:J4,M2:M4)</f>
        <v>0.9984684064</v>
      </c>
      <c r="C13" s="68">
        <f>pearson(M2:M4,K2:K4)</f>
        <v>0.7544913744</v>
      </c>
      <c r="D13" s="68">
        <f>pearson(L2:L4,M2:M4)</f>
        <v>0.9771859859</v>
      </c>
      <c r="E13" s="14">
        <v>1.0</v>
      </c>
      <c r="H13" s="78" t="s">
        <v>49</v>
      </c>
      <c r="I13" s="14">
        <v>13.37</v>
      </c>
      <c r="J13" s="14">
        <v>3.09</v>
      </c>
      <c r="K13" s="14">
        <v>0.12</v>
      </c>
      <c r="L13" s="68"/>
    </row>
    <row r="14">
      <c r="A14" s="35" t="s">
        <v>165</v>
      </c>
      <c r="H14" s="35" t="s">
        <v>166</v>
      </c>
    </row>
    <row r="16">
      <c r="B16" s="4" t="s">
        <v>167</v>
      </c>
    </row>
    <row r="17">
      <c r="A17" s="4" t="s">
        <v>168</v>
      </c>
      <c r="B17" s="4" t="s">
        <v>169</v>
      </c>
      <c r="N17" s="87">
        <v>1.0</v>
      </c>
      <c r="O17" s="4">
        <v>10.12</v>
      </c>
    </row>
    <row r="18">
      <c r="A18" s="4" t="s">
        <v>170</v>
      </c>
      <c r="B18" s="4" t="s">
        <v>169</v>
      </c>
      <c r="N18" s="4" t="s">
        <v>171</v>
      </c>
      <c r="O18" s="4" t="s">
        <v>172</v>
      </c>
    </row>
    <row r="19">
      <c r="A19" s="4" t="s">
        <v>173</v>
      </c>
      <c r="B19" s="4" t="s">
        <v>169</v>
      </c>
      <c r="J19" s="12">
        <f>O6-(4*4*(12-3))</f>
        <v>204.9222421</v>
      </c>
      <c r="K19" s="11">
        <f>(4*5)*11</f>
        <v>220</v>
      </c>
      <c r="N19" s="4" t="s">
        <v>174</v>
      </c>
      <c r="O19" s="4" t="s">
        <v>175</v>
      </c>
    </row>
    <row r="20">
      <c r="A20" s="4" t="s">
        <v>176</v>
      </c>
      <c r="B20" s="4" t="s">
        <v>177</v>
      </c>
      <c r="K20" s="11">
        <f>(4*4*9)</f>
        <v>144</v>
      </c>
      <c r="N20" s="4" t="s">
        <v>178</v>
      </c>
      <c r="O20" s="4" t="s">
        <v>179</v>
      </c>
    </row>
    <row r="21">
      <c r="A21" s="4" t="s">
        <v>180</v>
      </c>
      <c r="B21" s="4" t="s">
        <v>169</v>
      </c>
      <c r="K21" s="11">
        <f>K19-K20</f>
        <v>76</v>
      </c>
    </row>
    <row r="22">
      <c r="A22" s="4" t="s">
        <v>181</v>
      </c>
      <c r="K22" s="12">
        <f>O6-K21</f>
        <v>272.9222421</v>
      </c>
    </row>
    <row r="27">
      <c r="A27" s="14" t="s">
        <v>182</v>
      </c>
      <c r="B27" s="14" t="s">
        <v>183</v>
      </c>
      <c r="C27" s="14" t="s">
        <v>147</v>
      </c>
      <c r="D27" s="14" t="s">
        <v>184</v>
      </c>
      <c r="E27" s="14" t="s">
        <v>185</v>
      </c>
    </row>
    <row r="28">
      <c r="A28" s="14">
        <v>1571.0</v>
      </c>
      <c r="B28" s="4">
        <v>2102.0</v>
      </c>
      <c r="C28" s="68">
        <f>0.1</f>
        <v>0.1</v>
      </c>
      <c r="D28" s="14">
        <v>80.0</v>
      </c>
      <c r="E28" s="14">
        <v>90.0</v>
      </c>
    </row>
    <row r="29">
      <c r="A29" s="14">
        <v>393.0</v>
      </c>
      <c r="B29" s="4">
        <v>526.0</v>
      </c>
      <c r="C29" s="68">
        <f t="shared" ref="C29:C37" si="13">C28+0.1</f>
        <v>0.2</v>
      </c>
      <c r="D29" s="14">
        <v>80.0</v>
      </c>
      <c r="E29" s="14">
        <v>90.0</v>
      </c>
    </row>
    <row r="30">
      <c r="A30" s="14">
        <v>175.0</v>
      </c>
      <c r="B30" s="4">
        <v>234.0</v>
      </c>
      <c r="C30" s="68">
        <f t="shared" si="13"/>
        <v>0.3</v>
      </c>
      <c r="D30" s="14">
        <v>80.0</v>
      </c>
      <c r="E30" s="14">
        <v>90.0</v>
      </c>
    </row>
    <row r="31">
      <c r="A31" s="14">
        <v>99.0</v>
      </c>
      <c r="B31" s="4">
        <v>132.0</v>
      </c>
      <c r="C31" s="68">
        <f t="shared" si="13"/>
        <v>0.4</v>
      </c>
      <c r="D31" s="14">
        <v>80.0</v>
      </c>
      <c r="E31" s="14">
        <v>90.0</v>
      </c>
    </row>
    <row r="32">
      <c r="A32" s="14">
        <v>63.0</v>
      </c>
      <c r="B32" s="4">
        <v>85.0</v>
      </c>
      <c r="C32" s="68">
        <f t="shared" si="13"/>
        <v>0.5</v>
      </c>
      <c r="D32" s="14">
        <v>80.0</v>
      </c>
      <c r="E32" s="14">
        <v>90.0</v>
      </c>
    </row>
    <row r="33">
      <c r="A33" s="14">
        <v>44.0</v>
      </c>
      <c r="B33" s="4">
        <v>59.0</v>
      </c>
      <c r="C33" s="68">
        <f t="shared" si="13"/>
        <v>0.6</v>
      </c>
      <c r="D33" s="14">
        <v>80.0</v>
      </c>
      <c r="E33" s="14">
        <v>90.0</v>
      </c>
    </row>
    <row r="34">
      <c r="A34" s="14">
        <v>33.0</v>
      </c>
      <c r="B34" s="4">
        <v>44.0</v>
      </c>
      <c r="C34" s="68">
        <f t="shared" si="13"/>
        <v>0.7</v>
      </c>
      <c r="D34" s="14">
        <v>80.0</v>
      </c>
      <c r="E34" s="14">
        <v>90.0</v>
      </c>
    </row>
    <row r="35">
      <c r="A35" s="14">
        <v>25.0</v>
      </c>
      <c r="B35" s="4">
        <v>34.0</v>
      </c>
      <c r="C35" s="68">
        <f t="shared" si="13"/>
        <v>0.8</v>
      </c>
      <c r="D35" s="14">
        <v>80.0</v>
      </c>
      <c r="E35" s="14">
        <v>90.0</v>
      </c>
    </row>
    <row r="36">
      <c r="A36" s="14">
        <v>20.0</v>
      </c>
      <c r="B36" s="4">
        <v>27.0</v>
      </c>
      <c r="C36" s="68">
        <f t="shared" si="13"/>
        <v>0.9</v>
      </c>
      <c r="D36" s="14">
        <v>80.0</v>
      </c>
      <c r="E36" s="14">
        <v>90.0</v>
      </c>
    </row>
    <row r="37">
      <c r="A37" s="14">
        <v>16.0</v>
      </c>
      <c r="B37" s="4">
        <v>22.0</v>
      </c>
      <c r="C37" s="68">
        <f t="shared" si="13"/>
        <v>1</v>
      </c>
      <c r="D37" s="14">
        <v>80.0</v>
      </c>
      <c r="E37" s="14">
        <v>90.0</v>
      </c>
    </row>
    <row r="38">
      <c r="A38" s="68"/>
      <c r="C38" s="68"/>
      <c r="D38" s="14"/>
      <c r="E38" s="14"/>
    </row>
    <row r="39">
      <c r="A39" s="68"/>
      <c r="C39" s="68"/>
      <c r="D39" s="14"/>
      <c r="E39" s="14"/>
    </row>
    <row r="40">
      <c r="A40" s="35" t="s">
        <v>186</v>
      </c>
      <c r="B40" s="35" t="s">
        <v>187</v>
      </c>
      <c r="C40" s="35" t="s">
        <v>188</v>
      </c>
      <c r="D40" s="14"/>
      <c r="E40" s="14"/>
    </row>
    <row r="41">
      <c r="A41" s="14">
        <v>5.0</v>
      </c>
      <c r="B41" s="14">
        <v>2.02</v>
      </c>
      <c r="C41" s="14">
        <v>2.347</v>
      </c>
      <c r="D41" s="14"/>
      <c r="E41" s="14"/>
    </row>
    <row r="42">
      <c r="A42" s="14">
        <f t="shared" ref="A42:A60" si="14">A41+5</f>
        <v>10</v>
      </c>
      <c r="B42" s="14">
        <v>1.32</v>
      </c>
      <c r="C42" s="14">
        <v>1.533</v>
      </c>
      <c r="D42" s="14"/>
      <c r="E42" s="14"/>
    </row>
    <row r="43">
      <c r="A43" s="14">
        <f t="shared" si="14"/>
        <v>15</v>
      </c>
      <c r="B43" s="14">
        <v>1.05</v>
      </c>
      <c r="C43" s="14">
        <v>1.22</v>
      </c>
      <c r="D43" s="14"/>
      <c r="E43" s="14"/>
    </row>
    <row r="44">
      <c r="A44" s="14">
        <f t="shared" si="14"/>
        <v>20</v>
      </c>
      <c r="B44" s="14">
        <v>0.909</v>
      </c>
      <c r="C44" s="14">
        <v>1.051</v>
      </c>
      <c r="D44" s="14"/>
      <c r="E44" s="14"/>
    </row>
    <row r="45">
      <c r="A45" s="14">
        <f t="shared" si="14"/>
        <v>25</v>
      </c>
      <c r="B45" s="14">
        <v>0.808</v>
      </c>
      <c r="C45" s="14">
        <v>0.935</v>
      </c>
      <c r="D45" s="14"/>
      <c r="E45" s="14"/>
    </row>
    <row r="46">
      <c r="A46" s="14">
        <f t="shared" si="14"/>
        <v>30</v>
      </c>
      <c r="B46" s="14">
        <v>0.735</v>
      </c>
      <c r="C46" s="14">
        <v>0.851</v>
      </c>
      <c r="D46" s="14"/>
      <c r="E46" s="14"/>
    </row>
    <row r="47">
      <c r="A47" s="14">
        <f t="shared" si="14"/>
        <v>35</v>
      </c>
      <c r="B47" s="14">
        <v>0.679</v>
      </c>
      <c r="C47" s="14">
        <v>0.786</v>
      </c>
      <c r="D47" s="14"/>
      <c r="E47" s="14"/>
    </row>
    <row r="48">
      <c r="A48" s="14">
        <f t="shared" si="14"/>
        <v>40</v>
      </c>
      <c r="B48" s="14">
        <v>0.634</v>
      </c>
      <c r="C48" s="14">
        <v>0.733</v>
      </c>
      <c r="D48" s="14"/>
      <c r="E48" s="14"/>
    </row>
    <row r="49">
      <c r="A49" s="14">
        <f t="shared" si="14"/>
        <v>45</v>
      </c>
      <c r="B49" s="14">
        <v>0.597</v>
      </c>
      <c r="C49" s="14">
        <v>0.69</v>
      </c>
      <c r="D49" s="14"/>
      <c r="E49" s="14"/>
    </row>
    <row r="50">
      <c r="A50" s="14">
        <f t="shared" si="14"/>
        <v>50</v>
      </c>
      <c r="B50" s="14">
        <v>0.565</v>
      </c>
      <c r="C50" s="14">
        <v>0.654</v>
      </c>
      <c r="D50" s="14"/>
      <c r="E50" s="14"/>
    </row>
    <row r="51">
      <c r="A51" s="14">
        <f t="shared" si="14"/>
        <v>55</v>
      </c>
      <c r="B51" s="14">
        <v>0.539</v>
      </c>
      <c r="C51" s="14">
        <v>0.623</v>
      </c>
      <c r="D51" s="14"/>
      <c r="E51" s="14"/>
    </row>
    <row r="52">
      <c r="A52" s="14">
        <f t="shared" si="14"/>
        <v>60</v>
      </c>
      <c r="B52" s="14">
        <v>0.515</v>
      </c>
      <c r="C52" s="14">
        <v>0.596</v>
      </c>
      <c r="D52" s="14"/>
      <c r="E52" s="14"/>
    </row>
    <row r="53">
      <c r="A53" s="14">
        <f t="shared" si="14"/>
        <v>65</v>
      </c>
      <c r="B53" s="14">
        <v>0.495</v>
      </c>
      <c r="C53" s="14">
        <v>0.572</v>
      </c>
      <c r="D53" s="14"/>
      <c r="E53" s="14"/>
    </row>
    <row r="54">
      <c r="A54" s="14">
        <f t="shared" si="14"/>
        <v>70</v>
      </c>
      <c r="B54" s="14">
        <v>0.476</v>
      </c>
      <c r="C54" s="14">
        <v>0.551</v>
      </c>
      <c r="D54" s="14"/>
      <c r="E54" s="14"/>
    </row>
    <row r="55">
      <c r="A55" s="14">
        <f t="shared" si="14"/>
        <v>75</v>
      </c>
      <c r="B55" s="14">
        <v>0.46</v>
      </c>
      <c r="C55" s="14">
        <v>0.532</v>
      </c>
      <c r="D55" s="14"/>
      <c r="E55" s="14"/>
    </row>
    <row r="56">
      <c r="A56" s="14">
        <f t="shared" si="14"/>
        <v>80</v>
      </c>
      <c r="B56" s="14">
        <v>0.44</v>
      </c>
      <c r="C56" s="14">
        <v>0.515</v>
      </c>
      <c r="D56" s="14"/>
      <c r="E56" s="14"/>
    </row>
    <row r="57">
      <c r="A57" s="14">
        <f t="shared" si="14"/>
        <v>85</v>
      </c>
      <c r="B57" s="14">
        <v>0.432</v>
      </c>
      <c r="C57" s="14">
        <v>0.5</v>
      </c>
      <c r="D57" s="14"/>
      <c r="E57" s="14"/>
    </row>
    <row r="58">
      <c r="A58" s="14">
        <f t="shared" si="14"/>
        <v>90</v>
      </c>
      <c r="B58" s="14">
        <v>0.419</v>
      </c>
      <c r="C58" s="14">
        <v>0.485</v>
      </c>
      <c r="D58" s="14"/>
      <c r="E58" s="14"/>
    </row>
    <row r="59">
      <c r="A59" s="14">
        <f t="shared" si="14"/>
        <v>95</v>
      </c>
      <c r="B59" s="14">
        <v>0.408</v>
      </c>
      <c r="C59" s="14">
        <v>0.472</v>
      </c>
      <c r="D59" s="14"/>
      <c r="E59" s="14"/>
    </row>
    <row r="60">
      <c r="A60" s="14">
        <f t="shared" si="14"/>
        <v>100</v>
      </c>
      <c r="B60" s="14">
        <v>0.398</v>
      </c>
      <c r="C60" s="14">
        <v>0.46</v>
      </c>
      <c r="D60" s="14"/>
      <c r="E60" s="14"/>
    </row>
    <row r="61">
      <c r="A61" s="68"/>
      <c r="C61" s="68"/>
      <c r="D61" s="14"/>
      <c r="E61" s="14"/>
    </row>
    <row r="62">
      <c r="A62" s="68"/>
      <c r="C62" s="68"/>
      <c r="D62" s="14"/>
      <c r="E62" s="14"/>
    </row>
    <row r="63">
      <c r="A63" s="68"/>
      <c r="C63" s="68"/>
      <c r="D63" s="14"/>
      <c r="E63" s="14"/>
    </row>
    <row r="64">
      <c r="A64" s="68"/>
      <c r="C64" s="68"/>
      <c r="D64" s="14"/>
      <c r="E64" s="14"/>
    </row>
    <row r="65">
      <c r="A65" s="68"/>
      <c r="C65" s="68"/>
      <c r="D65" s="14"/>
      <c r="E65" s="14"/>
    </row>
    <row r="66">
      <c r="A66" s="35"/>
      <c r="B66" s="35" t="s">
        <v>186</v>
      </c>
      <c r="C66" s="35" t="s">
        <v>189</v>
      </c>
      <c r="D66" s="35" t="s">
        <v>190</v>
      </c>
      <c r="E66" s="35" t="s">
        <v>191</v>
      </c>
      <c r="F66" s="68"/>
      <c r="G66" s="68"/>
      <c r="H66" s="68"/>
      <c r="I66" s="68"/>
      <c r="J66" s="68"/>
      <c r="K66" s="68"/>
      <c r="L66" s="68"/>
    </row>
    <row r="67">
      <c r="A67" s="14"/>
      <c r="B67" s="14">
        <v>5.0</v>
      </c>
      <c r="C67" s="14">
        <v>0.051</v>
      </c>
      <c r="D67" s="14">
        <v>0.098</v>
      </c>
      <c r="E67" s="14">
        <v>0.183</v>
      </c>
    </row>
    <row r="68">
      <c r="A68" s="68"/>
      <c r="B68" s="14">
        <f t="shared" ref="B68:B86" si="15">B67+5</f>
        <v>10</v>
      </c>
      <c r="C68" s="14">
        <v>0.067</v>
      </c>
      <c r="D68" s="14">
        <v>0.182</v>
      </c>
      <c r="E68" s="14">
        <v>0.39</v>
      </c>
    </row>
    <row r="69">
      <c r="A69" s="68"/>
      <c r="B69" s="14">
        <f t="shared" si="15"/>
        <v>15</v>
      </c>
      <c r="C69" s="14">
        <v>0.082</v>
      </c>
      <c r="D69" s="14">
        <v>0.259</v>
      </c>
      <c r="E69" s="14">
        <v>0.56</v>
      </c>
    </row>
    <row r="70">
      <c r="A70" s="68"/>
      <c r="B70" s="14">
        <f t="shared" si="15"/>
        <v>20</v>
      </c>
      <c r="C70" s="14">
        <v>0.094</v>
      </c>
      <c r="D70" s="14">
        <v>0.338</v>
      </c>
      <c r="E70" s="14">
        <v>0.693</v>
      </c>
    </row>
    <row r="71">
      <c r="A71" s="68"/>
      <c r="B71" s="14">
        <f t="shared" si="15"/>
        <v>25</v>
      </c>
      <c r="C71" s="14">
        <v>0.107</v>
      </c>
      <c r="D71" s="14">
        <v>0.41</v>
      </c>
      <c r="E71" s="14">
        <v>0.79</v>
      </c>
    </row>
    <row r="72">
      <c r="A72" s="68"/>
      <c r="B72" s="14">
        <f t="shared" si="15"/>
        <v>30</v>
      </c>
      <c r="C72" s="14">
        <v>0.119</v>
      </c>
      <c r="D72" s="14">
        <v>0.477</v>
      </c>
      <c r="E72" s="14">
        <v>0.858</v>
      </c>
    </row>
    <row r="73">
      <c r="A73" s="68"/>
      <c r="B73" s="14">
        <f t="shared" si="15"/>
        <v>35</v>
      </c>
      <c r="C73" s="14">
        <v>0.13</v>
      </c>
      <c r="D73" s="14">
        <v>0.542</v>
      </c>
      <c r="E73" s="14">
        <v>0.909</v>
      </c>
    </row>
    <row r="74">
      <c r="A74" s="68"/>
      <c r="B74" s="14">
        <f t="shared" si="15"/>
        <v>40</v>
      </c>
      <c r="C74" s="14">
        <v>0.142</v>
      </c>
      <c r="D74" s="14">
        <v>0.6</v>
      </c>
      <c r="E74" s="14">
        <v>0.942</v>
      </c>
    </row>
    <row r="75">
      <c r="A75" s="68"/>
      <c r="B75" s="14">
        <f t="shared" si="15"/>
        <v>45</v>
      </c>
      <c r="C75" s="14">
        <v>0.159</v>
      </c>
      <c r="D75" s="14">
        <v>0.651</v>
      </c>
      <c r="E75" s="14">
        <v>0.963</v>
      </c>
    </row>
    <row r="76">
      <c r="A76" s="68"/>
      <c r="B76" s="14">
        <f t="shared" si="15"/>
        <v>50</v>
      </c>
      <c r="C76" s="14">
        <v>0.174</v>
      </c>
      <c r="D76" s="14">
        <v>0.69</v>
      </c>
      <c r="E76" s="14">
        <v>0.979</v>
      </c>
    </row>
    <row r="77">
      <c r="A77" s="68"/>
      <c r="B77" s="14">
        <f t="shared" si="15"/>
        <v>55</v>
      </c>
      <c r="C77" s="14">
        <v>0.179</v>
      </c>
      <c r="D77" s="14">
        <v>0.738</v>
      </c>
      <c r="E77" s="14">
        <v>0.986</v>
      </c>
    </row>
    <row r="78">
      <c r="A78" s="68"/>
      <c r="B78" s="14">
        <f t="shared" si="15"/>
        <v>60</v>
      </c>
      <c r="C78" s="14">
        <v>0.183</v>
      </c>
      <c r="D78" s="14">
        <v>0.774</v>
      </c>
      <c r="E78" s="14">
        <v>0.991</v>
      </c>
    </row>
    <row r="79">
      <c r="A79" s="68"/>
      <c r="B79" s="14">
        <f t="shared" si="15"/>
        <v>65</v>
      </c>
      <c r="C79" s="14">
        <v>0.2</v>
      </c>
      <c r="D79" s="14">
        <v>0.801</v>
      </c>
      <c r="E79" s="14">
        <v>0.995</v>
      </c>
    </row>
    <row r="80">
      <c r="A80" s="68"/>
      <c r="B80" s="14">
        <f t="shared" si="15"/>
        <v>70</v>
      </c>
      <c r="C80" s="14">
        <v>0.211</v>
      </c>
      <c r="D80" s="14">
        <v>0.845</v>
      </c>
      <c r="E80" s="14">
        <v>0.997</v>
      </c>
    </row>
    <row r="81">
      <c r="A81" s="68"/>
      <c r="B81" s="14">
        <f t="shared" si="15"/>
        <v>75</v>
      </c>
      <c r="C81" s="14">
        <v>0.231</v>
      </c>
      <c r="D81" s="14">
        <v>0.865</v>
      </c>
      <c r="E81" s="14">
        <v>0.998</v>
      </c>
    </row>
    <row r="82">
      <c r="A82" s="68"/>
      <c r="B82" s="14">
        <f t="shared" si="15"/>
        <v>80</v>
      </c>
      <c r="C82" s="14">
        <v>0.24</v>
      </c>
      <c r="D82" s="14">
        <v>0.882</v>
      </c>
      <c r="E82" s="14">
        <v>0.999</v>
      </c>
    </row>
    <row r="83">
      <c r="A83" s="68"/>
      <c r="B83" s="14">
        <f t="shared" si="15"/>
        <v>85</v>
      </c>
      <c r="C83" s="14">
        <v>0.251</v>
      </c>
      <c r="D83" s="14">
        <v>0.898</v>
      </c>
      <c r="E83" s="14">
        <v>0.999</v>
      </c>
    </row>
    <row r="84">
      <c r="A84" s="68"/>
      <c r="B84" s="14">
        <f t="shared" si="15"/>
        <v>90</v>
      </c>
      <c r="C84" s="14">
        <v>0.27</v>
      </c>
      <c r="D84" s="14">
        <v>0.918</v>
      </c>
      <c r="E84" s="14">
        <v>1.0</v>
      </c>
    </row>
    <row r="85">
      <c r="A85" s="68"/>
      <c r="B85" s="14">
        <f t="shared" si="15"/>
        <v>95</v>
      </c>
      <c r="C85" s="14">
        <v>0.274</v>
      </c>
      <c r="D85" s="14">
        <v>0.932</v>
      </c>
      <c r="E85" s="14">
        <v>1.0</v>
      </c>
    </row>
    <row r="86">
      <c r="A86" s="68"/>
      <c r="B86" s="14">
        <f t="shared" si="15"/>
        <v>100</v>
      </c>
      <c r="C86" s="14">
        <v>0.292</v>
      </c>
      <c r="D86" s="14">
        <v>0.943</v>
      </c>
      <c r="E86" s="14">
        <v>1.0</v>
      </c>
    </row>
    <row r="87">
      <c r="A87" s="68"/>
      <c r="C87" s="68"/>
      <c r="D87" s="14"/>
      <c r="E87" s="14"/>
    </row>
    <row r="88">
      <c r="A88" s="68"/>
      <c r="C88" s="68"/>
      <c r="D88" s="14"/>
      <c r="E88" s="14"/>
    </row>
    <row r="89">
      <c r="A89" s="68"/>
      <c r="C89" s="68"/>
      <c r="D89" s="14"/>
      <c r="E89" s="14"/>
    </row>
    <row r="90">
      <c r="A90" s="68"/>
      <c r="C90" s="68"/>
      <c r="D90" s="14"/>
      <c r="E90" s="14"/>
    </row>
    <row r="91">
      <c r="A91" s="68"/>
      <c r="C91" s="68"/>
      <c r="D91" s="14"/>
      <c r="E91" s="14"/>
    </row>
    <row r="92">
      <c r="A92" s="68"/>
      <c r="C92" s="68"/>
      <c r="D92" s="14"/>
      <c r="E92" s="14"/>
    </row>
    <row r="93">
      <c r="A93" s="68"/>
      <c r="C93" s="68"/>
      <c r="D93" s="14"/>
      <c r="E93" s="14"/>
    </row>
    <row r="94">
      <c r="A94" s="68"/>
      <c r="C94" s="68"/>
      <c r="D94" s="14"/>
      <c r="E94" s="14"/>
    </row>
    <row r="95">
      <c r="A95" s="68"/>
      <c r="C95" s="68"/>
      <c r="D95" s="14"/>
      <c r="E95" s="14"/>
    </row>
    <row r="96">
      <c r="A96" s="68"/>
      <c r="C96" s="68"/>
      <c r="D96" s="14"/>
      <c r="E96" s="14"/>
    </row>
    <row r="97">
      <c r="A97" s="68"/>
      <c r="B97" s="72" t="s">
        <v>164</v>
      </c>
      <c r="C97" s="73"/>
      <c r="D97" s="73"/>
      <c r="E97" s="74"/>
    </row>
    <row r="98">
      <c r="A98" s="68"/>
      <c r="B98" s="75">
        <f>P5</f>
        <v>0.9922759361</v>
      </c>
      <c r="C98" s="73"/>
      <c r="D98" s="73"/>
      <c r="E98" s="74"/>
    </row>
    <row r="99">
      <c r="A99" s="68"/>
      <c r="C99" s="68"/>
      <c r="D99" s="14"/>
      <c r="E99" s="14"/>
    </row>
    <row r="100">
      <c r="A100" s="68"/>
      <c r="B100" s="76" t="s">
        <v>192</v>
      </c>
      <c r="C100" s="73"/>
      <c r="D100" s="73"/>
      <c r="E100" s="74"/>
    </row>
    <row r="101">
      <c r="A101" s="68"/>
      <c r="B101" s="75">
        <f>L5</f>
        <v>1.261195995</v>
      </c>
      <c r="C101" s="73"/>
      <c r="D101" s="73"/>
      <c r="E101" s="74"/>
    </row>
    <row r="102">
      <c r="A102" s="68"/>
      <c r="C102" s="68"/>
      <c r="D102" s="14"/>
      <c r="E102" s="14"/>
    </row>
    <row r="103">
      <c r="A103" s="68"/>
      <c r="B103" s="76" t="s">
        <v>193</v>
      </c>
      <c r="C103" s="73"/>
      <c r="D103" s="73"/>
      <c r="E103" s="74"/>
    </row>
    <row r="104">
      <c r="A104" s="68"/>
      <c r="B104" s="75">
        <f>K5</f>
        <v>0.2686673796</v>
      </c>
      <c r="C104" s="73"/>
      <c r="D104" s="73"/>
      <c r="E104" s="74"/>
    </row>
    <row r="105">
      <c r="A105" s="68"/>
      <c r="C105" s="68"/>
      <c r="D105" s="14"/>
      <c r="E105" s="14"/>
    </row>
    <row r="106">
      <c r="A106" s="68"/>
      <c r="C106" s="68"/>
      <c r="D106" s="14"/>
      <c r="E106" s="14"/>
    </row>
    <row r="107">
      <c r="A107" s="68"/>
      <c r="C107" s="68"/>
      <c r="D107" s="14"/>
      <c r="E107" s="14"/>
    </row>
    <row r="112">
      <c r="C112" s="71" t="s">
        <v>195</v>
      </c>
    </row>
    <row r="113">
      <c r="D113" s="35" t="s">
        <v>196</v>
      </c>
    </row>
    <row r="114">
      <c r="D114" s="35" t="s">
        <v>197</v>
      </c>
    </row>
    <row r="115">
      <c r="D115" s="35" t="s">
        <v>198</v>
      </c>
      <c r="E115" s="35" t="s">
        <v>199</v>
      </c>
      <c r="F115" s="35" t="s">
        <v>200</v>
      </c>
      <c r="G115" s="35" t="s">
        <v>201</v>
      </c>
    </row>
    <row r="116">
      <c r="C116" s="35" t="s">
        <v>202</v>
      </c>
    </row>
    <row r="117">
      <c r="C117" s="35" t="s">
        <v>203</v>
      </c>
      <c r="D117" s="22">
        <v>16453.6</v>
      </c>
      <c r="E117" s="22">
        <v>16433.6</v>
      </c>
      <c r="F117" s="22">
        <v>16257.3</v>
      </c>
      <c r="G117" s="22">
        <v>15792.2</v>
      </c>
      <c r="H117" s="12">
        <f>AVERAGE(D117:G117)</f>
        <v>16234.175</v>
      </c>
    </row>
  </sheetData>
  <mergeCells count="14">
    <mergeCell ref="B101:E101"/>
    <mergeCell ref="B103:E103"/>
    <mergeCell ref="B104:E104"/>
    <mergeCell ref="C113:C115"/>
    <mergeCell ref="D113:G113"/>
    <mergeCell ref="D114:G114"/>
    <mergeCell ref="C116:G116"/>
    <mergeCell ref="N9:R9"/>
    <mergeCell ref="N10:R10"/>
    <mergeCell ref="A14:E14"/>
    <mergeCell ref="H14:L14"/>
    <mergeCell ref="B97:E97"/>
    <mergeCell ref="B98:E98"/>
    <mergeCell ref="B100:E100"/>
  </mergeCells>
  <hyperlinks>
    <hyperlink r:id="rId1" ref="A6"/>
    <hyperlink r:id="rId2" location="tabs-mapa" ref="C112"/>
  </hyperlink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9.5"/>
    <col customWidth="1" min="2" max="2" width="18.5"/>
    <col customWidth="1" min="3" max="3" width="22.13"/>
    <col customWidth="1" min="4" max="4" width="24.75"/>
    <col customWidth="1" min="5" max="5" width="24.25"/>
    <col customWidth="1" min="6" max="6" width="16.38"/>
  </cols>
  <sheetData>
    <row r="1">
      <c r="A1" s="4" t="s">
        <v>205</v>
      </c>
      <c r="B1" s="4" t="s">
        <v>144</v>
      </c>
      <c r="C1" s="4" t="s">
        <v>206</v>
      </c>
      <c r="D1" s="14" t="s">
        <v>207</v>
      </c>
      <c r="E1" s="4" t="s">
        <v>208</v>
      </c>
      <c r="F1" s="4" t="s">
        <v>209</v>
      </c>
    </row>
    <row r="2">
      <c r="A2" s="10">
        <f>'Replicación (controlada)'!I8*1000</f>
        <v>906428570000</v>
      </c>
      <c r="B2" s="23">
        <f>19779.3*1000</f>
        <v>19779300</v>
      </c>
      <c r="C2" s="16">
        <f>A2/B2</f>
        <v>45827.13089</v>
      </c>
      <c r="D2" s="10">
        <f>'Replicación (controlada)'!H2*1000</f>
        <v>2196918602000</v>
      </c>
      <c r="E2" s="16">
        <f>D2/B2</f>
        <v>111071.6053</v>
      </c>
      <c r="F2" s="16">
        <f>'Replicación (controlada)'!F8*1000/B2</f>
        <v>33829.67026</v>
      </c>
    </row>
    <row r="5">
      <c r="A5" s="14" t="s">
        <v>210</v>
      </c>
      <c r="B5" s="14" t="s">
        <v>211</v>
      </c>
      <c r="C5" s="14" t="s">
        <v>144</v>
      </c>
      <c r="D5" s="4" t="s">
        <v>212</v>
      </c>
      <c r="E5" s="4" t="s">
        <v>213</v>
      </c>
    </row>
    <row r="6">
      <c r="A6" s="16">
        <f>51*40*4*12</f>
        <v>97920</v>
      </c>
      <c r="B6" s="16">
        <v>244033.5679872</v>
      </c>
      <c r="C6" s="67">
        <v>2.282632E7</v>
      </c>
      <c r="D6" s="16">
        <f>A6*C6</f>
        <v>2235153254400</v>
      </c>
      <c r="E6" s="16">
        <f>'Replicación (controlada)'!G8*1000/C6</f>
        <v>117484.9929</v>
      </c>
    </row>
    <row r="7">
      <c r="B7" s="16">
        <v>104033.56798719999</v>
      </c>
    </row>
    <row r="9">
      <c r="B9" s="4" t="s">
        <v>214</v>
      </c>
      <c r="C9" s="4" t="s">
        <v>215</v>
      </c>
      <c r="D9" s="4" t="s">
        <v>216</v>
      </c>
    </row>
    <row r="10">
      <c r="A10" s="4" t="s">
        <v>217</v>
      </c>
      <c r="B10" s="16">
        <f>(D6-(B7*1000000)-(0.7*E6*B2))/C6</f>
        <v>22100.80477</v>
      </c>
      <c r="C10" s="16">
        <f>B10*(1-0.35)</f>
        <v>14365.5231</v>
      </c>
      <c r="D10" s="16">
        <f>C10/12</f>
        <v>1197.126925</v>
      </c>
    </row>
    <row r="12">
      <c r="A12" s="68"/>
      <c r="B12" s="14" t="s">
        <v>218</v>
      </c>
      <c r="C12" s="14" t="s">
        <v>219</v>
      </c>
      <c r="D12" s="14" t="s">
        <v>220</v>
      </c>
      <c r="E12" s="14" t="s">
        <v>221</v>
      </c>
    </row>
    <row r="13">
      <c r="A13" s="14" t="s">
        <v>222</v>
      </c>
      <c r="B13" s="14">
        <v>0.0</v>
      </c>
      <c r="C13" s="14">
        <v>0.0</v>
      </c>
      <c r="D13" s="16">
        <f t="shared" ref="D13:D15" si="1">$D$10-C13</f>
        <v>1197.126925</v>
      </c>
      <c r="E13" s="16">
        <f>600+D13</f>
        <v>1797.126925</v>
      </c>
    </row>
    <row r="14">
      <c r="A14" s="14" t="s">
        <v>223</v>
      </c>
      <c r="B14" s="14">
        <v>150.0</v>
      </c>
      <c r="C14" s="14">
        <v>150.0</v>
      </c>
      <c r="D14" s="16">
        <f t="shared" si="1"/>
        <v>1047.126925</v>
      </c>
      <c r="E14" s="16">
        <f>D14+840</f>
        <v>1887.126925</v>
      </c>
    </row>
    <row r="15">
      <c r="A15" s="14" t="s">
        <v>224</v>
      </c>
      <c r="B15" s="14">
        <v>250.0</v>
      </c>
      <c r="C15" s="14">
        <v>250.0</v>
      </c>
      <c r="D15" s="16">
        <f t="shared" si="1"/>
        <v>947.1269248</v>
      </c>
      <c r="E15" s="16">
        <f>D15+1200</f>
        <v>2147.126925</v>
      </c>
    </row>
    <row r="17">
      <c r="B17" s="4">
        <f>1200-(1200*0.1)-250</f>
        <v>830</v>
      </c>
    </row>
    <row r="18">
      <c r="B18" s="4">
        <v>430.0</v>
      </c>
      <c r="E18" s="4">
        <v>2133.0</v>
      </c>
    </row>
    <row r="19">
      <c r="B19" s="4">
        <v>120.0</v>
      </c>
      <c r="E19" s="12">
        <f>3000/D10</f>
        <v>2.505999939</v>
      </c>
    </row>
    <row r="20">
      <c r="B20" s="4">
        <v>35.0</v>
      </c>
    </row>
    <row r="21">
      <c r="B21" s="11">
        <f>SUM(B17:B20)</f>
        <v>1415</v>
      </c>
      <c r="C21" s="10">
        <f>B21+D10</f>
        <v>2612.126925</v>
      </c>
      <c r="E21" s="4">
        <v>3000.0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225</v>
      </c>
      <c r="B1" s="4" t="s">
        <v>226</v>
      </c>
      <c r="C1" s="4" t="s">
        <v>227</v>
      </c>
      <c r="D1" s="4" t="s">
        <v>228</v>
      </c>
      <c r="E1" s="4" t="s">
        <v>229</v>
      </c>
      <c r="F1" s="4" t="s">
        <v>230</v>
      </c>
    </row>
    <row r="2">
      <c r="A2" s="4">
        <v>2000.0</v>
      </c>
      <c r="B2" s="4">
        <v>1992.5</v>
      </c>
      <c r="C2" s="11" t="str">
        <f>STDEV(EMPRESAS!I15:I19)</f>
        <v>#DIV/0!</v>
      </c>
      <c r="D2" s="11" t="str">
        <f>STDEV(EMPRESAS!J15:J24)</f>
        <v>#DIV/0!</v>
      </c>
      <c r="E2" s="4">
        <v>5.0</v>
      </c>
      <c r="F2" s="4">
        <v>10.0</v>
      </c>
    </row>
    <row r="5">
      <c r="A5" s="4">
        <v>19000.0</v>
      </c>
      <c r="D5" s="11">
        <f>MEDIAN(A5:A9)</f>
        <v>24300</v>
      </c>
    </row>
    <row r="6">
      <c r="A6" s="4">
        <v>21000.0</v>
      </c>
    </row>
    <row r="7">
      <c r="A7" s="4">
        <v>24300.0</v>
      </c>
    </row>
    <row r="8">
      <c r="A8" s="4">
        <v>25000.0</v>
      </c>
    </row>
    <row r="9">
      <c r="A9" s="4">
        <v>26000.0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1.0"/>
    <col customWidth="1" min="3" max="3" width="13.63"/>
    <col customWidth="1" min="4" max="4" width="16.0"/>
    <col customWidth="1" min="5" max="5" width="11.25"/>
    <col customWidth="1" min="6" max="6" width="11.63"/>
    <col customWidth="1" min="7" max="7" width="11.75"/>
    <col customWidth="1" min="14" max="14" width="15.63"/>
    <col customWidth="1" min="15" max="15" width="20.5"/>
  </cols>
  <sheetData>
    <row r="1">
      <c r="A1" s="26" t="s">
        <v>231</v>
      </c>
      <c r="B1" s="27" t="s">
        <v>119</v>
      </c>
      <c r="C1" s="28" t="s">
        <v>42</v>
      </c>
      <c r="D1" s="28" t="s">
        <v>43</v>
      </c>
      <c r="E1" s="28" t="s">
        <v>44</v>
      </c>
      <c r="F1" s="28" t="s">
        <v>45</v>
      </c>
      <c r="G1" s="28" t="s">
        <v>46</v>
      </c>
      <c r="H1" s="27" t="s">
        <v>120</v>
      </c>
      <c r="I1" s="28" t="s">
        <v>37</v>
      </c>
      <c r="J1" s="27" t="s">
        <v>121</v>
      </c>
      <c r="K1" s="28" t="s">
        <v>36</v>
      </c>
      <c r="L1" s="28" t="s">
        <v>38</v>
      </c>
      <c r="M1" s="28" t="s">
        <v>49</v>
      </c>
      <c r="N1" s="27" t="s">
        <v>122</v>
      </c>
      <c r="O1" s="27" t="s">
        <v>232</v>
      </c>
      <c r="P1" s="28" t="s">
        <v>51</v>
      </c>
    </row>
    <row r="2">
      <c r="A2" s="88">
        <v>2020.0</v>
      </c>
      <c r="B2" s="23">
        <v>1650789.0</v>
      </c>
      <c r="C2" s="65">
        <v>1.137952678E9</v>
      </c>
      <c r="D2" s="77">
        <f>78243309+28919171</f>
        <v>107162480</v>
      </c>
      <c r="E2" s="65">
        <v>1.5378612E7</v>
      </c>
      <c r="F2" s="65">
        <v>3.41990414E8</v>
      </c>
      <c r="G2" s="67">
        <f>C2+D2+E2</f>
        <v>1260493770</v>
      </c>
      <c r="H2" s="65">
        <v>2.022744375E9</v>
      </c>
      <c r="I2" s="67">
        <f>H2-F2-G2-E2</f>
        <v>404881579</v>
      </c>
      <c r="J2" s="68">
        <f> 1+M2+L2</f>
        <v>5.869655057</v>
      </c>
      <c r="K2" s="68">
        <f>I2/(F2+G2)</f>
        <v>0.2526587052</v>
      </c>
      <c r="L2" s="68">
        <f>I2/F2</f>
        <v>1.18389745</v>
      </c>
      <c r="M2" s="68">
        <f>G2/F2</f>
        <v>3.685757607</v>
      </c>
      <c r="N2" s="67">
        <f t="shared" ref="N2:N21" si="1">I2+G2+F2</f>
        <v>2007365763</v>
      </c>
      <c r="O2" s="77"/>
      <c r="P2" s="69">
        <f t="shared" ref="P2:P21" si="2">N2/H2</f>
        <v>0.992397155</v>
      </c>
    </row>
    <row r="3">
      <c r="A3" s="88">
        <v>2019.0</v>
      </c>
      <c r="C3" s="67">
        <v>1.278471489E9</v>
      </c>
      <c r="D3" s="77">
        <v>9.1891535E7</v>
      </c>
      <c r="E3" s="77">
        <v>2.3565073E7</v>
      </c>
      <c r="F3" s="67">
        <v>3.63041098E8</v>
      </c>
      <c r="G3" s="67">
        <v>1.393928097E9</v>
      </c>
      <c r="H3" s="67">
        <v>4.371723066E9</v>
      </c>
      <c r="I3" s="67">
        <v>2.591188798E9</v>
      </c>
      <c r="J3" s="77">
        <v>6.009988219246648</v>
      </c>
      <c r="K3" s="77">
        <v>1.4748060497440878</v>
      </c>
      <c r="L3" s="77">
        <v>1.1704006224726877</v>
      </c>
      <c r="M3" s="77">
        <v>3.8395875967739608</v>
      </c>
      <c r="N3" s="67">
        <f t="shared" si="1"/>
        <v>4348157993</v>
      </c>
      <c r="O3" s="77"/>
      <c r="P3" s="69">
        <f t="shared" si="2"/>
        <v>0.9946096602</v>
      </c>
    </row>
    <row r="4">
      <c r="A4" s="88">
        <v>2018.0</v>
      </c>
      <c r="B4" s="67">
        <v>2987539.0</v>
      </c>
      <c r="C4" s="67">
        <v>2.492117974E9</v>
      </c>
      <c r="D4" s="77">
        <v>1.42916984E8</v>
      </c>
      <c r="E4" s="77">
        <v>4.6715086E7</v>
      </c>
      <c r="F4" s="67">
        <v>6.69127197E8</v>
      </c>
      <c r="G4" s="77">
        <v>2.681750044E9</v>
      </c>
      <c r="H4" s="77">
        <v>4.304020897E9</v>
      </c>
      <c r="I4" s="67">
        <v>9.0642857E8</v>
      </c>
      <c r="J4" s="77">
        <v>6.362476118273817</v>
      </c>
      <c r="K4" s="77">
        <v>0.27050485732789636</v>
      </c>
      <c r="L4" s="77">
        <v>1.354643144179357</v>
      </c>
      <c r="M4" s="68"/>
      <c r="N4" s="67">
        <f t="shared" si="1"/>
        <v>4257305811</v>
      </c>
      <c r="O4" s="77"/>
      <c r="P4" s="69">
        <f t="shared" si="2"/>
        <v>0.9891461758</v>
      </c>
    </row>
    <row r="5">
      <c r="A5" s="64">
        <v>2017.0</v>
      </c>
      <c r="B5" s="65">
        <v>1595901.0</v>
      </c>
      <c r="C5" s="65">
        <v>1.187307705E9</v>
      </c>
      <c r="D5" s="77">
        <f>69172349+1091288</f>
        <v>70263637</v>
      </c>
      <c r="E5" s="65">
        <v>2.2012835E7</v>
      </c>
      <c r="F5" s="65">
        <v>3.2109656E8</v>
      </c>
      <c r="G5" s="67">
        <f t="shared" ref="G5:G21" si="3">C5+D5+E5</f>
        <v>1279584177</v>
      </c>
      <c r="H5" s="65">
        <v>2.055667531E9</v>
      </c>
      <c r="I5" s="67">
        <f t="shared" ref="I5:I21" si="4">H5-F5-G5-E5</f>
        <v>432973959</v>
      </c>
      <c r="J5" s="68">
        <f t="shared" ref="J5:J21" si="5">1+M5+L5</f>
        <v>6.333467715</v>
      </c>
      <c r="K5" s="68">
        <f t="shared" ref="K5:K21" si="6">I5/(F5+G5)</f>
        <v>0.27049364</v>
      </c>
      <c r="L5" s="68">
        <f t="shared" ref="L5:L21" si="7">I5/F5</f>
        <v>1.348422914</v>
      </c>
      <c r="M5" s="68">
        <f t="shared" ref="M5:M21" si="8">G5/F5</f>
        <v>3.985044801</v>
      </c>
      <c r="N5" s="67">
        <f t="shared" si="1"/>
        <v>2033654696</v>
      </c>
      <c r="O5" s="77">
        <f t="shared" ref="O5:O20" si="9">CONVERT(I5*10.12,"min","yr")</f>
        <v>8330.854942</v>
      </c>
      <c r="P5" s="69">
        <f t="shared" si="2"/>
        <v>0.9892916366</v>
      </c>
    </row>
    <row r="6">
      <c r="A6" s="78">
        <v>2016.0</v>
      </c>
      <c r="B6" s="65">
        <v>1552713.0</v>
      </c>
      <c r="C6" s="65">
        <v>1.084414939E9</v>
      </c>
      <c r="D6" s="68">
        <f>67068942+6323111</f>
        <v>73392053</v>
      </c>
      <c r="E6" s="65">
        <v>2.4814688E7</v>
      </c>
      <c r="F6" s="65">
        <v>3.00889469E8</v>
      </c>
      <c r="G6" s="67">
        <f t="shared" si="3"/>
        <v>1182621680</v>
      </c>
      <c r="H6" s="65">
        <v>1.896148692E9</v>
      </c>
      <c r="I6" s="67">
        <f t="shared" si="4"/>
        <v>387822855</v>
      </c>
      <c r="J6" s="68">
        <f t="shared" si="5"/>
        <v>6.219340312</v>
      </c>
      <c r="K6" s="68">
        <f t="shared" si="6"/>
        <v>0.2614222719</v>
      </c>
      <c r="L6" s="68">
        <f t="shared" si="7"/>
        <v>1.288921331</v>
      </c>
      <c r="M6" s="68">
        <f t="shared" si="8"/>
        <v>3.930418981</v>
      </c>
      <c r="N6" s="67">
        <f t="shared" si="1"/>
        <v>1871334004</v>
      </c>
      <c r="O6" s="77">
        <f t="shared" si="9"/>
        <v>7462.102237</v>
      </c>
      <c r="P6" s="69">
        <f t="shared" si="2"/>
        <v>0.9869131107</v>
      </c>
    </row>
    <row r="7">
      <c r="A7" s="78">
        <v>2015.0</v>
      </c>
      <c r="B7" s="65">
        <v>1478972.0</v>
      </c>
      <c r="C7" s="65">
        <v>1.064584032E9</v>
      </c>
      <c r="D7" s="68">
        <f>62144232+10313118</f>
        <v>72457350</v>
      </c>
      <c r="E7" s="65">
        <v>1.2231291E7</v>
      </c>
      <c r="F7" s="65">
        <v>2.85492492E8</v>
      </c>
      <c r="G7" s="67">
        <f t="shared" si="3"/>
        <v>1149272673</v>
      </c>
      <c r="H7" s="65">
        <v>1.841473542E9</v>
      </c>
      <c r="I7" s="67">
        <f t="shared" si="4"/>
        <v>394477086</v>
      </c>
      <c r="J7" s="68">
        <f t="shared" si="5"/>
        <v>6.407321741</v>
      </c>
      <c r="K7" s="68">
        <f t="shared" si="6"/>
        <v>0.2749419178</v>
      </c>
      <c r="L7" s="68">
        <f t="shared" si="7"/>
        <v>1.381742417</v>
      </c>
      <c r="M7" s="68">
        <f t="shared" si="8"/>
        <v>4.025579324</v>
      </c>
      <c r="N7" s="67">
        <f t="shared" si="1"/>
        <v>1829242251</v>
      </c>
      <c r="O7" s="77">
        <f t="shared" si="9"/>
        <v>7590.136342</v>
      </c>
      <c r="P7" s="69">
        <f t="shared" si="2"/>
        <v>0.9933578785</v>
      </c>
    </row>
    <row r="8">
      <c r="A8" s="78">
        <v>2014.0</v>
      </c>
      <c r="B8" s="65">
        <v>1447338.0</v>
      </c>
      <c r="C8" s="65">
        <v>1.042901178E9</v>
      </c>
      <c r="D8" s="68">
        <f>61941392+18655868</f>
        <v>80597260</v>
      </c>
      <c r="E8" s="65">
        <v>8824513.0</v>
      </c>
      <c r="F8" s="65">
        <v>2.71343545E8</v>
      </c>
      <c r="G8" s="67">
        <f t="shared" si="3"/>
        <v>1132322951</v>
      </c>
      <c r="H8" s="65">
        <v>1.772402842E9</v>
      </c>
      <c r="I8" s="67">
        <f t="shared" si="4"/>
        <v>359911833</v>
      </c>
      <c r="J8" s="68">
        <f t="shared" si="5"/>
        <v>6.499429824</v>
      </c>
      <c r="K8" s="68">
        <f t="shared" si="6"/>
        <v>0.2564083663</v>
      </c>
      <c r="L8" s="68">
        <f t="shared" si="7"/>
        <v>1.326406467</v>
      </c>
      <c r="M8" s="68">
        <f t="shared" si="8"/>
        <v>4.173023357</v>
      </c>
      <c r="N8" s="67">
        <f t="shared" si="1"/>
        <v>1763578329</v>
      </c>
      <c r="O8" s="77">
        <f t="shared" si="9"/>
        <v>6925.06607</v>
      </c>
      <c r="P8" s="69">
        <f t="shared" si="2"/>
        <v>0.9950211584</v>
      </c>
    </row>
    <row r="9">
      <c r="A9" s="78">
        <v>2013.0</v>
      </c>
      <c r="B9" s="65">
        <v>1428655.0</v>
      </c>
      <c r="C9" s="65">
        <v>1.004038877E9</v>
      </c>
      <c r="D9" s="68">
        <f>62223055+23261333</f>
        <v>85484388</v>
      </c>
      <c r="E9" s="65">
        <v>7237503.0</v>
      </c>
      <c r="F9" s="65">
        <v>2.65674674E8</v>
      </c>
      <c r="G9" s="67">
        <f t="shared" si="3"/>
        <v>1096760768</v>
      </c>
      <c r="H9" s="65">
        <v>1.69607858E9</v>
      </c>
      <c r="I9" s="67">
        <f t="shared" si="4"/>
        <v>326405635</v>
      </c>
      <c r="J9" s="68">
        <f t="shared" si="5"/>
        <v>6.356801164</v>
      </c>
      <c r="K9" s="68">
        <f t="shared" si="6"/>
        <v>0.2395751204</v>
      </c>
      <c r="L9" s="68">
        <f t="shared" si="7"/>
        <v>1.228591458</v>
      </c>
      <c r="M9" s="68">
        <f t="shared" si="8"/>
        <v>4.128209707</v>
      </c>
      <c r="N9" s="67">
        <f t="shared" si="1"/>
        <v>1688841077</v>
      </c>
      <c r="O9" s="77">
        <f t="shared" si="9"/>
        <v>6280.373082</v>
      </c>
      <c r="P9" s="69">
        <f t="shared" si="2"/>
        <v>0.9957328021</v>
      </c>
    </row>
    <row r="10">
      <c r="A10" s="64">
        <v>2012.0</v>
      </c>
      <c r="B10" s="65">
        <v>1416870.0</v>
      </c>
      <c r="C10" s="65">
        <v>1.03495627E9</v>
      </c>
      <c r="D10" s="68">
        <f>63760479+21045298</f>
        <v>84805777</v>
      </c>
      <c r="E10" s="65">
        <v>4112605.0</v>
      </c>
      <c r="F10" s="65">
        <v>2.74606759E8</v>
      </c>
      <c r="G10" s="67">
        <f t="shared" si="3"/>
        <v>1123874652</v>
      </c>
      <c r="H10" s="65">
        <v>1.710420031E9</v>
      </c>
      <c r="I10" s="67">
        <f t="shared" si="4"/>
        <v>307826015</v>
      </c>
      <c r="J10" s="68">
        <f t="shared" si="5"/>
        <v>6.213639578</v>
      </c>
      <c r="K10" s="68">
        <f t="shared" si="6"/>
        <v>0.2201144846</v>
      </c>
      <c r="L10" s="68">
        <f t="shared" si="7"/>
        <v>1.120970278</v>
      </c>
      <c r="M10" s="68">
        <f t="shared" si="8"/>
        <v>4.0926693</v>
      </c>
      <c r="N10" s="67">
        <f t="shared" si="1"/>
        <v>1706307426</v>
      </c>
      <c r="O10" s="77">
        <f t="shared" si="9"/>
        <v>5922.882485</v>
      </c>
      <c r="P10" s="69">
        <f t="shared" si="2"/>
        <v>0.9975955584</v>
      </c>
    </row>
    <row r="11">
      <c r="A11" s="88">
        <v>2011.0</v>
      </c>
      <c r="B11" s="65">
        <v>1415046.0</v>
      </c>
      <c r="C11" s="65">
        <v>1.059981093E9</v>
      </c>
      <c r="D11" s="68">
        <f>65502722+5363206</f>
        <v>70865928</v>
      </c>
      <c r="E11" s="65">
        <v>6983534.0</v>
      </c>
      <c r="F11" s="65">
        <v>2.90618945E8</v>
      </c>
      <c r="G11" s="67">
        <f t="shared" si="3"/>
        <v>1137830555</v>
      </c>
      <c r="H11" s="65">
        <v>1.781841633E9</v>
      </c>
      <c r="I11" s="67">
        <f t="shared" si="4"/>
        <v>346408599</v>
      </c>
      <c r="J11" s="68">
        <f t="shared" si="5"/>
        <v>6.107165859</v>
      </c>
      <c r="K11" s="68">
        <f t="shared" si="6"/>
        <v>0.2425067172</v>
      </c>
      <c r="L11" s="68">
        <f t="shared" si="7"/>
        <v>1.1919684</v>
      </c>
      <c r="M11" s="68">
        <f t="shared" si="8"/>
        <v>3.915197459</v>
      </c>
      <c r="N11" s="67">
        <f t="shared" si="1"/>
        <v>1774858099</v>
      </c>
      <c r="O11" s="77">
        <f t="shared" si="9"/>
        <v>6665.250251</v>
      </c>
      <c r="P11" s="69">
        <f t="shared" si="2"/>
        <v>0.9960807213</v>
      </c>
    </row>
    <row r="12">
      <c r="A12" s="88">
        <v>2010.0</v>
      </c>
      <c r="B12" s="65">
        <v>1414065.0</v>
      </c>
      <c r="C12" s="65">
        <v>1.038018671E9</v>
      </c>
      <c r="D12" s="68">
        <f>66261068+6035069</f>
        <v>72296137</v>
      </c>
      <c r="E12" s="65">
        <v>9818685.0</v>
      </c>
      <c r="F12" s="65">
        <v>2.9077478E8</v>
      </c>
      <c r="G12" s="67">
        <f t="shared" si="3"/>
        <v>1120133493</v>
      </c>
      <c r="H12" s="65">
        <v>1.783757051E9</v>
      </c>
      <c r="I12" s="67">
        <f t="shared" si="4"/>
        <v>363030093</v>
      </c>
      <c r="J12" s="68">
        <f t="shared" si="5"/>
        <v>6.100729802</v>
      </c>
      <c r="K12" s="68">
        <f t="shared" si="6"/>
        <v>0.2573024058</v>
      </c>
      <c r="L12" s="68">
        <f t="shared" si="7"/>
        <v>1.248492366</v>
      </c>
      <c r="M12" s="68">
        <f t="shared" si="8"/>
        <v>3.852237436</v>
      </c>
      <c r="N12" s="67">
        <f t="shared" si="1"/>
        <v>1773938366</v>
      </c>
      <c r="O12" s="77">
        <f t="shared" si="9"/>
        <v>6985.064532</v>
      </c>
      <c r="P12" s="69">
        <f t="shared" si="2"/>
        <v>0.9944955032</v>
      </c>
    </row>
    <row r="13">
      <c r="A13" s="88">
        <v>2009.0</v>
      </c>
      <c r="B13" s="65">
        <v>1412254.0</v>
      </c>
      <c r="C13" s="65">
        <v>1.006958669E9</v>
      </c>
      <c r="D13" s="68">
        <f>66650125+1941327</f>
        <v>68591452</v>
      </c>
      <c r="E13" s="65">
        <v>8677989.0</v>
      </c>
      <c r="F13" s="65">
        <v>2.98730468E8</v>
      </c>
      <c r="G13" s="67">
        <f t="shared" si="3"/>
        <v>1084228110</v>
      </c>
      <c r="H13" s="65">
        <v>1.757165743E9</v>
      </c>
      <c r="I13" s="67">
        <f t="shared" si="4"/>
        <v>365529176</v>
      </c>
      <c r="J13" s="68">
        <f t="shared" si="5"/>
        <v>5.853061342</v>
      </c>
      <c r="K13" s="68">
        <f t="shared" si="6"/>
        <v>0.264309562</v>
      </c>
      <c r="L13" s="68">
        <f t="shared" si="7"/>
        <v>1.223608621</v>
      </c>
      <c r="M13" s="68">
        <f t="shared" si="8"/>
        <v>3.629452721</v>
      </c>
      <c r="N13" s="67">
        <f t="shared" si="1"/>
        <v>1748487754</v>
      </c>
      <c r="O13" s="77">
        <f t="shared" si="9"/>
        <v>7033.149405</v>
      </c>
      <c r="P13" s="69">
        <f t="shared" si="2"/>
        <v>0.9950613714</v>
      </c>
    </row>
    <row r="14">
      <c r="A14" s="88">
        <v>2008.0</v>
      </c>
      <c r="B14" s="65">
        <v>1414479.0</v>
      </c>
      <c r="C14" s="65">
        <v>1.246397854E9</v>
      </c>
      <c r="D14" s="68">
        <f>65973937-1238015</f>
        <v>64735922</v>
      </c>
      <c r="E14" s="65">
        <v>7828526.0</v>
      </c>
      <c r="F14" s="65">
        <v>3.1903996E8</v>
      </c>
      <c r="G14" s="67">
        <f t="shared" si="3"/>
        <v>1318962302</v>
      </c>
      <c r="H14" s="65">
        <v>2.055445729E9</v>
      </c>
      <c r="I14" s="67">
        <f t="shared" si="4"/>
        <v>409614941</v>
      </c>
      <c r="J14" s="68">
        <f t="shared" si="5"/>
        <v>6.418058738</v>
      </c>
      <c r="K14" s="68">
        <f t="shared" si="6"/>
        <v>0.2500698262</v>
      </c>
      <c r="L14" s="68">
        <f t="shared" si="7"/>
        <v>1.283898547</v>
      </c>
      <c r="M14" s="68">
        <f t="shared" si="8"/>
        <v>4.134160191</v>
      </c>
      <c r="N14" s="67">
        <f t="shared" si="1"/>
        <v>2047617203</v>
      </c>
      <c r="O14" s="77">
        <f t="shared" si="9"/>
        <v>7881.403915</v>
      </c>
      <c r="P14" s="69">
        <f t="shared" si="2"/>
        <v>0.9961913244</v>
      </c>
    </row>
    <row r="15">
      <c r="A15" s="88">
        <v>2007.0</v>
      </c>
      <c r="B15" s="65">
        <v>1412344.0</v>
      </c>
      <c r="C15" s="65">
        <v>1.320596325E9</v>
      </c>
      <c r="D15" s="68">
        <f>67578723+0</f>
        <v>67578723</v>
      </c>
      <c r="E15" s="65">
        <v>2.9362107E7</v>
      </c>
      <c r="F15" s="65">
        <v>3.09179672E8</v>
      </c>
      <c r="G15" s="67">
        <f t="shared" si="3"/>
        <v>1417537155</v>
      </c>
      <c r="H15" s="65">
        <v>2.153974747E9</v>
      </c>
      <c r="I15" s="67">
        <f t="shared" si="4"/>
        <v>397895813</v>
      </c>
      <c r="J15" s="68">
        <f t="shared" si="5"/>
        <v>6.871773381</v>
      </c>
      <c r="K15" s="68">
        <f t="shared" si="6"/>
        <v>0.2304348963</v>
      </c>
      <c r="L15" s="68">
        <f t="shared" si="7"/>
        <v>1.286940407</v>
      </c>
      <c r="M15" s="68">
        <f t="shared" si="8"/>
        <v>4.584832974</v>
      </c>
      <c r="N15" s="67">
        <f t="shared" si="1"/>
        <v>2124612640</v>
      </c>
      <c r="O15" s="77">
        <f t="shared" si="9"/>
        <v>7655.916092</v>
      </c>
      <c r="P15" s="69">
        <f t="shared" si="2"/>
        <v>0.986368407</v>
      </c>
    </row>
    <row r="16">
      <c r="A16" s="88">
        <v>2006.0</v>
      </c>
      <c r="B16" s="65">
        <v>1295324.0</v>
      </c>
      <c r="C16" s="65">
        <v>1.234532179E9</v>
      </c>
      <c r="D16" s="65">
        <v>6.1938899E7</v>
      </c>
      <c r="E16" s="65">
        <v>3.8758947E7</v>
      </c>
      <c r="F16" s="65">
        <v>2.83556321E8</v>
      </c>
      <c r="G16" s="67">
        <f t="shared" si="3"/>
        <v>1335230025</v>
      </c>
      <c r="H16" s="65">
        <v>1.994186552E9</v>
      </c>
      <c r="I16" s="67">
        <f t="shared" si="4"/>
        <v>336641259</v>
      </c>
      <c r="J16" s="68">
        <f t="shared" si="5"/>
        <v>6.896081872</v>
      </c>
      <c r="K16" s="68">
        <f t="shared" si="6"/>
        <v>0.2079590428</v>
      </c>
      <c r="L16" s="68">
        <f t="shared" si="7"/>
        <v>1.187211267</v>
      </c>
      <c r="M16" s="68">
        <f t="shared" si="8"/>
        <v>4.708870606</v>
      </c>
      <c r="N16" s="67">
        <f t="shared" si="1"/>
        <v>1955427605</v>
      </c>
      <c r="O16" s="77">
        <f t="shared" si="9"/>
        <v>6477.316794</v>
      </c>
      <c r="P16" s="69">
        <f t="shared" si="2"/>
        <v>0.9805640315</v>
      </c>
    </row>
    <row r="17">
      <c r="A17" s="88">
        <v>2005.0</v>
      </c>
      <c r="B17" s="65">
        <v>1201893.0</v>
      </c>
      <c r="C17" s="65">
        <v>1.11476986E9</v>
      </c>
      <c r="D17" s="65">
        <v>5.8067329E7</v>
      </c>
      <c r="E17" s="65">
        <v>2.8182817E7</v>
      </c>
      <c r="F17" s="65">
        <v>2.58633002E8</v>
      </c>
      <c r="G17" s="67">
        <f t="shared" si="3"/>
        <v>1201020006</v>
      </c>
      <c r="H17" s="65">
        <v>1.802375388E9</v>
      </c>
      <c r="I17" s="67">
        <f t="shared" si="4"/>
        <v>314539563</v>
      </c>
      <c r="J17" s="68">
        <f t="shared" si="5"/>
        <v>6.859884691</v>
      </c>
      <c r="K17" s="68">
        <f t="shared" si="6"/>
        <v>0.2154892713</v>
      </c>
      <c r="L17" s="68">
        <f t="shared" si="7"/>
        <v>1.216161745</v>
      </c>
      <c r="M17" s="68">
        <f t="shared" si="8"/>
        <v>4.643722946</v>
      </c>
      <c r="N17" s="67">
        <f t="shared" si="1"/>
        <v>1774192571</v>
      </c>
      <c r="O17" s="77">
        <f t="shared" si="9"/>
        <v>6052.057909</v>
      </c>
      <c r="P17" s="69">
        <f t="shared" si="2"/>
        <v>0.9843635143</v>
      </c>
    </row>
    <row r="18">
      <c r="A18" s="88">
        <v>2004.0</v>
      </c>
      <c r="B18" s="65">
        <v>1118888.0</v>
      </c>
      <c r="C18" s="65">
        <v>9.78042113E8</v>
      </c>
      <c r="D18" s="65">
        <v>5.3842646E7</v>
      </c>
      <c r="E18" s="65">
        <v>2.3455373E7</v>
      </c>
      <c r="F18" s="65">
        <v>2.34275226E8</v>
      </c>
      <c r="G18" s="67">
        <f t="shared" si="3"/>
        <v>1055340132</v>
      </c>
      <c r="H18" s="65">
        <v>1.607275123E9</v>
      </c>
      <c r="I18" s="67">
        <f t="shared" si="4"/>
        <v>294204392</v>
      </c>
      <c r="J18" s="68">
        <f t="shared" si="5"/>
        <v>6.760508898</v>
      </c>
      <c r="K18" s="68">
        <f t="shared" si="6"/>
        <v>0.2281334432</v>
      </c>
      <c r="L18" s="68">
        <f t="shared" si="7"/>
        <v>1.255806672</v>
      </c>
      <c r="M18" s="68">
        <f t="shared" si="8"/>
        <v>4.504702226</v>
      </c>
      <c r="N18" s="67">
        <f t="shared" si="1"/>
        <v>1583819750</v>
      </c>
      <c r="O18" s="77">
        <f t="shared" si="9"/>
        <v>5660.788743</v>
      </c>
      <c r="P18" s="69">
        <f t="shared" si="2"/>
        <v>0.9854067467</v>
      </c>
    </row>
    <row r="19">
      <c r="A19" s="88">
        <v>2003.0</v>
      </c>
      <c r="B19" s="65">
        <v>1043359.0</v>
      </c>
      <c r="C19" s="65">
        <v>8.91521467E8</v>
      </c>
      <c r="D19" s="65">
        <v>5.0594162E7</v>
      </c>
      <c r="E19" s="65">
        <v>1.7842897E7</v>
      </c>
      <c r="F19" s="65">
        <v>2.19330244E8</v>
      </c>
      <c r="G19" s="67">
        <f t="shared" si="3"/>
        <v>959958526</v>
      </c>
      <c r="H19" s="65">
        <v>1.457631924E9</v>
      </c>
      <c r="I19" s="67">
        <f t="shared" si="4"/>
        <v>260500257</v>
      </c>
      <c r="J19" s="68">
        <f t="shared" si="5"/>
        <v>6.564480122</v>
      </c>
      <c r="K19" s="68">
        <f t="shared" si="6"/>
        <v>0.220896072</v>
      </c>
      <c r="L19" s="68">
        <f t="shared" si="7"/>
        <v>1.18770787</v>
      </c>
      <c r="M19" s="68">
        <f t="shared" si="8"/>
        <v>4.376772252</v>
      </c>
      <c r="N19" s="67">
        <f t="shared" si="1"/>
        <v>1439789027</v>
      </c>
      <c r="O19" s="77">
        <f t="shared" si="9"/>
        <v>5012.287248</v>
      </c>
      <c r="P19" s="69">
        <f t="shared" si="2"/>
        <v>0.9877589831</v>
      </c>
    </row>
    <row r="20">
      <c r="A20" s="88">
        <v>2002.0</v>
      </c>
      <c r="B20" s="65">
        <v>1010782.0</v>
      </c>
      <c r="C20" s="65">
        <v>8.24532153E8</v>
      </c>
      <c r="D20" s="65">
        <v>4.414779E7</v>
      </c>
      <c r="E20" s="65">
        <v>5414400.0</v>
      </c>
      <c r="F20" s="65">
        <v>2.00240976E8</v>
      </c>
      <c r="G20" s="67">
        <f t="shared" si="3"/>
        <v>874094343</v>
      </c>
      <c r="H20" s="65">
        <v>1.342911657E9</v>
      </c>
      <c r="I20" s="67">
        <f t="shared" si="4"/>
        <v>263161938</v>
      </c>
      <c r="J20" s="68">
        <f t="shared" si="5"/>
        <v>6.679438363</v>
      </c>
      <c r="K20" s="68">
        <f t="shared" si="6"/>
        <v>0.2449532593</v>
      </c>
      <c r="L20" s="68">
        <f t="shared" si="7"/>
        <v>1.314226205</v>
      </c>
      <c r="M20" s="68">
        <f t="shared" si="8"/>
        <v>4.365212158</v>
      </c>
      <c r="N20" s="67">
        <f t="shared" si="1"/>
        <v>1337497257</v>
      </c>
      <c r="O20" s="77">
        <f t="shared" si="9"/>
        <v>5063.50067</v>
      </c>
      <c r="P20" s="69">
        <f t="shared" si="2"/>
        <v>0.9959681637</v>
      </c>
    </row>
    <row r="21">
      <c r="A21" s="79" t="s">
        <v>161</v>
      </c>
      <c r="B21" s="80">
        <f t="shared" ref="B21:F21" si="10">SUM(B5:B10)</f>
        <v>8920449</v>
      </c>
      <c r="C21" s="80">
        <f t="shared" si="10"/>
        <v>6418203001</v>
      </c>
      <c r="D21" s="81">
        <f t="shared" si="10"/>
        <v>467000465</v>
      </c>
      <c r="E21" s="80">
        <f t="shared" si="10"/>
        <v>79233435</v>
      </c>
      <c r="F21" s="80">
        <f t="shared" si="10"/>
        <v>1719103499</v>
      </c>
      <c r="G21" s="80">
        <f t="shared" si="3"/>
        <v>6964436901</v>
      </c>
      <c r="H21" s="82">
        <f>SUM(H5:H10)</f>
        <v>10972191218</v>
      </c>
      <c r="I21" s="80">
        <f t="shared" si="4"/>
        <v>2209417383</v>
      </c>
      <c r="J21" s="83">
        <f t="shared" si="5"/>
        <v>6.336417667</v>
      </c>
      <c r="K21" s="83">
        <f t="shared" si="6"/>
        <v>0.2544373932</v>
      </c>
      <c r="L21" s="83">
        <f t="shared" si="7"/>
        <v>1.285214872</v>
      </c>
      <c r="M21" s="83">
        <f t="shared" si="8"/>
        <v>4.051202796</v>
      </c>
      <c r="N21" s="80">
        <f t="shared" si="1"/>
        <v>10892957783</v>
      </c>
      <c r="O21" s="81">
        <f>((((I21*7.51)/60)/12)/24)/365</f>
        <v>2630.759219</v>
      </c>
      <c r="P21" s="84">
        <f t="shared" si="2"/>
        <v>0.9927787045</v>
      </c>
    </row>
    <row r="23">
      <c r="P23" s="21">
        <f>AVERAGE(P2:P20)</f>
        <v>0.9913854685</v>
      </c>
    </row>
    <row r="24">
      <c r="P24" s="21">
        <f>1-P23</f>
        <v>0.00861453146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79</v>
      </c>
      <c r="B1" s="89" t="s">
        <v>119</v>
      </c>
      <c r="C1" s="68" t="s">
        <v>42</v>
      </c>
      <c r="D1" s="68" t="s">
        <v>43</v>
      </c>
      <c r="E1" s="68" t="s">
        <v>44</v>
      </c>
      <c r="F1" s="68" t="s">
        <v>45</v>
      </c>
      <c r="G1" s="68" t="s">
        <v>46</v>
      </c>
      <c r="H1" s="89" t="s">
        <v>120</v>
      </c>
      <c r="I1" s="68" t="s">
        <v>37</v>
      </c>
      <c r="J1" s="89" t="s">
        <v>121</v>
      </c>
      <c r="K1" s="68" t="s">
        <v>36</v>
      </c>
      <c r="L1" s="68" t="s">
        <v>38</v>
      </c>
      <c r="M1" s="68" t="s">
        <v>49</v>
      </c>
      <c r="N1" s="89" t="s">
        <v>122</v>
      </c>
      <c r="O1" s="89" t="s">
        <v>232</v>
      </c>
      <c r="P1" s="68" t="s">
        <v>51</v>
      </c>
      <c r="Q1" s="14" t="s">
        <v>233</v>
      </c>
      <c r="R1" s="14" t="s">
        <v>234</v>
      </c>
      <c r="S1" s="68"/>
      <c r="T1" s="68"/>
      <c r="U1" s="68"/>
      <c r="V1" s="68"/>
      <c r="W1" s="68"/>
      <c r="X1" s="68"/>
      <c r="Y1" s="68"/>
      <c r="Z1" s="68"/>
      <c r="AA1" s="68"/>
    </row>
    <row r="2">
      <c r="A2" s="24">
        <v>2020.0</v>
      </c>
      <c r="B2" s="24">
        <v>1650789.0</v>
      </c>
      <c r="C2" s="24">
        <v>1.137952678E9</v>
      </c>
      <c r="D2" s="11">
        <v>1.0716248E8</v>
      </c>
      <c r="E2" s="24">
        <v>1.5378612E7</v>
      </c>
      <c r="F2" s="24">
        <v>3.41990414E8</v>
      </c>
      <c r="G2" s="11">
        <v>1.26049377E9</v>
      </c>
      <c r="H2" s="24">
        <v>2.022744375E9</v>
      </c>
      <c r="I2" s="11">
        <v>4.04881579E8</v>
      </c>
      <c r="J2" s="11">
        <v>5.869655057056658</v>
      </c>
      <c r="K2" s="11">
        <v>0.2526587051794578</v>
      </c>
      <c r="L2" s="11">
        <v>1.183897449827351</v>
      </c>
      <c r="M2" s="11">
        <v>3.6857576072293066</v>
      </c>
      <c r="N2" s="11">
        <v>2.007365763E9</v>
      </c>
      <c r="P2" s="11">
        <v>0.992397154979111</v>
      </c>
      <c r="Q2" s="11">
        <f t="shared" ref="Q2:Q20" si="1">((F2+G2)-G2^2 * (G2-I2))/(G2*F2)</f>
        <v>-3153579142</v>
      </c>
      <c r="R2" s="11">
        <f t="shared" ref="R2:R20" si="2">I2+((G2+F2)-G2^3)</f>
        <v>-2.00273E+27</v>
      </c>
      <c r="S2" s="11">
        <f>6*((G2+F2)-(G2)^3)*(1+3*((G2+F2)-(G2)^3))</f>
        <v>7.21966E+55</v>
      </c>
      <c r="T2" s="11">
        <f>S2/I2</f>
        <v>1.78315E+47</v>
      </c>
    </row>
    <row r="3">
      <c r="A3" s="24">
        <v>2019.0</v>
      </c>
      <c r="C3" s="11">
        <v>1.278471489E9</v>
      </c>
      <c r="D3" s="11">
        <v>9.1891535E7</v>
      </c>
      <c r="E3" s="11">
        <v>2.3565073E7</v>
      </c>
      <c r="F3" s="11">
        <v>3.63041098E8</v>
      </c>
      <c r="G3" s="11">
        <v>1.393928097E9</v>
      </c>
      <c r="H3" s="11">
        <v>4.371723066E9</v>
      </c>
      <c r="I3" s="11">
        <v>2.591188798E9</v>
      </c>
      <c r="J3" s="11">
        <v>6.009988219246648</v>
      </c>
      <c r="K3" s="11">
        <v>1.4748060497440878</v>
      </c>
      <c r="L3" s="11">
        <v>1.1704006224726877</v>
      </c>
      <c r="M3" s="11">
        <v>3.8395875967739608</v>
      </c>
      <c r="N3" s="11">
        <v>4.348157993E9</v>
      </c>
      <c r="P3" s="11">
        <v>0.9946096601627693</v>
      </c>
      <c r="Q3" s="11">
        <f t="shared" si="1"/>
        <v>4596987338</v>
      </c>
      <c r="R3" s="11">
        <f t="shared" si="2"/>
        <v>-2.70845E+27</v>
      </c>
      <c r="T3" s="11">
        <f>SUM(I2:I20)*1000000</f>
        <v>9.46344E+15</v>
      </c>
    </row>
    <row r="4">
      <c r="A4" s="24">
        <v>2018.0</v>
      </c>
      <c r="B4" s="11">
        <v>2987539.0</v>
      </c>
      <c r="C4" s="11">
        <v>2.492117974E9</v>
      </c>
      <c r="D4" s="11">
        <v>1.42916984E8</v>
      </c>
      <c r="E4" s="11">
        <v>4.6715086E7</v>
      </c>
      <c r="F4" s="11">
        <v>6.69127197E8</v>
      </c>
      <c r="G4" s="11">
        <v>2.681750044E9</v>
      </c>
      <c r="H4" s="11">
        <v>4.304020897E9</v>
      </c>
      <c r="I4" s="11">
        <v>9.0642857E8</v>
      </c>
      <c r="J4" s="11">
        <v>6.362476118273817</v>
      </c>
      <c r="K4" s="11">
        <v>0.27050485732789636</v>
      </c>
      <c r="L4" s="11">
        <v>1.354643144179357</v>
      </c>
      <c r="N4" s="11">
        <v>4.257305811E9</v>
      </c>
      <c r="P4" s="11">
        <v>0.9891461758393038</v>
      </c>
      <c r="Q4" s="11">
        <f t="shared" si="1"/>
        <v>-7115191943</v>
      </c>
      <c r="R4" s="11">
        <f t="shared" si="2"/>
        <v>-1.92866E+28</v>
      </c>
    </row>
    <row r="5">
      <c r="A5" s="24">
        <v>2017.0</v>
      </c>
      <c r="B5" s="24">
        <v>1595901.0</v>
      </c>
      <c r="C5" s="24">
        <v>1.187307705E9</v>
      </c>
      <c r="D5" s="11">
        <v>7.0263637E7</v>
      </c>
      <c r="E5" s="24">
        <v>2.2012835E7</v>
      </c>
      <c r="F5" s="24">
        <v>3.2109656E8</v>
      </c>
      <c r="G5" s="11">
        <v>1.279584177E9</v>
      </c>
      <c r="H5" s="24">
        <v>2.055667531E9</v>
      </c>
      <c r="I5" s="11">
        <v>4.32973959E8</v>
      </c>
      <c r="J5" s="11">
        <v>6.333467714509306</v>
      </c>
      <c r="K5" s="11">
        <v>0.2704936399818748</v>
      </c>
      <c r="L5" s="11">
        <v>1.3484229136556305</v>
      </c>
      <c r="M5" s="11">
        <v>3.9850448008536747</v>
      </c>
      <c r="N5" s="11">
        <v>2.033654696E9</v>
      </c>
      <c r="O5" s="11">
        <v>8330.85494159253</v>
      </c>
      <c r="P5" s="11">
        <v>0.9892916365764207</v>
      </c>
      <c r="Q5" s="11">
        <f t="shared" si="1"/>
        <v>-3373779648</v>
      </c>
      <c r="R5" s="11">
        <f t="shared" si="2"/>
        <v>-2.09511E+27</v>
      </c>
    </row>
    <row r="6">
      <c r="A6" s="24">
        <v>2016.0</v>
      </c>
      <c r="B6" s="24">
        <v>1552713.0</v>
      </c>
      <c r="C6" s="24">
        <v>1.084414939E9</v>
      </c>
      <c r="D6" s="11">
        <v>7.3392053E7</v>
      </c>
      <c r="E6" s="24">
        <v>2.4814688E7</v>
      </c>
      <c r="F6" s="24">
        <v>3.00889469E8</v>
      </c>
      <c r="G6" s="11">
        <v>1.18262168E9</v>
      </c>
      <c r="H6" s="24">
        <v>1.896148692E9</v>
      </c>
      <c r="I6" s="11">
        <v>3.87822855E8</v>
      </c>
      <c r="J6" s="11">
        <v>6.219340311973498</v>
      </c>
      <c r="K6" s="11">
        <v>0.26142227192658596</v>
      </c>
      <c r="L6" s="11">
        <v>1.2889213314408157</v>
      </c>
      <c r="M6" s="11">
        <v>3.930418980532682</v>
      </c>
      <c r="N6" s="11">
        <v>1.871334004E9</v>
      </c>
      <c r="O6" s="11">
        <v>7462.10223705226</v>
      </c>
      <c r="P6" s="11">
        <v>0.9869131107150536</v>
      </c>
      <c r="Q6" s="11">
        <f t="shared" si="1"/>
        <v>-3123892387</v>
      </c>
      <c r="R6" s="11">
        <f t="shared" si="2"/>
        <v>-1.65401E+27</v>
      </c>
    </row>
    <row r="7">
      <c r="A7" s="24">
        <v>2015.0</v>
      </c>
      <c r="B7" s="24">
        <v>1478972.0</v>
      </c>
      <c r="C7" s="24">
        <v>1.064584032E9</v>
      </c>
      <c r="D7" s="11">
        <v>7.245735E7</v>
      </c>
      <c r="E7" s="24">
        <v>1.2231291E7</v>
      </c>
      <c r="F7" s="24">
        <v>2.85492492E8</v>
      </c>
      <c r="G7" s="11">
        <v>1.149272673E9</v>
      </c>
      <c r="H7" s="24">
        <v>1.841473542E9</v>
      </c>
      <c r="I7" s="11">
        <v>3.94477086E8</v>
      </c>
      <c r="J7" s="11">
        <v>6.407321741406776</v>
      </c>
      <c r="K7" s="11">
        <v>0.27494191775976107</v>
      </c>
      <c r="L7" s="11">
        <v>1.3817424172401704</v>
      </c>
      <c r="M7" s="11">
        <v>4.025579324166605</v>
      </c>
      <c r="N7" s="11">
        <v>1.829242251E9</v>
      </c>
      <c r="O7" s="11">
        <v>7590.13634177505</v>
      </c>
      <c r="P7" s="11">
        <v>0.9933578785027148</v>
      </c>
      <c r="Q7" s="11">
        <f t="shared" si="1"/>
        <v>-3038489509</v>
      </c>
      <c r="R7" s="11">
        <f t="shared" si="2"/>
        <v>-1.51799E+27</v>
      </c>
    </row>
    <row r="8">
      <c r="A8" s="24">
        <v>2014.0</v>
      </c>
      <c r="B8" s="24">
        <v>1447338.0</v>
      </c>
      <c r="C8" s="24">
        <v>1.042901178E9</v>
      </c>
      <c r="D8" s="11">
        <v>8.059726E7</v>
      </c>
      <c r="E8" s="24">
        <v>8824513.0</v>
      </c>
      <c r="F8" s="24">
        <v>2.71343545E8</v>
      </c>
      <c r="G8" s="11">
        <v>1.132322951E9</v>
      </c>
      <c r="H8" s="24">
        <v>1.772402842E9</v>
      </c>
      <c r="I8" s="11">
        <v>3.59911833E8</v>
      </c>
      <c r="J8" s="11">
        <v>6.499429824284193</v>
      </c>
      <c r="K8" s="11">
        <v>0.25640836625055413</v>
      </c>
      <c r="L8" s="11">
        <v>1.3264064674912388</v>
      </c>
      <c r="M8" s="11">
        <v>4.173023356792954</v>
      </c>
      <c r="N8" s="11">
        <v>1.763578329E9</v>
      </c>
      <c r="O8" s="11">
        <v>6925.06606958705</v>
      </c>
      <c r="P8" s="11">
        <v>0.9950211584009636</v>
      </c>
      <c r="Q8" s="11">
        <f t="shared" si="1"/>
        <v>-3223289636</v>
      </c>
      <c r="R8" s="11">
        <f t="shared" si="2"/>
        <v>-1.45181E+27</v>
      </c>
    </row>
    <row r="9">
      <c r="A9" s="24">
        <v>2013.0</v>
      </c>
      <c r="B9" s="24">
        <v>1428655.0</v>
      </c>
      <c r="C9" s="24">
        <v>1.004038877E9</v>
      </c>
      <c r="D9" s="11">
        <v>8.5484388E7</v>
      </c>
      <c r="E9" s="24">
        <v>7237503.0</v>
      </c>
      <c r="F9" s="24">
        <v>2.65674674E8</v>
      </c>
      <c r="G9" s="11">
        <v>1.096760768E9</v>
      </c>
      <c r="H9" s="24">
        <v>1.69607858E9</v>
      </c>
      <c r="I9" s="11">
        <v>3.26405635E8</v>
      </c>
      <c r="J9" s="11">
        <v>6.356801164269049</v>
      </c>
      <c r="K9" s="11">
        <v>0.2395751203600882</v>
      </c>
      <c r="L9" s="11">
        <v>1.2285914576863282</v>
      </c>
      <c r="M9" s="11">
        <v>4.12820970658272</v>
      </c>
      <c r="N9" s="11">
        <v>1.688841077E9</v>
      </c>
      <c r="O9" s="11">
        <v>6280.37308198343</v>
      </c>
      <c r="P9" s="11">
        <v>0.9957328020733568</v>
      </c>
      <c r="Q9" s="11">
        <f t="shared" si="1"/>
        <v>-3180187538</v>
      </c>
      <c r="R9" s="11">
        <f t="shared" si="2"/>
        <v>-1.31928E+27</v>
      </c>
    </row>
    <row r="10">
      <c r="A10" s="24">
        <v>2012.0</v>
      </c>
      <c r="B10" s="24">
        <v>1416870.0</v>
      </c>
      <c r="C10" s="24">
        <v>1.03495627E9</v>
      </c>
      <c r="D10" s="11">
        <v>8.4805777E7</v>
      </c>
      <c r="E10" s="24">
        <v>4112605.0</v>
      </c>
      <c r="F10" s="24">
        <v>2.74606759E8</v>
      </c>
      <c r="G10" s="11">
        <v>1.123874652E9</v>
      </c>
      <c r="H10" s="24">
        <v>1.710420031E9</v>
      </c>
      <c r="I10" s="11">
        <v>3.07826015E8</v>
      </c>
      <c r="J10" s="11">
        <v>6.213639577604134</v>
      </c>
      <c r="K10" s="11">
        <v>0.22011448459646346</v>
      </c>
      <c r="L10" s="11">
        <v>1.1209702780840876</v>
      </c>
      <c r="M10" s="11">
        <v>4.092669299520046</v>
      </c>
      <c r="N10" s="11">
        <v>1.706307426E9</v>
      </c>
      <c r="O10" s="11">
        <v>5922.88248497986</v>
      </c>
      <c r="P10" s="11">
        <v>0.9975955584444391</v>
      </c>
      <c r="Q10" s="11">
        <f t="shared" si="1"/>
        <v>-3339817204</v>
      </c>
      <c r="R10" s="11">
        <f t="shared" si="2"/>
        <v>-1.41956E+27</v>
      </c>
    </row>
    <row r="11">
      <c r="A11" s="24">
        <v>2011.0</v>
      </c>
      <c r="B11" s="24">
        <v>1415046.0</v>
      </c>
      <c r="C11" s="24">
        <v>1.059981093E9</v>
      </c>
      <c r="D11" s="11">
        <v>7.0865928E7</v>
      </c>
      <c r="E11" s="24">
        <v>6983534.0</v>
      </c>
      <c r="F11" s="24">
        <v>2.90618945E8</v>
      </c>
      <c r="G11" s="11">
        <v>1.137830555E9</v>
      </c>
      <c r="H11" s="24">
        <v>1.781841633E9</v>
      </c>
      <c r="I11" s="11">
        <v>3.46408599E8</v>
      </c>
      <c r="J11" s="11">
        <v>6.1071658594039695</v>
      </c>
      <c r="K11" s="11">
        <v>0.24250671724831716</v>
      </c>
      <c r="L11" s="11">
        <v>1.1919684004083078</v>
      </c>
      <c r="M11" s="11">
        <v>3.915197458995662</v>
      </c>
      <c r="N11" s="11">
        <v>1.774858099E9</v>
      </c>
      <c r="O11" s="11">
        <v>6665.25025074151</v>
      </c>
      <c r="Q11" s="11">
        <f t="shared" si="1"/>
        <v>-3098573231</v>
      </c>
      <c r="R11" s="11">
        <f t="shared" si="2"/>
        <v>-1.4731E+27</v>
      </c>
    </row>
    <row r="12">
      <c r="A12" s="24">
        <v>2010.0</v>
      </c>
      <c r="B12" s="24">
        <v>1414065.0</v>
      </c>
      <c r="C12" s="24">
        <v>1.038018671E9</v>
      </c>
      <c r="D12" s="11">
        <v>7.2296137E7</v>
      </c>
      <c r="E12" s="24">
        <v>9818685.0</v>
      </c>
      <c r="F12" s="24">
        <v>2.9077478E8</v>
      </c>
      <c r="G12" s="11">
        <v>1.120133493E9</v>
      </c>
      <c r="H12" s="24">
        <v>1.783757051E9</v>
      </c>
      <c r="I12" s="11">
        <v>3.63030093E8</v>
      </c>
      <c r="J12" s="11">
        <v>6.100729801944997</v>
      </c>
      <c r="K12" s="11">
        <v>0.257302405795731</v>
      </c>
      <c r="L12" s="11">
        <v>1.2484923658097171</v>
      </c>
      <c r="M12" s="11">
        <v>3.8522374361352796</v>
      </c>
      <c r="N12" s="11">
        <v>1.773938366E9</v>
      </c>
      <c r="O12" s="11">
        <v>6985.06453182753</v>
      </c>
      <c r="Q12" s="11">
        <f t="shared" si="1"/>
        <v>-2916542061</v>
      </c>
      <c r="R12" s="11">
        <f t="shared" si="2"/>
        <v>-1.40543E+27</v>
      </c>
    </row>
    <row r="13">
      <c r="A13" s="24">
        <v>2009.0</v>
      </c>
      <c r="B13" s="24">
        <v>1412254.0</v>
      </c>
      <c r="C13" s="24">
        <v>1.006958669E9</v>
      </c>
      <c r="D13" s="11">
        <v>6.8591452E7</v>
      </c>
      <c r="E13" s="24">
        <v>8677989.0</v>
      </c>
      <c r="F13" s="24">
        <v>2.98730468E8</v>
      </c>
      <c r="G13" s="11">
        <v>1.08422811E9</v>
      </c>
      <c r="H13" s="24">
        <v>1.757165743E9</v>
      </c>
      <c r="I13" s="11">
        <v>3.65529176E8</v>
      </c>
      <c r="J13" s="11">
        <v>5.853061342239788</v>
      </c>
      <c r="K13" s="11">
        <v>0.26430956198892025</v>
      </c>
      <c r="L13" s="11">
        <v>1.223608620999449</v>
      </c>
      <c r="M13" s="11">
        <v>3.629452721240339</v>
      </c>
      <c r="N13" s="11">
        <v>1.748487754E9</v>
      </c>
      <c r="O13" s="11">
        <v>7033.14940512588</v>
      </c>
      <c r="Q13" s="11">
        <f t="shared" si="1"/>
        <v>-2608483802</v>
      </c>
      <c r="R13" s="11">
        <f t="shared" si="2"/>
        <v>-1.27456E+27</v>
      </c>
    </row>
    <row r="14">
      <c r="A14" s="24">
        <v>2008.0</v>
      </c>
      <c r="B14" s="24">
        <v>1414479.0</v>
      </c>
      <c r="C14" s="24">
        <v>1.246397854E9</v>
      </c>
      <c r="D14" s="11">
        <v>6.4735922E7</v>
      </c>
      <c r="E14" s="24">
        <v>7828526.0</v>
      </c>
      <c r="F14" s="24">
        <v>3.1903996E8</v>
      </c>
      <c r="G14" s="11">
        <v>1.318962302E9</v>
      </c>
      <c r="H14" s="24">
        <v>2.055445729E9</v>
      </c>
      <c r="I14" s="11">
        <v>4.09614941E8</v>
      </c>
      <c r="J14" s="11">
        <v>6.41805873784588</v>
      </c>
      <c r="K14" s="11">
        <v>0.25006982621614965</v>
      </c>
      <c r="L14" s="11">
        <v>1.283898546752576</v>
      </c>
      <c r="M14" s="11">
        <v>4.1341601910933035</v>
      </c>
      <c r="N14" s="11">
        <v>2.047617203E9</v>
      </c>
      <c r="O14" s="11">
        <v>7881.40391459428</v>
      </c>
      <c r="Q14" s="11">
        <f t="shared" si="1"/>
        <v>-3759387660</v>
      </c>
      <c r="R14" s="11">
        <f t="shared" si="2"/>
        <v>-2.29455E+27</v>
      </c>
    </row>
    <row r="15">
      <c r="A15" s="24">
        <v>2007.0</v>
      </c>
      <c r="B15" s="24">
        <v>1412344.0</v>
      </c>
      <c r="C15" s="24">
        <v>1.320596325E9</v>
      </c>
      <c r="D15" s="11">
        <v>6.7578723E7</v>
      </c>
      <c r="E15" s="24">
        <v>2.9362107E7</v>
      </c>
      <c r="F15" s="24">
        <v>3.09179672E8</v>
      </c>
      <c r="G15" s="11">
        <v>1.417537155E9</v>
      </c>
      <c r="H15" s="24">
        <v>2.153974747E9</v>
      </c>
      <c r="I15" s="11">
        <v>3.97895813E8</v>
      </c>
      <c r="J15" s="11">
        <v>6.8717733810132255</v>
      </c>
      <c r="K15" s="11">
        <v>0.2304348963178315</v>
      </c>
      <c r="L15" s="11">
        <v>1.286940407259375</v>
      </c>
      <c r="M15" s="11">
        <v>4.5848329737538505</v>
      </c>
      <c r="N15" s="11">
        <v>2.12461264E9</v>
      </c>
      <c r="O15" s="11">
        <v>7655.91609164196</v>
      </c>
      <c r="Q15" s="11">
        <f t="shared" si="1"/>
        <v>-4674885246</v>
      </c>
      <c r="R15" s="11">
        <f t="shared" si="2"/>
        <v>-2.84842E+27</v>
      </c>
    </row>
    <row r="16">
      <c r="A16" s="24">
        <v>2006.0</v>
      </c>
      <c r="B16" s="24">
        <v>1295324.0</v>
      </c>
      <c r="C16" s="24">
        <v>1.234532179E9</v>
      </c>
      <c r="D16" s="24">
        <v>6.1938899E7</v>
      </c>
      <c r="E16" s="24">
        <v>3.8758947E7</v>
      </c>
      <c r="F16" s="24">
        <v>2.83556321E8</v>
      </c>
      <c r="G16" s="11">
        <v>1.335230025E9</v>
      </c>
      <c r="H16" s="24">
        <v>1.994186552E9</v>
      </c>
      <c r="I16" s="11">
        <v>3.36641259E8</v>
      </c>
      <c r="J16" s="11">
        <v>6.896081872214727</v>
      </c>
      <c r="K16" s="11">
        <v>0.20795904279266758</v>
      </c>
      <c r="L16" s="11">
        <v>1.187211266575856</v>
      </c>
      <c r="M16" s="11">
        <v>4.708870605638871</v>
      </c>
      <c r="N16" s="11">
        <v>1.955427605E9</v>
      </c>
      <c r="O16" s="11">
        <v>6477.31679420489</v>
      </c>
      <c r="Q16" s="11">
        <f t="shared" si="1"/>
        <v>-4702225287</v>
      </c>
      <c r="R16" s="11">
        <f t="shared" si="2"/>
        <v>-2.3805E+27</v>
      </c>
    </row>
    <row r="17">
      <c r="A17" s="24">
        <v>2005.0</v>
      </c>
      <c r="B17" s="24">
        <v>1201893.0</v>
      </c>
      <c r="C17" s="24">
        <v>1.11476986E9</v>
      </c>
      <c r="D17" s="24">
        <v>5.8067329E7</v>
      </c>
      <c r="E17" s="24">
        <v>2.8182817E7</v>
      </c>
      <c r="F17" s="24">
        <v>2.58633002E8</v>
      </c>
      <c r="G17" s="11">
        <v>1.201020006E9</v>
      </c>
      <c r="H17" s="24">
        <v>1.802375388E9</v>
      </c>
      <c r="I17" s="11">
        <v>3.14539563E8</v>
      </c>
      <c r="J17" s="11">
        <v>6.859884690972268</v>
      </c>
      <c r="K17" s="11">
        <v>0.2154892712693262</v>
      </c>
      <c r="L17" s="11">
        <v>1.2161617448959587</v>
      </c>
      <c r="M17" s="11">
        <v>4.643722946076309</v>
      </c>
      <c r="N17" s="11">
        <v>1.774192571E9</v>
      </c>
      <c r="O17" s="11">
        <v>6052.05790851016</v>
      </c>
      <c r="Q17" s="11">
        <f t="shared" si="1"/>
        <v>-4116569574</v>
      </c>
      <c r="R17" s="11">
        <f t="shared" si="2"/>
        <v>-1.73241E+27</v>
      </c>
    </row>
    <row r="18">
      <c r="A18" s="24">
        <v>2004.0</v>
      </c>
      <c r="B18" s="24">
        <v>1118888.0</v>
      </c>
      <c r="C18" s="24">
        <v>9.78042113E8</v>
      </c>
      <c r="D18" s="24">
        <v>5.3842646E7</v>
      </c>
      <c r="E18" s="24">
        <v>2.3455373E7</v>
      </c>
      <c r="F18" s="24">
        <v>2.34275226E8</v>
      </c>
      <c r="G18" s="11">
        <v>1.055340132E9</v>
      </c>
      <c r="H18" s="24">
        <v>1.607275123E9</v>
      </c>
      <c r="I18" s="11">
        <v>2.94204392E8</v>
      </c>
      <c r="J18" s="11">
        <v>6.760508898196517</v>
      </c>
      <c r="K18" s="11">
        <v>0.22813344318128073</v>
      </c>
      <c r="L18" s="11">
        <v>1.2558066724477304</v>
      </c>
      <c r="M18" s="11">
        <v>4.504702225748787</v>
      </c>
      <c r="N18" s="11">
        <v>1.58381975E9</v>
      </c>
      <c r="O18" s="11">
        <v>5660.78874256598</v>
      </c>
      <c r="Q18" s="11">
        <f t="shared" si="1"/>
        <v>-3428689862</v>
      </c>
      <c r="R18" s="11">
        <f t="shared" si="2"/>
        <v>-1.17538E+27</v>
      </c>
    </row>
    <row r="19">
      <c r="A19" s="24">
        <v>2003.0</v>
      </c>
      <c r="B19" s="24">
        <v>1043359.0</v>
      </c>
      <c r="C19" s="24">
        <v>8.91521467E8</v>
      </c>
      <c r="D19" s="24">
        <v>5.0594162E7</v>
      </c>
      <c r="E19" s="24">
        <v>1.7842897E7</v>
      </c>
      <c r="F19" s="24">
        <v>2.19330244E8</v>
      </c>
      <c r="G19" s="11">
        <v>9.59958526E8</v>
      </c>
      <c r="H19" s="24">
        <v>1.457631924E9</v>
      </c>
      <c r="I19" s="11">
        <v>2.60500257E8</v>
      </c>
      <c r="J19" s="11">
        <v>6.5644801224951</v>
      </c>
      <c r="K19" s="11">
        <v>0.22089607196039016</v>
      </c>
      <c r="L19" s="11">
        <v>1.1877078703290915</v>
      </c>
      <c r="M19" s="11">
        <v>4.376772252166008</v>
      </c>
      <c r="N19" s="11">
        <v>1.439789027E9</v>
      </c>
      <c r="O19" s="11">
        <v>5012.2872477755</v>
      </c>
      <c r="Q19" s="11">
        <f t="shared" si="1"/>
        <v>-3061369543</v>
      </c>
      <c r="R19" s="11">
        <f t="shared" si="2"/>
        <v>-8.84621E+26</v>
      </c>
    </row>
    <row r="20">
      <c r="A20" s="24">
        <v>2002.0</v>
      </c>
      <c r="B20" s="24">
        <v>1010782.0</v>
      </c>
      <c r="C20" s="24">
        <v>8.24532153E8</v>
      </c>
      <c r="D20" s="24">
        <v>4.414779E7</v>
      </c>
      <c r="E20" s="24">
        <v>5414400.0</v>
      </c>
      <c r="F20" s="24">
        <v>2.00240976E8</v>
      </c>
      <c r="G20" s="11">
        <v>8.74094343E8</v>
      </c>
      <c r="H20" s="24">
        <v>1.342911657E9</v>
      </c>
      <c r="I20" s="11">
        <v>2.63161938E8</v>
      </c>
      <c r="J20" s="11">
        <v>6.679438363304822</v>
      </c>
      <c r="K20" s="11">
        <v>0.24495325932777975</v>
      </c>
      <c r="L20" s="11">
        <v>1.314226205129963</v>
      </c>
      <c r="M20" s="11">
        <v>4.365212158174859</v>
      </c>
      <c r="N20" s="11">
        <v>1.337497257E9</v>
      </c>
      <c r="O20" s="11">
        <v>5063.50067031714</v>
      </c>
      <c r="Q20" s="11">
        <f t="shared" si="1"/>
        <v>-2666849562</v>
      </c>
      <c r="R20" s="11">
        <f t="shared" si="2"/>
        <v>-6.67844E+26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</v>
      </c>
      <c r="B1" s="4" t="s">
        <v>31</v>
      </c>
      <c r="C1" s="4" t="s">
        <v>32</v>
      </c>
      <c r="D1" s="4" t="s">
        <v>33</v>
      </c>
    </row>
    <row r="2">
      <c r="A2" s="4">
        <v>1.0</v>
      </c>
      <c r="B2" s="4">
        <v>0.5</v>
      </c>
      <c r="C2" s="11">
        <f t="shared" ref="C2:C52" si="1">(A2+B2)/(A2^2 + B2^2 + 2*A2*B2)</f>
        <v>0.6666666667</v>
      </c>
      <c r="D2" s="11">
        <f t="shared" ref="D2:D52" si="2">1/(A2+B2)</f>
        <v>0.6666666667</v>
      </c>
    </row>
    <row r="3">
      <c r="A3" s="4">
        <v>2.0</v>
      </c>
      <c r="B3" s="4">
        <v>1.0</v>
      </c>
      <c r="C3" s="11">
        <f t="shared" si="1"/>
        <v>0.3333333333</v>
      </c>
      <c r="D3" s="11">
        <f t="shared" si="2"/>
        <v>0.3333333333</v>
      </c>
    </row>
    <row r="4">
      <c r="A4" s="4">
        <v>3.0</v>
      </c>
      <c r="B4" s="4">
        <v>1.5</v>
      </c>
      <c r="C4" s="11">
        <f t="shared" si="1"/>
        <v>0.2222222222</v>
      </c>
      <c r="D4" s="11">
        <f t="shared" si="2"/>
        <v>0.2222222222</v>
      </c>
    </row>
    <row r="5">
      <c r="A5" s="4">
        <v>4.0</v>
      </c>
      <c r="B5" s="4">
        <v>2.0</v>
      </c>
      <c r="C5" s="11">
        <f t="shared" si="1"/>
        <v>0.1666666667</v>
      </c>
      <c r="D5" s="11">
        <f t="shared" si="2"/>
        <v>0.1666666667</v>
      </c>
    </row>
    <row r="6">
      <c r="A6" s="4">
        <v>5.0</v>
      </c>
      <c r="B6" s="4">
        <v>2.5</v>
      </c>
      <c r="C6" s="11">
        <f t="shared" si="1"/>
        <v>0.1333333333</v>
      </c>
      <c r="D6" s="11">
        <f t="shared" si="2"/>
        <v>0.1333333333</v>
      </c>
    </row>
    <row r="7">
      <c r="A7" s="4">
        <v>6.0</v>
      </c>
      <c r="B7" s="4">
        <v>3.0</v>
      </c>
      <c r="C7" s="11">
        <f t="shared" si="1"/>
        <v>0.1111111111</v>
      </c>
      <c r="D7" s="11">
        <f t="shared" si="2"/>
        <v>0.1111111111</v>
      </c>
    </row>
    <row r="8">
      <c r="A8" s="4">
        <v>7.0</v>
      </c>
      <c r="B8" s="4">
        <v>3.5</v>
      </c>
      <c r="C8" s="11">
        <f t="shared" si="1"/>
        <v>0.09523809524</v>
      </c>
      <c r="D8" s="11">
        <f t="shared" si="2"/>
        <v>0.09523809524</v>
      </c>
    </row>
    <row r="9">
      <c r="A9" s="4">
        <v>8.0</v>
      </c>
      <c r="B9" s="4">
        <v>4.0</v>
      </c>
      <c r="C9" s="11">
        <f t="shared" si="1"/>
        <v>0.08333333333</v>
      </c>
      <c r="D9" s="11">
        <f t="shared" si="2"/>
        <v>0.08333333333</v>
      </c>
    </row>
    <row r="10">
      <c r="A10" s="4">
        <v>9.0</v>
      </c>
      <c r="B10" s="4">
        <v>4.5</v>
      </c>
      <c r="C10" s="11">
        <f t="shared" si="1"/>
        <v>0.07407407407</v>
      </c>
      <c r="D10" s="11">
        <f t="shared" si="2"/>
        <v>0.07407407407</v>
      </c>
    </row>
    <row r="11">
      <c r="A11" s="4">
        <v>10.0</v>
      </c>
      <c r="B11" s="4">
        <v>5.0</v>
      </c>
      <c r="C11" s="11">
        <f t="shared" si="1"/>
        <v>0.06666666667</v>
      </c>
      <c r="D11" s="11">
        <f t="shared" si="2"/>
        <v>0.06666666667</v>
      </c>
    </row>
    <row r="12">
      <c r="A12" s="4">
        <v>11.0</v>
      </c>
      <c r="B12" s="4">
        <v>5.5</v>
      </c>
      <c r="C12" s="11">
        <f t="shared" si="1"/>
        <v>0.06060606061</v>
      </c>
      <c r="D12" s="11">
        <f t="shared" si="2"/>
        <v>0.06060606061</v>
      </c>
    </row>
    <row r="13">
      <c r="A13" s="4">
        <v>12.0</v>
      </c>
      <c r="B13" s="4">
        <v>6.0</v>
      </c>
      <c r="C13" s="11">
        <f t="shared" si="1"/>
        <v>0.05555555556</v>
      </c>
      <c r="D13" s="11">
        <f t="shared" si="2"/>
        <v>0.05555555556</v>
      </c>
    </row>
    <row r="14">
      <c r="A14" s="4">
        <v>13.0</v>
      </c>
      <c r="B14" s="4">
        <v>6.5</v>
      </c>
      <c r="C14" s="11">
        <f t="shared" si="1"/>
        <v>0.05128205128</v>
      </c>
      <c r="D14" s="11">
        <f t="shared" si="2"/>
        <v>0.05128205128</v>
      </c>
    </row>
    <row r="15">
      <c r="A15" s="4">
        <v>14.0</v>
      </c>
      <c r="B15" s="4">
        <v>7.0</v>
      </c>
      <c r="C15" s="11">
        <f t="shared" si="1"/>
        <v>0.04761904762</v>
      </c>
      <c r="D15" s="11">
        <f t="shared" si="2"/>
        <v>0.04761904762</v>
      </c>
    </row>
    <row r="16">
      <c r="A16" s="4">
        <v>15.0</v>
      </c>
      <c r="B16" s="4">
        <v>7.5</v>
      </c>
      <c r="C16" s="11">
        <f t="shared" si="1"/>
        <v>0.04444444444</v>
      </c>
      <c r="D16" s="11">
        <f t="shared" si="2"/>
        <v>0.04444444444</v>
      </c>
    </row>
    <row r="17">
      <c r="A17" s="4">
        <v>16.0</v>
      </c>
      <c r="B17" s="4">
        <v>8.0</v>
      </c>
      <c r="C17" s="11">
        <f t="shared" si="1"/>
        <v>0.04166666667</v>
      </c>
      <c r="D17" s="11">
        <f t="shared" si="2"/>
        <v>0.04166666667</v>
      </c>
    </row>
    <row r="18">
      <c r="A18" s="4">
        <v>17.0</v>
      </c>
      <c r="B18" s="4">
        <v>8.5</v>
      </c>
      <c r="C18" s="11">
        <f t="shared" si="1"/>
        <v>0.03921568627</v>
      </c>
      <c r="D18" s="11">
        <f t="shared" si="2"/>
        <v>0.03921568627</v>
      </c>
    </row>
    <row r="19">
      <c r="A19" s="4">
        <v>18.0</v>
      </c>
      <c r="B19" s="4">
        <v>9.0</v>
      </c>
      <c r="C19" s="11">
        <f t="shared" si="1"/>
        <v>0.03703703704</v>
      </c>
      <c r="D19" s="11">
        <f t="shared" si="2"/>
        <v>0.03703703704</v>
      </c>
    </row>
    <row r="20">
      <c r="A20" s="4">
        <v>19.0</v>
      </c>
      <c r="B20" s="4">
        <v>9.5</v>
      </c>
      <c r="C20" s="11">
        <f t="shared" si="1"/>
        <v>0.0350877193</v>
      </c>
      <c r="D20" s="11">
        <f t="shared" si="2"/>
        <v>0.0350877193</v>
      </c>
    </row>
    <row r="21">
      <c r="A21" s="4">
        <v>20.0</v>
      </c>
      <c r="B21" s="4">
        <v>10.0</v>
      </c>
      <c r="C21" s="11">
        <f t="shared" si="1"/>
        <v>0.03333333333</v>
      </c>
      <c r="D21" s="11">
        <f t="shared" si="2"/>
        <v>0.03333333333</v>
      </c>
    </row>
    <row r="22">
      <c r="A22" s="4">
        <v>21.0</v>
      </c>
      <c r="B22" s="4">
        <v>10.5</v>
      </c>
      <c r="C22" s="11">
        <f t="shared" si="1"/>
        <v>0.03174603175</v>
      </c>
      <c r="D22" s="11">
        <f t="shared" si="2"/>
        <v>0.03174603175</v>
      </c>
    </row>
    <row r="23">
      <c r="A23" s="4">
        <v>22.0</v>
      </c>
      <c r="B23" s="4">
        <v>11.0</v>
      </c>
      <c r="C23" s="11">
        <f t="shared" si="1"/>
        <v>0.0303030303</v>
      </c>
      <c r="D23" s="11">
        <f t="shared" si="2"/>
        <v>0.0303030303</v>
      </c>
    </row>
    <row r="24">
      <c r="A24" s="4">
        <v>23.0</v>
      </c>
      <c r="B24" s="4">
        <v>11.5</v>
      </c>
      <c r="C24" s="11">
        <f t="shared" si="1"/>
        <v>0.02898550725</v>
      </c>
      <c r="D24" s="11">
        <f t="shared" si="2"/>
        <v>0.02898550725</v>
      </c>
    </row>
    <row r="25">
      <c r="A25" s="4">
        <v>24.0</v>
      </c>
      <c r="B25" s="4">
        <v>12.0</v>
      </c>
      <c r="C25" s="11">
        <f t="shared" si="1"/>
        <v>0.02777777778</v>
      </c>
      <c r="D25" s="11">
        <f t="shared" si="2"/>
        <v>0.02777777778</v>
      </c>
    </row>
    <row r="26">
      <c r="A26" s="4">
        <v>25.0</v>
      </c>
      <c r="B26" s="4">
        <v>12.5</v>
      </c>
      <c r="C26" s="11">
        <f t="shared" si="1"/>
        <v>0.02666666667</v>
      </c>
      <c r="D26" s="11">
        <f t="shared" si="2"/>
        <v>0.02666666667</v>
      </c>
    </row>
    <row r="27">
      <c r="A27" s="4">
        <v>26.0</v>
      </c>
      <c r="B27" s="4">
        <v>13.0</v>
      </c>
      <c r="C27" s="11">
        <f t="shared" si="1"/>
        <v>0.02564102564</v>
      </c>
      <c r="D27" s="11">
        <f t="shared" si="2"/>
        <v>0.02564102564</v>
      </c>
    </row>
    <row r="28">
      <c r="A28" s="4">
        <v>27.0</v>
      </c>
      <c r="B28" s="4">
        <v>13.5</v>
      </c>
      <c r="C28" s="11">
        <f t="shared" si="1"/>
        <v>0.02469135802</v>
      </c>
      <c r="D28" s="11">
        <f t="shared" si="2"/>
        <v>0.02469135802</v>
      </c>
    </row>
    <row r="29">
      <c r="A29" s="4">
        <v>28.0</v>
      </c>
      <c r="B29" s="4">
        <v>14.0</v>
      </c>
      <c r="C29" s="11">
        <f t="shared" si="1"/>
        <v>0.02380952381</v>
      </c>
      <c r="D29" s="11">
        <f t="shared" si="2"/>
        <v>0.02380952381</v>
      </c>
    </row>
    <row r="30">
      <c r="A30" s="4">
        <v>29.0</v>
      </c>
      <c r="B30" s="4">
        <v>14.5</v>
      </c>
      <c r="C30" s="11">
        <f t="shared" si="1"/>
        <v>0.02298850575</v>
      </c>
      <c r="D30" s="11">
        <f t="shared" si="2"/>
        <v>0.02298850575</v>
      </c>
    </row>
    <row r="31">
      <c r="A31" s="4">
        <v>30.0</v>
      </c>
      <c r="B31" s="4">
        <v>15.0</v>
      </c>
      <c r="C31" s="11">
        <f t="shared" si="1"/>
        <v>0.02222222222</v>
      </c>
      <c r="D31" s="11">
        <f t="shared" si="2"/>
        <v>0.02222222222</v>
      </c>
    </row>
    <row r="32">
      <c r="A32" s="4">
        <v>31.0</v>
      </c>
      <c r="B32" s="4">
        <v>15.5</v>
      </c>
      <c r="C32" s="11">
        <f t="shared" si="1"/>
        <v>0.02150537634</v>
      </c>
      <c r="D32" s="11">
        <f t="shared" si="2"/>
        <v>0.02150537634</v>
      </c>
    </row>
    <row r="33">
      <c r="A33" s="4">
        <v>32.0</v>
      </c>
      <c r="B33" s="4">
        <v>16.0</v>
      </c>
      <c r="C33" s="11">
        <f t="shared" si="1"/>
        <v>0.02083333333</v>
      </c>
      <c r="D33" s="11">
        <f t="shared" si="2"/>
        <v>0.02083333333</v>
      </c>
    </row>
    <row r="34">
      <c r="A34" s="4">
        <v>33.0</v>
      </c>
      <c r="B34" s="4">
        <v>16.5</v>
      </c>
      <c r="C34" s="11">
        <f t="shared" si="1"/>
        <v>0.0202020202</v>
      </c>
      <c r="D34" s="11">
        <f t="shared" si="2"/>
        <v>0.0202020202</v>
      </c>
    </row>
    <row r="35">
      <c r="A35" s="4">
        <v>34.0</v>
      </c>
      <c r="B35" s="4">
        <v>17.0</v>
      </c>
      <c r="C35" s="11">
        <f t="shared" si="1"/>
        <v>0.01960784314</v>
      </c>
      <c r="D35" s="11">
        <f t="shared" si="2"/>
        <v>0.01960784314</v>
      </c>
    </row>
    <row r="36">
      <c r="A36" s="4">
        <v>35.0</v>
      </c>
      <c r="B36" s="4">
        <v>17.5</v>
      </c>
      <c r="C36" s="11">
        <f t="shared" si="1"/>
        <v>0.01904761905</v>
      </c>
      <c r="D36" s="11">
        <f t="shared" si="2"/>
        <v>0.01904761905</v>
      </c>
    </row>
    <row r="37">
      <c r="A37" s="4">
        <v>36.0</v>
      </c>
      <c r="B37" s="4">
        <v>18.0</v>
      </c>
      <c r="C37" s="11">
        <f t="shared" si="1"/>
        <v>0.01851851852</v>
      </c>
      <c r="D37" s="11">
        <f t="shared" si="2"/>
        <v>0.01851851852</v>
      </c>
    </row>
    <row r="38">
      <c r="A38" s="4">
        <v>37.0</v>
      </c>
      <c r="B38" s="4">
        <v>18.5</v>
      </c>
      <c r="C38" s="11">
        <f t="shared" si="1"/>
        <v>0.01801801802</v>
      </c>
      <c r="D38" s="11">
        <f t="shared" si="2"/>
        <v>0.01801801802</v>
      </c>
    </row>
    <row r="39">
      <c r="A39" s="4">
        <v>38.0</v>
      </c>
      <c r="B39" s="4">
        <v>19.0</v>
      </c>
      <c r="C39" s="11">
        <f t="shared" si="1"/>
        <v>0.01754385965</v>
      </c>
      <c r="D39" s="11">
        <f t="shared" si="2"/>
        <v>0.01754385965</v>
      </c>
    </row>
    <row r="40">
      <c r="A40" s="4">
        <v>39.0</v>
      </c>
      <c r="B40" s="4">
        <v>19.5</v>
      </c>
      <c r="C40" s="11">
        <f t="shared" si="1"/>
        <v>0.01709401709</v>
      </c>
      <c r="D40" s="11">
        <f t="shared" si="2"/>
        <v>0.01709401709</v>
      </c>
    </row>
    <row r="41">
      <c r="A41" s="4">
        <v>40.0</v>
      </c>
      <c r="B41" s="4">
        <v>20.0</v>
      </c>
      <c r="C41" s="11">
        <f t="shared" si="1"/>
        <v>0.01666666667</v>
      </c>
      <c r="D41" s="11">
        <f t="shared" si="2"/>
        <v>0.01666666667</v>
      </c>
    </row>
    <row r="42">
      <c r="A42" s="4">
        <v>41.0</v>
      </c>
      <c r="B42" s="4">
        <v>20.5</v>
      </c>
      <c r="C42" s="11">
        <f t="shared" si="1"/>
        <v>0.0162601626</v>
      </c>
      <c r="D42" s="11">
        <f t="shared" si="2"/>
        <v>0.0162601626</v>
      </c>
    </row>
    <row r="43">
      <c r="A43" s="4">
        <v>42.0</v>
      </c>
      <c r="B43" s="4">
        <v>21.0</v>
      </c>
      <c r="C43" s="11">
        <f t="shared" si="1"/>
        <v>0.01587301587</v>
      </c>
      <c r="D43" s="11">
        <f t="shared" si="2"/>
        <v>0.01587301587</v>
      </c>
    </row>
    <row r="44">
      <c r="A44" s="4">
        <v>43.0</v>
      </c>
      <c r="B44" s="4">
        <v>21.5</v>
      </c>
      <c r="C44" s="11">
        <f t="shared" si="1"/>
        <v>0.01550387597</v>
      </c>
      <c r="D44" s="11">
        <f t="shared" si="2"/>
        <v>0.01550387597</v>
      </c>
    </row>
    <row r="45">
      <c r="A45" s="4">
        <v>44.0</v>
      </c>
      <c r="B45" s="4">
        <v>22.0</v>
      </c>
      <c r="C45" s="11">
        <f t="shared" si="1"/>
        <v>0.01515151515</v>
      </c>
      <c r="D45" s="11">
        <f t="shared" si="2"/>
        <v>0.01515151515</v>
      </c>
    </row>
    <row r="46">
      <c r="A46" s="4">
        <v>45.0</v>
      </c>
      <c r="B46" s="4">
        <v>22.5</v>
      </c>
      <c r="C46" s="11">
        <f t="shared" si="1"/>
        <v>0.01481481481</v>
      </c>
      <c r="D46" s="11">
        <f t="shared" si="2"/>
        <v>0.01481481481</v>
      </c>
    </row>
    <row r="47">
      <c r="A47" s="4">
        <v>46.0</v>
      </c>
      <c r="B47" s="4">
        <v>23.0</v>
      </c>
      <c r="C47" s="11">
        <f t="shared" si="1"/>
        <v>0.01449275362</v>
      </c>
      <c r="D47" s="11">
        <f t="shared" si="2"/>
        <v>0.01449275362</v>
      </c>
    </row>
    <row r="48">
      <c r="A48" s="4">
        <v>47.0</v>
      </c>
      <c r="B48" s="4">
        <v>23.5</v>
      </c>
      <c r="C48" s="11">
        <f t="shared" si="1"/>
        <v>0.01418439716</v>
      </c>
      <c r="D48" s="11">
        <f t="shared" si="2"/>
        <v>0.01418439716</v>
      </c>
    </row>
    <row r="49">
      <c r="A49" s="4">
        <v>48.0</v>
      </c>
      <c r="B49" s="4">
        <v>24.0</v>
      </c>
      <c r="C49" s="11">
        <f t="shared" si="1"/>
        <v>0.01388888889</v>
      </c>
      <c r="D49" s="11">
        <f t="shared" si="2"/>
        <v>0.01388888889</v>
      </c>
    </row>
    <row r="50">
      <c r="A50" s="4">
        <v>49.0</v>
      </c>
      <c r="B50" s="4">
        <v>24.5</v>
      </c>
      <c r="C50" s="11">
        <f t="shared" si="1"/>
        <v>0.01360544218</v>
      </c>
      <c r="D50" s="11">
        <f t="shared" si="2"/>
        <v>0.01360544218</v>
      </c>
    </row>
    <row r="51">
      <c r="A51" s="4">
        <v>50.0</v>
      </c>
      <c r="B51" s="4">
        <v>25.0</v>
      </c>
      <c r="C51" s="11">
        <f t="shared" si="1"/>
        <v>0.01333333333</v>
      </c>
      <c r="D51" s="11">
        <f t="shared" si="2"/>
        <v>0.01333333333</v>
      </c>
    </row>
    <row r="52">
      <c r="A52" s="4">
        <v>51.0</v>
      </c>
      <c r="B52" s="4">
        <v>25.5</v>
      </c>
      <c r="C52" s="11">
        <f t="shared" si="1"/>
        <v>0.01307189542</v>
      </c>
      <c r="D52" s="11">
        <f t="shared" si="2"/>
        <v>0.01307189542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/>
      <c r="B1" s="27" t="s">
        <v>119</v>
      </c>
      <c r="C1" s="28" t="s">
        <v>42</v>
      </c>
      <c r="D1" s="28" t="s">
        <v>43</v>
      </c>
      <c r="E1" s="28" t="s">
        <v>44</v>
      </c>
      <c r="F1" s="28" t="s">
        <v>45</v>
      </c>
      <c r="G1" s="28" t="s">
        <v>46</v>
      </c>
      <c r="H1" s="27" t="s">
        <v>120</v>
      </c>
      <c r="I1" s="28" t="s">
        <v>37</v>
      </c>
      <c r="J1" s="27" t="s">
        <v>121</v>
      </c>
      <c r="K1" s="28" t="s">
        <v>36</v>
      </c>
      <c r="L1" s="28" t="s">
        <v>38</v>
      </c>
      <c r="M1" s="28" t="s">
        <v>49</v>
      </c>
      <c r="N1" s="27" t="s">
        <v>122</v>
      </c>
    </row>
    <row r="2">
      <c r="A2" s="64" t="s">
        <v>156</v>
      </c>
      <c r="B2" s="65"/>
      <c r="C2" s="65">
        <v>1.263166015E9</v>
      </c>
      <c r="D2" s="77">
        <f>73127325+7379298</f>
        <v>80506623</v>
      </c>
      <c r="E2" s="65">
        <v>2.4398228E7</v>
      </c>
      <c r="F2" s="65">
        <v>3.4191723E8</v>
      </c>
      <c r="G2" s="67">
        <f t="shared" ref="G2:G8" si="1">C2+D2+E2</f>
        <v>1368070866</v>
      </c>
      <c r="H2" s="65">
        <v>2.196918602E9</v>
      </c>
      <c r="I2" s="67">
        <f t="shared" ref="I2:I8" si="2">H2-F2-G2-E2</f>
        <v>462532278</v>
      </c>
      <c r="J2" s="68">
        <f t="shared" ref="J2:J8" si="3">1+M2+L2</f>
        <v>6.353936518</v>
      </c>
      <c r="K2" s="68">
        <f t="shared" ref="K2:K8" si="4">I2/(F2+G2)</f>
        <v>0.2704885953</v>
      </c>
      <c r="L2" s="68">
        <f t="shared" ref="L2:L7" si="5">I2/F2</f>
        <v>1.352760953</v>
      </c>
      <c r="M2" s="68">
        <f t="shared" ref="M2:M8" si="6">G2/F2</f>
        <v>4.001175565</v>
      </c>
      <c r="N2" s="67">
        <f t="shared" ref="N2:N8" si="7">I2+G2+F2</f>
        <v>2172520374</v>
      </c>
    </row>
    <row r="3">
      <c r="A3" s="78" t="s">
        <v>157</v>
      </c>
      <c r="B3" s="65"/>
      <c r="C3" s="23">
        <v>7837526.0</v>
      </c>
      <c r="D3" s="68">
        <f>2665743+278806</f>
        <v>2944549</v>
      </c>
      <c r="E3" s="23">
        <v>6513.0</v>
      </c>
      <c r="F3" s="23">
        <v>2.0916244E7</v>
      </c>
      <c r="G3" s="67">
        <f t="shared" si="1"/>
        <v>10788588</v>
      </c>
      <c r="H3" s="23">
        <v>5.3676394E7</v>
      </c>
      <c r="I3" s="67">
        <f t="shared" si="2"/>
        <v>21965049</v>
      </c>
      <c r="J3" s="68">
        <f t="shared" si="3"/>
        <v>2.565942576</v>
      </c>
      <c r="K3" s="68">
        <f t="shared" si="4"/>
        <v>0.6927981514</v>
      </c>
      <c r="L3" s="68">
        <f t="shared" si="5"/>
        <v>1.050143085</v>
      </c>
      <c r="M3" s="68">
        <f t="shared" si="6"/>
        <v>0.5157994906</v>
      </c>
      <c r="N3" s="67">
        <f t="shared" si="7"/>
        <v>53669881</v>
      </c>
    </row>
    <row r="4">
      <c r="A4" s="78" t="s">
        <v>158</v>
      </c>
      <c r="B4" s="65"/>
      <c r="C4" s="23">
        <v>8899902.0</v>
      </c>
      <c r="D4" s="23">
        <f>475826+47833</f>
        <v>523659</v>
      </c>
      <c r="E4" s="23">
        <v>21847.0</v>
      </c>
      <c r="F4" s="23">
        <v>3037798.0</v>
      </c>
      <c r="G4" s="67">
        <f t="shared" si="1"/>
        <v>9445408</v>
      </c>
      <c r="H4" s="23">
        <v>1.65338E7</v>
      </c>
      <c r="I4" s="67">
        <f t="shared" si="2"/>
        <v>4028747</v>
      </c>
      <c r="J4" s="68">
        <f t="shared" si="3"/>
        <v>5.435500649</v>
      </c>
      <c r="K4" s="68">
        <f t="shared" si="4"/>
        <v>0.3227333587</v>
      </c>
      <c r="L4" s="68">
        <f t="shared" si="5"/>
        <v>1.326206351</v>
      </c>
      <c r="M4" s="68">
        <f t="shared" si="6"/>
        <v>3.109294298</v>
      </c>
      <c r="N4" s="67">
        <f t="shared" si="7"/>
        <v>16511953</v>
      </c>
    </row>
    <row r="5">
      <c r="A5" s="78" t="s">
        <v>159</v>
      </c>
      <c r="B5" s="65"/>
      <c r="C5" s="23">
        <v>4.7672986E7</v>
      </c>
      <c r="D5" s="23">
        <f>1005426+24350</f>
        <v>1029776</v>
      </c>
      <c r="E5" s="23">
        <v>106544.0</v>
      </c>
      <c r="F5" s="23">
        <v>6324896.0</v>
      </c>
      <c r="G5" s="67">
        <f t="shared" si="1"/>
        <v>48809306</v>
      </c>
      <c r="H5" s="23">
        <v>6.0535556E7</v>
      </c>
      <c r="I5" s="67">
        <f t="shared" si="2"/>
        <v>5294810</v>
      </c>
      <c r="J5" s="68">
        <f t="shared" si="3"/>
        <v>9.554151088</v>
      </c>
      <c r="K5" s="68">
        <f t="shared" si="4"/>
        <v>0.09603494397</v>
      </c>
      <c r="L5" s="68">
        <f t="shared" si="5"/>
        <v>0.8371378755</v>
      </c>
      <c r="M5" s="68">
        <f t="shared" si="6"/>
        <v>7.717013213</v>
      </c>
      <c r="N5" s="67">
        <f t="shared" si="7"/>
        <v>60429012</v>
      </c>
    </row>
    <row r="6">
      <c r="A6" s="78" t="s">
        <v>77</v>
      </c>
      <c r="B6" s="65"/>
      <c r="C6" s="23">
        <v>9.33297164E8</v>
      </c>
      <c r="D6" s="23">
        <f>52948924+17209771</f>
        <v>70158695</v>
      </c>
      <c r="E6" s="23">
        <v>1.4981922E7</v>
      </c>
      <c r="F6" s="23">
        <v>1.93568111E8</v>
      </c>
      <c r="G6" s="67">
        <f t="shared" si="1"/>
        <v>1018437781</v>
      </c>
      <c r="H6" s="23">
        <v>1.542530394E9</v>
      </c>
      <c r="I6" s="67">
        <f t="shared" si="2"/>
        <v>315542580</v>
      </c>
      <c r="J6" s="68">
        <f t="shared" si="3"/>
        <v>7.891529571</v>
      </c>
      <c r="K6" s="68">
        <f t="shared" si="4"/>
        <v>0.2603473977</v>
      </c>
      <c r="L6" s="68">
        <f t="shared" si="5"/>
        <v>1.630137208</v>
      </c>
      <c r="M6" s="68">
        <f t="shared" si="6"/>
        <v>5.261392363</v>
      </c>
      <c r="N6" s="67">
        <f t="shared" si="7"/>
        <v>1527548472</v>
      </c>
    </row>
    <row r="7">
      <c r="A7" s="64" t="s">
        <v>160</v>
      </c>
      <c r="B7" s="65"/>
      <c r="C7" s="23">
        <v>2.4848992E8</v>
      </c>
      <c r="D7" s="23">
        <f>14475153+1854922</f>
        <v>16330075</v>
      </c>
      <c r="E7" s="23">
        <v>6387190.0</v>
      </c>
      <c r="F7" s="23">
        <v>1.22635107E8</v>
      </c>
      <c r="G7" s="67">
        <f t="shared" si="1"/>
        <v>271207185</v>
      </c>
      <c r="H7" s="23">
        <v>5.0152832E8</v>
      </c>
      <c r="I7" s="67">
        <f t="shared" si="2"/>
        <v>101298838</v>
      </c>
      <c r="J7" s="68">
        <f t="shared" si="3"/>
        <v>4.037515375</v>
      </c>
      <c r="K7" s="68">
        <f t="shared" si="4"/>
        <v>0.2572066029</v>
      </c>
      <c r="L7" s="68">
        <f t="shared" si="5"/>
        <v>0.8260182625</v>
      </c>
      <c r="M7" s="68">
        <f t="shared" si="6"/>
        <v>2.211497112</v>
      </c>
      <c r="N7" s="67">
        <f t="shared" si="7"/>
        <v>495141130</v>
      </c>
    </row>
    <row r="8">
      <c r="A8" s="79" t="s">
        <v>161</v>
      </c>
      <c r="B8" s="80">
        <f>SUM(B2:B7)</f>
        <v>0</v>
      </c>
      <c r="C8" s="83">
        <f>1278471489</f>
        <v>1278471489</v>
      </c>
      <c r="D8" s="83">
        <f>76540186+15351349</f>
        <v>91891535</v>
      </c>
      <c r="E8" s="83">
        <f>23541432+23641</f>
        <v>23565073</v>
      </c>
      <c r="F8" s="90">
        <v>3.63041098E8</v>
      </c>
      <c r="G8" s="83">
        <f t="shared" si="1"/>
        <v>1393928097</v>
      </c>
      <c r="H8" s="82">
        <f>SUM(H2:H7)</f>
        <v>4371723066</v>
      </c>
      <c r="I8" s="80">
        <f t="shared" si="2"/>
        <v>2591188798</v>
      </c>
      <c r="J8" s="83">
        <f t="shared" si="3"/>
        <v>6.009988219</v>
      </c>
      <c r="K8" s="83">
        <f t="shared" si="4"/>
        <v>1.47480605</v>
      </c>
      <c r="L8" s="83">
        <f>AVERAGE(L2:L7)</f>
        <v>1.170400622</v>
      </c>
      <c r="M8" s="83">
        <f t="shared" si="6"/>
        <v>3.839587597</v>
      </c>
      <c r="N8" s="80">
        <f t="shared" si="7"/>
        <v>4348157993</v>
      </c>
    </row>
    <row r="9">
      <c r="I9" s="91">
        <v>1.64344569E8</v>
      </c>
      <c r="J9" s="11">
        <f t="shared" ref="J9:L9" si="8">AVERAGE(J2:J7)</f>
        <v>5.973095963</v>
      </c>
      <c r="K9" s="11">
        <f t="shared" si="8"/>
        <v>0.3166015083</v>
      </c>
      <c r="L9" s="11">
        <f t="shared" si="8"/>
        <v>1.170400622</v>
      </c>
    </row>
    <row r="10">
      <c r="I10" s="25">
        <f>I8-I9</f>
        <v>2426844229</v>
      </c>
    </row>
    <row r="12">
      <c r="I12" s="11">
        <f>I9*J8</f>
        <v>987708923.6</v>
      </c>
    </row>
    <row r="13">
      <c r="I13" s="25">
        <f>I8-I12</f>
        <v>1603479874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63"/>
    <col customWidth="1" min="3" max="3" width="14.38"/>
    <col customWidth="1" min="4" max="4" width="15.63"/>
    <col customWidth="1" min="5" max="5" width="16.38"/>
    <col customWidth="1" min="6" max="6" width="19.5"/>
    <col customWidth="1" min="7" max="7" width="24.13"/>
    <col customWidth="1" min="8" max="8" width="26.13"/>
  </cols>
  <sheetData>
    <row r="1">
      <c r="A1" s="92" t="s">
        <v>79</v>
      </c>
      <c r="B1" s="93" t="s">
        <v>235</v>
      </c>
      <c r="C1" s="94" t="s">
        <v>38</v>
      </c>
      <c r="D1" s="93" t="s">
        <v>3</v>
      </c>
      <c r="E1" s="93" t="s">
        <v>2</v>
      </c>
      <c r="F1" s="93" t="s">
        <v>4</v>
      </c>
      <c r="G1" s="93" t="s">
        <v>236</v>
      </c>
      <c r="H1" s="95" t="s">
        <v>124</v>
      </c>
      <c r="I1" s="4" t="s">
        <v>237</v>
      </c>
      <c r="J1" s="4" t="s">
        <v>238</v>
      </c>
      <c r="K1" s="4" t="s">
        <v>239</v>
      </c>
      <c r="L1" s="4" t="s">
        <v>240</v>
      </c>
      <c r="M1" s="4" t="s">
        <v>241</v>
      </c>
      <c r="N1" s="4" t="s">
        <v>242</v>
      </c>
      <c r="O1" s="4" t="s">
        <v>243</v>
      </c>
      <c r="P1" s="4" t="s">
        <v>244</v>
      </c>
    </row>
    <row r="2">
      <c r="A2" s="96">
        <v>2020.0</v>
      </c>
      <c r="B2" s="16"/>
      <c r="C2" s="77">
        <v>1.2611959950803688</v>
      </c>
      <c r="D2" s="69"/>
      <c r="E2" s="77"/>
      <c r="F2" s="77"/>
      <c r="G2" s="66"/>
      <c r="H2" s="97"/>
      <c r="N2" s="14"/>
      <c r="O2" s="14"/>
      <c r="P2" s="14"/>
      <c r="Q2" s="35"/>
      <c r="R2" s="35"/>
      <c r="S2" s="35"/>
      <c r="T2" s="35"/>
      <c r="U2" s="35"/>
      <c r="V2" s="35"/>
    </row>
    <row r="3">
      <c r="A3" s="96">
        <v>2019.0</v>
      </c>
      <c r="B3" s="16">
        <f>'Hoja 25'!I8*1000</f>
        <v>2591188798000</v>
      </c>
      <c r="C3" s="77">
        <f>'Hoja 25'!L8</f>
        <v>1.170400622</v>
      </c>
      <c r="D3" s="69">
        <f>'Hoja 25'!K8</f>
        <v>1.47480605</v>
      </c>
      <c r="E3" s="77">
        <f>'Hoja 25'!J8</f>
        <v>6.009988219</v>
      </c>
      <c r="F3" s="77">
        <f>'Hoja 25'!M8</f>
        <v>3.839587597</v>
      </c>
      <c r="G3" s="66">
        <v>0.0</v>
      </c>
      <c r="H3" s="97">
        <f>CONVERT(((B3/(TTSN!C32*1000))*TTSN!D32),"min","day")</f>
        <v>748.3275646</v>
      </c>
      <c r="I3" s="12">
        <f t="shared" ref="I3:I20" si="1">AVERAGE($C3:C$20)</f>
        <v>1.256451152</v>
      </c>
      <c r="J3" s="11">
        <f t="shared" ref="J3:J19" si="2">STDEV($C3:C$20)</f>
        <v>0.07184407873</v>
      </c>
      <c r="K3" s="12">
        <f t="shared" ref="K3:K19" si="3">I3-1.96*J3/SQRT(COUNT($A3:A$20))</f>
        <v>1.223260881</v>
      </c>
      <c r="L3" s="12">
        <f t="shared" ref="L3:L19" si="4">I3+1.96*J3/SQRT(COUNT($A3:A$20))</f>
        <v>1.289641423</v>
      </c>
      <c r="M3" s="12">
        <f t="shared" ref="M3:M14" si="5">AVERAGE($H3:H$14)</f>
        <v>127.1282618</v>
      </c>
      <c r="N3" s="14">
        <f t="shared" ref="N3:N13" si="6">STDEV($H3:H$14)</f>
        <v>205.6614644</v>
      </c>
      <c r="O3" s="66">
        <f t="shared" ref="O3:O13" si="7">M3-1.96*N3/SQRT(COUNT($A3:A$13))</f>
        <v>5.590103025</v>
      </c>
      <c r="P3" s="66">
        <f t="shared" ref="P3:P13" si="8">M3+1.96*N3/SQRT(COUNT($A3:A$13))</f>
        <v>248.6664205</v>
      </c>
      <c r="Q3" s="35"/>
      <c r="R3" s="35"/>
      <c r="S3" s="35"/>
      <c r="T3" s="35"/>
      <c r="U3" s="35"/>
      <c r="V3" s="35"/>
    </row>
    <row r="4">
      <c r="A4" s="98">
        <v>2018.0</v>
      </c>
      <c r="B4" s="16">
        <f>'Replicación (controlada)'!I8*1000</f>
        <v>906428570000</v>
      </c>
      <c r="C4" s="77">
        <f>'Replicación (controlada)'!L8</f>
        <v>1.354643144</v>
      </c>
      <c r="D4" s="69">
        <f>'Replicación (controlada)'!K8</f>
        <v>0.2705048573</v>
      </c>
      <c r="E4" s="77">
        <f>'Replicación (controlada)'!J8</f>
        <v>6.362476118</v>
      </c>
      <c r="F4" s="77">
        <f>TODAS!M7</f>
        <v>3.726832014</v>
      </c>
      <c r="G4" s="77">
        <f>CONVERT(B4*TTSN!D33,"min","yr")</f>
        <v>14310871.33</v>
      </c>
      <c r="H4" s="97">
        <f>CONVERT(((B4/('Hoja 22'!C7*1000))*TTSN!D33),"min","day")</f>
        <v>270.443237</v>
      </c>
      <c r="I4" s="12">
        <f t="shared" si="1"/>
        <v>1.261512948</v>
      </c>
      <c r="J4" s="11">
        <f t="shared" si="2"/>
        <v>0.07066932424</v>
      </c>
      <c r="K4" s="12">
        <f t="shared" si="3"/>
        <v>1.227918883</v>
      </c>
      <c r="L4" s="12">
        <f t="shared" si="4"/>
        <v>1.295107012</v>
      </c>
      <c r="M4" s="12">
        <f t="shared" si="5"/>
        <v>70.65559787</v>
      </c>
      <c r="N4" s="14">
        <f t="shared" si="6"/>
        <v>66.55348537</v>
      </c>
      <c r="O4" s="66">
        <f t="shared" si="7"/>
        <v>29.40532028</v>
      </c>
      <c r="P4" s="66">
        <f t="shared" si="8"/>
        <v>111.9058755</v>
      </c>
      <c r="Q4" s="14"/>
      <c r="R4" s="14"/>
      <c r="S4" s="14"/>
      <c r="T4" s="14"/>
      <c r="U4" s="14"/>
      <c r="V4" s="14"/>
    </row>
    <row r="5">
      <c r="A5" s="98">
        <v>2017.0</v>
      </c>
      <c r="B5" s="16">
        <f>'Hoja 40'!I5*1000</f>
        <v>432973959000</v>
      </c>
      <c r="C5" s="77">
        <f>'Hoja 40'!L5</f>
        <v>1.348422914</v>
      </c>
      <c r="D5" s="69">
        <f>'Hoja 40'!K5</f>
        <v>0.27049364</v>
      </c>
      <c r="E5" s="77">
        <f>'Hoja 40'!J5</f>
        <v>6.333467715</v>
      </c>
      <c r="F5" s="77">
        <f>'Hoja 40'!M5</f>
        <v>3.985044801</v>
      </c>
      <c r="G5" s="77">
        <f>CONVERT(B5*TTSN!D34,"min","yr")</f>
        <v>3264921.719</v>
      </c>
      <c r="H5" s="97">
        <f>CONVERT(((B5/('Hoja 22'!C8*1000))*TTSN!D34),"min","day")</f>
        <v>63.34795896</v>
      </c>
      <c r="I5" s="12">
        <f t="shared" si="1"/>
        <v>1.25569231</v>
      </c>
      <c r="J5" s="11">
        <f t="shared" si="2"/>
        <v>0.0686494203</v>
      </c>
      <c r="K5" s="12">
        <f t="shared" si="3"/>
        <v>1.222054094</v>
      </c>
      <c r="L5" s="12">
        <f t="shared" si="4"/>
        <v>1.289330526</v>
      </c>
      <c r="M5" s="12">
        <f t="shared" si="5"/>
        <v>50.67683396</v>
      </c>
      <c r="N5" s="14">
        <f t="shared" si="6"/>
        <v>6.557890222</v>
      </c>
      <c r="O5" s="66">
        <f t="shared" si="7"/>
        <v>46.39234568</v>
      </c>
      <c r="P5" s="66">
        <f t="shared" si="8"/>
        <v>54.96132224</v>
      </c>
      <c r="Q5" s="35"/>
      <c r="R5" s="35"/>
      <c r="S5" s="35"/>
      <c r="T5" s="35"/>
      <c r="U5" s="35"/>
      <c r="V5" s="35"/>
    </row>
    <row r="6">
      <c r="A6" s="99">
        <f t="shared" ref="A6:A20" si="9">A5-1</f>
        <v>2016</v>
      </c>
      <c r="B6" s="16">
        <f>'Hoja 40'!I6*1000</f>
        <v>387822855000</v>
      </c>
      <c r="C6" s="77">
        <f>'Hoja 40'!L6</f>
        <v>1.288921331</v>
      </c>
      <c r="D6" s="69">
        <f>'Hoja 40'!K6</f>
        <v>0.2614222719</v>
      </c>
      <c r="E6" s="77">
        <f>'Hoja 40'!J6</f>
        <v>6.219340312</v>
      </c>
      <c r="F6" s="77">
        <f>'Hoja 40'!M6</f>
        <v>3.930418981</v>
      </c>
      <c r="G6" s="77">
        <f>CONVERT(B6*TTSN!D35,"min","yr")</f>
        <v>2774641.436</v>
      </c>
      <c r="H6" s="97">
        <f>CONVERT(((B6/('Hoja 22'!C9*1000))*TTSN!D35),"min","day")</f>
        <v>55.25381154</v>
      </c>
      <c r="I6" s="12">
        <f t="shared" si="1"/>
        <v>1.24951027</v>
      </c>
      <c r="J6" s="11">
        <f t="shared" si="2"/>
        <v>0.06628882394</v>
      </c>
      <c r="K6" s="12">
        <f t="shared" si="3"/>
        <v>1.215963497</v>
      </c>
      <c r="L6" s="12">
        <f t="shared" si="4"/>
        <v>1.283057044</v>
      </c>
      <c r="M6" s="12">
        <f t="shared" si="5"/>
        <v>49.26893118</v>
      </c>
      <c r="N6" s="14">
        <f t="shared" si="6"/>
        <v>5.107056352</v>
      </c>
      <c r="O6" s="66">
        <f t="shared" si="7"/>
        <v>45.72992169</v>
      </c>
      <c r="P6" s="66">
        <f t="shared" si="8"/>
        <v>52.80794068</v>
      </c>
    </row>
    <row r="7">
      <c r="A7" s="99">
        <f t="shared" si="9"/>
        <v>2015</v>
      </c>
      <c r="B7" s="16">
        <f>'Hoja 40'!I7*1000</f>
        <v>394477086000</v>
      </c>
      <c r="C7" s="77">
        <f>'Hoja 40'!L7</f>
        <v>1.381742417</v>
      </c>
      <c r="D7" s="69">
        <f>'Hoja 40'!K7</f>
        <v>0.2749419178</v>
      </c>
      <c r="E7" s="77">
        <f>'Hoja 40'!J7</f>
        <v>6.407321741</v>
      </c>
      <c r="F7" s="77">
        <f>'Hoja 40'!M7</f>
        <v>4.025579324</v>
      </c>
      <c r="G7" s="77">
        <f>CONVERT(B7*TTSN!D36,"min","yr")</f>
        <v>2811429.319</v>
      </c>
      <c r="H7" s="97">
        <f>CONVERT(((B7/('Hoja 22'!C10*1000))*TTSN!D36),"min","day")</f>
        <v>57.47646696</v>
      </c>
      <c r="I7" s="12">
        <f t="shared" si="1"/>
        <v>1.246695194</v>
      </c>
      <c r="J7" s="11">
        <f t="shared" si="2"/>
        <v>0.06785433359</v>
      </c>
      <c r="K7" s="12">
        <f t="shared" si="3"/>
        <v>1.211150921</v>
      </c>
      <c r="L7" s="12">
        <f t="shared" si="4"/>
        <v>1.282239468</v>
      </c>
      <c r="M7" s="12">
        <f t="shared" si="5"/>
        <v>48.52082114</v>
      </c>
      <c r="N7" s="14">
        <f t="shared" si="6"/>
        <v>4.904226379</v>
      </c>
      <c r="O7" s="66">
        <f t="shared" si="7"/>
        <v>44.88771939</v>
      </c>
      <c r="P7" s="66">
        <f t="shared" si="8"/>
        <v>52.15392288</v>
      </c>
    </row>
    <row r="8">
      <c r="A8" s="99">
        <f t="shared" si="9"/>
        <v>2014</v>
      </c>
      <c r="B8" s="16">
        <f>'Hoja 40'!I8*1000</f>
        <v>359911833000</v>
      </c>
      <c r="C8" s="77">
        <f>'Hoja 40'!L8</f>
        <v>1.326406467</v>
      </c>
      <c r="D8" s="69">
        <f>'Hoja 40'!K8</f>
        <v>0.2564083663</v>
      </c>
      <c r="E8" s="77">
        <f>'Hoja 40'!J8</f>
        <v>6.499429824</v>
      </c>
      <c r="F8" s="77">
        <f>'Hoja 40'!M8</f>
        <v>4.173023357</v>
      </c>
      <c r="G8" s="77">
        <f>CONVERT(B8*TTSN!D37,"min","yr")</f>
        <v>2548554.034</v>
      </c>
      <c r="H8" s="97">
        <f>CONVERT(((B8/('Hoja 22'!C11*1000))*TTSN!D37),"min","day")</f>
        <v>53.66977784</v>
      </c>
      <c r="I8" s="12">
        <f t="shared" si="1"/>
        <v>1.236306946</v>
      </c>
      <c r="J8" s="11">
        <f t="shared" si="2"/>
        <v>0.05788932054</v>
      </c>
      <c r="K8" s="12">
        <f t="shared" si="3"/>
        <v>1.204837953</v>
      </c>
      <c r="L8" s="12">
        <f t="shared" si="4"/>
        <v>1.26777594</v>
      </c>
      <c r="M8" s="12">
        <f t="shared" si="5"/>
        <v>47.24144316</v>
      </c>
      <c r="N8" s="14">
        <f t="shared" si="6"/>
        <v>3.57535095</v>
      </c>
      <c r="O8" s="66">
        <f t="shared" si="7"/>
        <v>44.38056657</v>
      </c>
      <c r="P8" s="66">
        <f t="shared" si="8"/>
        <v>50.10231975</v>
      </c>
    </row>
    <row r="9">
      <c r="A9" s="99">
        <f t="shared" si="9"/>
        <v>2013</v>
      </c>
      <c r="B9" s="16">
        <f>'Hoja 40'!I9*1000</f>
        <v>326405635000</v>
      </c>
      <c r="C9" s="77">
        <f>'Hoja 40'!L9</f>
        <v>1.228591458</v>
      </c>
      <c r="D9" s="69">
        <f>'Hoja 40'!K9</f>
        <v>0.2395751204</v>
      </c>
      <c r="E9" s="77">
        <f>'Hoja 40'!J9</f>
        <v>6.356801164</v>
      </c>
      <c r="F9" s="77">
        <f>'Hoja 40'!M9</f>
        <v>4.128209707</v>
      </c>
      <c r="G9" s="77">
        <f>CONVERT(B9*TTSN!D38,"min","yr")</f>
        <v>2243833.482</v>
      </c>
      <c r="H9" s="97">
        <f>CONVERT(((B9/('Hoja 22'!C12*1000))*TTSN!D38),"min","day")</f>
        <v>47.81843628</v>
      </c>
      <c r="I9" s="12">
        <f t="shared" si="1"/>
        <v>1.228798653</v>
      </c>
      <c r="J9" s="11">
        <f t="shared" si="2"/>
        <v>0.05344467306</v>
      </c>
      <c r="K9" s="12">
        <f t="shared" si="3"/>
        <v>1.198559483</v>
      </c>
      <c r="L9" s="12">
        <f t="shared" si="4"/>
        <v>1.259037823</v>
      </c>
      <c r="M9" s="12">
        <f t="shared" si="5"/>
        <v>46.17005405</v>
      </c>
      <c r="N9" s="14">
        <f t="shared" si="6"/>
        <v>2.386967614</v>
      </c>
      <c r="O9" s="66">
        <f t="shared" si="7"/>
        <v>44.07778468</v>
      </c>
      <c r="P9" s="66">
        <f t="shared" si="8"/>
        <v>48.26232341</v>
      </c>
    </row>
    <row r="10">
      <c r="A10" s="99">
        <f t="shared" si="9"/>
        <v>2012</v>
      </c>
      <c r="B10" s="16">
        <f>'Hoja 40'!I10*1000</f>
        <v>307826015000</v>
      </c>
      <c r="C10" s="77">
        <f>'Hoja 40'!L10</f>
        <v>1.120970278</v>
      </c>
      <c r="D10" s="69">
        <f>'Hoja 40'!K10</f>
        <v>0.2201144846</v>
      </c>
      <c r="E10" s="77">
        <f>'Hoja 40'!J10</f>
        <v>6.213639578</v>
      </c>
      <c r="F10" s="77">
        <f>'Hoja 40'!M10</f>
        <v>4.0926693</v>
      </c>
      <c r="G10" s="77">
        <f>CONVERT(B10*TTSN!D39,"min","yr")</f>
        <v>2076149.539</v>
      </c>
      <c r="H10" s="97">
        <f>CONVERT(((B10/('Hoja 22'!C13*1000))*TTSN!D39),"min","day")</f>
        <v>43.0060977</v>
      </c>
      <c r="I10" s="12">
        <f t="shared" si="1"/>
        <v>1.228817489</v>
      </c>
      <c r="J10" s="11">
        <f t="shared" si="2"/>
        <v>0.05605320422</v>
      </c>
      <c r="K10" s="12">
        <f t="shared" si="3"/>
        <v>1.195692162</v>
      </c>
      <c r="L10" s="12">
        <f t="shared" si="4"/>
        <v>1.261942816</v>
      </c>
      <c r="M10" s="12">
        <f t="shared" si="5"/>
        <v>45.8403776</v>
      </c>
      <c r="N10" s="14">
        <f t="shared" si="6"/>
        <v>2.511348003</v>
      </c>
      <c r="O10" s="66">
        <f t="shared" si="7"/>
        <v>43.37925656</v>
      </c>
      <c r="P10" s="66">
        <f t="shared" si="8"/>
        <v>48.30149864</v>
      </c>
    </row>
    <row r="11">
      <c r="A11" s="99">
        <f t="shared" si="9"/>
        <v>2011</v>
      </c>
      <c r="B11" s="16">
        <f>'Hoja 40'!I11*1000</f>
        <v>346408599000</v>
      </c>
      <c r="C11" s="77">
        <f>'Hoja 40'!L11</f>
        <v>1.1919684</v>
      </c>
      <c r="D11" s="69">
        <f>'Hoja 40'!K11</f>
        <v>0.2425067172</v>
      </c>
      <c r="E11" s="77">
        <f>'Hoja 40'!J11</f>
        <v>6.107165859</v>
      </c>
      <c r="F11" s="77">
        <f>'Hoja 40'!M11</f>
        <v>3.915197459</v>
      </c>
      <c r="G11" s="77">
        <f>CONVERT(B11*TTSN!D40,"min","yr")</f>
        <v>2313088.23</v>
      </c>
      <c r="H11" s="97">
        <f>CONVERT(((B11/('Hoja 22'!C14*1000))*TTSN!D40),"min","day")</f>
        <v>45.86271815</v>
      </c>
      <c r="I11" s="12">
        <f t="shared" si="1"/>
        <v>1.23960221</v>
      </c>
      <c r="J11" s="11">
        <f t="shared" si="2"/>
        <v>0.04549175022</v>
      </c>
      <c r="K11" s="12">
        <f t="shared" si="3"/>
        <v>1.211406131</v>
      </c>
      <c r="L11" s="12">
        <f t="shared" si="4"/>
        <v>1.267798289</v>
      </c>
      <c r="M11" s="12">
        <f t="shared" si="5"/>
        <v>46.54894758</v>
      </c>
      <c r="N11" s="14">
        <f t="shared" si="6"/>
        <v>2.249892367</v>
      </c>
      <c r="O11" s="66">
        <f t="shared" si="7"/>
        <v>44.00295469</v>
      </c>
      <c r="P11" s="66">
        <f t="shared" si="8"/>
        <v>49.09494046</v>
      </c>
    </row>
    <row r="12">
      <c r="A12" s="99">
        <f t="shared" si="9"/>
        <v>2010</v>
      </c>
      <c r="B12" s="16">
        <f>'Hoja 40'!I12*1000</f>
        <v>363030093000</v>
      </c>
      <c r="C12" s="77">
        <f>'Hoja 40'!L12</f>
        <v>1.248492366</v>
      </c>
      <c r="D12" s="69">
        <f>'Hoja 40'!K12</f>
        <v>0.2573024058</v>
      </c>
      <c r="E12" s="77">
        <f>'Hoja 40'!J12</f>
        <v>6.100729802</v>
      </c>
      <c r="F12" s="77">
        <f>'Hoja 40'!M12</f>
        <v>3.852237436</v>
      </c>
      <c r="G12" s="77">
        <f>CONVERT(B12*TTSN!D41,"min","yr")</f>
        <v>2375325.597</v>
      </c>
      <c r="H12" s="97">
        <f>CONVERT(((B12/('Hoja 22'!C15*1000))*TTSN!D41),"min","day")</f>
        <v>46.33435735</v>
      </c>
      <c r="I12" s="12">
        <f t="shared" si="1"/>
        <v>1.244894856</v>
      </c>
      <c r="J12" s="11">
        <f t="shared" si="2"/>
        <v>0.04486703321</v>
      </c>
      <c r="K12" s="12">
        <f t="shared" si="3"/>
        <v>1.215581727</v>
      </c>
      <c r="L12" s="12">
        <f t="shared" si="4"/>
        <v>1.274207984</v>
      </c>
      <c r="M12" s="12">
        <f t="shared" si="5"/>
        <v>46.77769072</v>
      </c>
      <c r="N12" s="14">
        <f t="shared" si="6"/>
        <v>2.697977566</v>
      </c>
      <c r="O12" s="66">
        <f t="shared" si="7"/>
        <v>43.03848458</v>
      </c>
      <c r="P12" s="66">
        <f t="shared" si="8"/>
        <v>50.51689685</v>
      </c>
    </row>
    <row r="13">
      <c r="A13" s="99">
        <f t="shared" si="9"/>
        <v>2009</v>
      </c>
      <c r="B13" s="16">
        <f>'Hoja 40'!I13*1000</f>
        <v>365529176000</v>
      </c>
      <c r="C13" s="77">
        <f>'Hoja 40'!L13</f>
        <v>1.223608621</v>
      </c>
      <c r="D13" s="69">
        <f>'Hoja 40'!K13</f>
        <v>0.264309562</v>
      </c>
      <c r="E13" s="77">
        <f>'Hoja 40'!J13</f>
        <v>5.853061342</v>
      </c>
      <c r="F13" s="77">
        <f>'Hoja 40'!M13</f>
        <v>3.629452721</v>
      </c>
      <c r="G13" s="77">
        <f>CONVERT(B13*TTSN!D42,"min","yr")</f>
        <v>2318923.127</v>
      </c>
      <c r="H13" s="97">
        <f>CONVERT(((B13/('Hoja 22'!C16*1000))*TTSN!D42),"min","day")</f>
        <v>44.32883786</v>
      </c>
      <c r="I13" s="12">
        <f t="shared" si="1"/>
        <v>1.244445167</v>
      </c>
      <c r="J13" s="11">
        <f t="shared" si="2"/>
        <v>0.04794318887</v>
      </c>
      <c r="K13" s="12">
        <f t="shared" si="3"/>
        <v>1.211222232</v>
      </c>
      <c r="L13" s="12">
        <f t="shared" si="4"/>
        <v>1.277668102</v>
      </c>
      <c r="M13" s="12">
        <f t="shared" si="5"/>
        <v>46.9993574</v>
      </c>
      <c r="N13" s="14">
        <f t="shared" si="6"/>
        <v>3.776684946</v>
      </c>
      <c r="O13" s="66">
        <f t="shared" si="7"/>
        <v>39.59705491</v>
      </c>
      <c r="P13" s="66">
        <f t="shared" si="8"/>
        <v>54.40165989</v>
      </c>
    </row>
    <row r="14">
      <c r="A14" s="99">
        <f t="shared" si="9"/>
        <v>2008</v>
      </c>
      <c r="B14" s="16">
        <f>'Hoja 40'!I14*1000</f>
        <v>409614941000</v>
      </c>
      <c r="C14" s="77">
        <f>'Hoja 40'!L14</f>
        <v>1.283898547</v>
      </c>
      <c r="D14" s="69">
        <f>'Hoja 40'!K14</f>
        <v>0.2500698262</v>
      </c>
      <c r="E14" s="77">
        <f>'Hoja 40'!J14</f>
        <v>6.418058738</v>
      </c>
      <c r="F14" s="77">
        <f>'Hoja 40'!M14</f>
        <v>4.134160191</v>
      </c>
      <c r="G14" s="77">
        <f>CONVERT(B14*TTSN!D43,"min","yr")</f>
        <v>2783648.131</v>
      </c>
      <c r="H14" s="97">
        <f>CONVERT(((B14/('Hoja 22'!C17*1000))*TTSN!D43),"min","day")</f>
        <v>49.66987694</v>
      </c>
      <c r="I14" s="12">
        <f t="shared" si="1"/>
        <v>1.247421816</v>
      </c>
      <c r="J14" s="11">
        <f t="shared" si="2"/>
        <v>0.05097983389</v>
      </c>
      <c r="K14" s="12">
        <f t="shared" si="3"/>
        <v>1.209655427</v>
      </c>
      <c r="L14" s="12">
        <f t="shared" si="4"/>
        <v>1.285188206</v>
      </c>
      <c r="M14" s="12">
        <f t="shared" si="5"/>
        <v>49.66987694</v>
      </c>
      <c r="N14" s="14"/>
    </row>
    <row r="15">
      <c r="A15" s="99">
        <f t="shared" si="9"/>
        <v>2007</v>
      </c>
      <c r="B15" s="16">
        <f>'Hoja 40'!I15*1000</f>
        <v>397895813000</v>
      </c>
      <c r="C15" s="77">
        <f>'Hoja 40'!L15</f>
        <v>1.286940407</v>
      </c>
      <c r="D15" s="69">
        <f>'Hoja 40'!K15</f>
        <v>0.2304348963</v>
      </c>
      <c r="E15" s="77">
        <f>'Hoja 40'!J15</f>
        <v>6.871773381</v>
      </c>
      <c r="F15" s="77">
        <f>'Hoja 40'!M15</f>
        <v>4.584832974</v>
      </c>
      <c r="G15" s="77">
        <f t="shared" ref="G15:G20" si="10">CONVERT(B15*10.12,"min","yr")</f>
        <v>7655916.092</v>
      </c>
      <c r="H15" s="100">
        <v>0.0</v>
      </c>
      <c r="I15" s="12">
        <f t="shared" si="1"/>
        <v>1.241342361</v>
      </c>
      <c r="J15" s="11">
        <f t="shared" si="2"/>
        <v>0.05299311326</v>
      </c>
      <c r="K15" s="12">
        <f t="shared" si="3"/>
        <v>1.198939039</v>
      </c>
      <c r="L15" s="12">
        <f t="shared" si="4"/>
        <v>1.283745683</v>
      </c>
    </row>
    <row r="16">
      <c r="A16" s="99">
        <f t="shared" si="9"/>
        <v>2006</v>
      </c>
      <c r="B16" s="16">
        <f>'Hoja 40'!I16*1000</f>
        <v>336641259000</v>
      </c>
      <c r="C16" s="77">
        <f>'Hoja 40'!L16</f>
        <v>1.187211267</v>
      </c>
      <c r="D16" s="69">
        <f>'Hoja 40'!K16</f>
        <v>0.2079590428</v>
      </c>
      <c r="E16" s="77">
        <f>'Hoja 40'!J16</f>
        <v>6.896081872</v>
      </c>
      <c r="F16" s="77">
        <f>'Hoja 40'!M16</f>
        <v>4.708870606</v>
      </c>
      <c r="G16" s="77">
        <f t="shared" si="10"/>
        <v>6477316.794</v>
      </c>
      <c r="H16" s="100">
        <v>0.0</v>
      </c>
      <c r="I16" s="12">
        <f t="shared" si="1"/>
        <v>1.232222752</v>
      </c>
      <c r="J16" s="11">
        <f t="shared" si="2"/>
        <v>0.05372693014</v>
      </c>
      <c r="K16" s="12">
        <f t="shared" si="3"/>
        <v>1.185129021</v>
      </c>
      <c r="L16" s="12">
        <f t="shared" si="4"/>
        <v>1.279316483</v>
      </c>
    </row>
    <row r="17">
      <c r="A17" s="99">
        <f t="shared" si="9"/>
        <v>2005</v>
      </c>
      <c r="B17" s="16">
        <f>'Hoja 40'!I17*1000</f>
        <v>314539563000</v>
      </c>
      <c r="C17" s="77">
        <f>'Hoja 40'!L17</f>
        <v>1.216161745</v>
      </c>
      <c r="D17" s="69">
        <f>'Hoja 40'!K17</f>
        <v>0.2154892713</v>
      </c>
      <c r="E17" s="77">
        <f>'Hoja 40'!J17</f>
        <v>6.859884691</v>
      </c>
      <c r="F17" s="77">
        <f>'Hoja 40'!M17</f>
        <v>4.643722946</v>
      </c>
      <c r="G17" s="77">
        <f t="shared" si="10"/>
        <v>6052057.909</v>
      </c>
      <c r="H17" s="100">
        <v>0.0</v>
      </c>
      <c r="I17" s="12">
        <f t="shared" si="1"/>
        <v>1.243475623</v>
      </c>
      <c r="J17" s="11">
        <f t="shared" si="2"/>
        <v>0.0548142008</v>
      </c>
      <c r="K17" s="12">
        <f t="shared" si="3"/>
        <v>1.189757706</v>
      </c>
      <c r="L17" s="12">
        <f t="shared" si="4"/>
        <v>1.29719354</v>
      </c>
    </row>
    <row r="18">
      <c r="A18" s="99">
        <f t="shared" si="9"/>
        <v>2004</v>
      </c>
      <c r="B18" s="16">
        <f>'Hoja 40'!I18*1000</f>
        <v>294204392000</v>
      </c>
      <c r="C18" s="77">
        <f>'Hoja 40'!L18</f>
        <v>1.255806672</v>
      </c>
      <c r="D18" s="69">
        <f>'Hoja 40'!K18</f>
        <v>0.2281334432</v>
      </c>
      <c r="E18" s="77">
        <f>'Hoja 40'!J18</f>
        <v>6.760508898</v>
      </c>
      <c r="F18" s="77">
        <f>'Hoja 40'!M18</f>
        <v>4.504702226</v>
      </c>
      <c r="G18" s="77">
        <f t="shared" si="10"/>
        <v>5660788.743</v>
      </c>
      <c r="H18" s="100">
        <v>0.0</v>
      </c>
      <c r="I18" s="12">
        <f t="shared" si="1"/>
        <v>1.252580249</v>
      </c>
      <c r="J18" s="11">
        <f t="shared" si="2"/>
        <v>0.06332084661</v>
      </c>
      <c r="K18" s="12">
        <f t="shared" si="3"/>
        <v>1.180925966</v>
      </c>
      <c r="L18" s="12">
        <f t="shared" si="4"/>
        <v>1.324234533</v>
      </c>
    </row>
    <row r="19">
      <c r="A19" s="99">
        <f t="shared" si="9"/>
        <v>2003</v>
      </c>
      <c r="B19" s="16">
        <f>'Hoja 40'!I19*1000</f>
        <v>260500257000</v>
      </c>
      <c r="C19" s="77">
        <f>'Hoja 40'!L19</f>
        <v>1.18770787</v>
      </c>
      <c r="D19" s="69">
        <f>'Hoja 40'!K19</f>
        <v>0.220896072</v>
      </c>
      <c r="E19" s="77">
        <f>'Hoja 40'!J19</f>
        <v>6.564480122</v>
      </c>
      <c r="F19" s="77">
        <f>'Hoja 40'!M19</f>
        <v>4.376772252</v>
      </c>
      <c r="G19" s="77">
        <f t="shared" si="10"/>
        <v>5012287.248</v>
      </c>
      <c r="H19" s="100">
        <v>0.0</v>
      </c>
      <c r="I19" s="12">
        <f t="shared" si="1"/>
        <v>1.250967038</v>
      </c>
      <c r="J19" s="11">
        <f t="shared" si="2"/>
        <v>0.08946197248</v>
      </c>
      <c r="K19" s="12">
        <f t="shared" si="3"/>
        <v>1.12697907</v>
      </c>
      <c r="L19" s="12">
        <f t="shared" si="4"/>
        <v>1.374955006</v>
      </c>
    </row>
    <row r="20">
      <c r="A20" s="101">
        <f t="shared" si="9"/>
        <v>2002</v>
      </c>
      <c r="B20" s="102">
        <f>'Hoja 40'!I20*1000</f>
        <v>263161938000</v>
      </c>
      <c r="C20" s="103">
        <f>'Hoja 40'!L20</f>
        <v>1.314226205</v>
      </c>
      <c r="D20" s="104">
        <f>'Hoja 40'!K20</f>
        <v>0.2449532593</v>
      </c>
      <c r="E20" s="103">
        <f>'Hoja 40'!J20</f>
        <v>6.679438363</v>
      </c>
      <c r="F20" s="103">
        <f>'Hoja 40'!M20</f>
        <v>4.365212158</v>
      </c>
      <c r="G20" s="103">
        <f t="shared" si="10"/>
        <v>5063500.67</v>
      </c>
      <c r="H20" s="105">
        <v>0.0</v>
      </c>
      <c r="I20" s="12">
        <f t="shared" si="1"/>
        <v>1.314226205</v>
      </c>
    </row>
    <row r="23">
      <c r="A23" s="35"/>
      <c r="G23" s="35"/>
    </row>
    <row r="24">
      <c r="A24" s="14"/>
      <c r="G24" s="14"/>
    </row>
    <row r="25">
      <c r="A25" s="14"/>
      <c r="D25" s="21"/>
      <c r="E25" s="21"/>
      <c r="G25" s="14"/>
    </row>
    <row r="26">
      <c r="A26" s="68"/>
      <c r="D26" s="21"/>
      <c r="E26" s="21"/>
      <c r="G26" s="68"/>
    </row>
    <row r="27">
      <c r="A27" s="68"/>
      <c r="D27" s="21"/>
      <c r="E27" s="21"/>
      <c r="G27" s="68"/>
    </row>
    <row r="28">
      <c r="A28" s="68"/>
      <c r="D28" s="21"/>
      <c r="E28" s="21"/>
      <c r="G28" s="68"/>
    </row>
    <row r="29">
      <c r="A29" s="68"/>
      <c r="D29" s="21"/>
      <c r="E29" s="21"/>
      <c r="G29" s="68"/>
    </row>
    <row r="30">
      <c r="A30" s="68"/>
      <c r="D30" s="21"/>
      <c r="E30" s="21"/>
      <c r="G30" s="68"/>
    </row>
    <row r="31">
      <c r="A31" s="68"/>
      <c r="D31" s="21"/>
      <c r="E31" s="21"/>
      <c r="G31" s="68"/>
    </row>
    <row r="32">
      <c r="A32" s="68"/>
      <c r="D32" s="21"/>
      <c r="E32" s="21"/>
      <c r="G32" s="68"/>
    </row>
    <row r="33">
      <c r="A33" s="68"/>
      <c r="D33" s="21"/>
      <c r="E33" s="21"/>
      <c r="G33" s="68"/>
    </row>
    <row r="34">
      <c r="A34" s="68"/>
      <c r="D34" s="21"/>
      <c r="E34" s="21"/>
      <c r="G34" s="68"/>
    </row>
    <row r="35">
      <c r="A35" s="68"/>
      <c r="D35" s="21"/>
      <c r="E35" s="21"/>
      <c r="G35" s="68"/>
    </row>
    <row r="36">
      <c r="A36" s="68"/>
      <c r="D36" s="21"/>
      <c r="E36" s="21"/>
      <c r="G36" s="68"/>
    </row>
    <row r="37">
      <c r="A37" s="68"/>
      <c r="D37" s="21"/>
      <c r="E37" s="21"/>
      <c r="G37" s="68"/>
    </row>
    <row r="38">
      <c r="A38" s="68"/>
      <c r="D38" s="21"/>
      <c r="E38" s="21"/>
      <c r="G38" s="68"/>
    </row>
    <row r="39">
      <c r="A39" s="68"/>
      <c r="D39" s="21"/>
      <c r="E39" s="21"/>
      <c r="G39" s="68"/>
    </row>
    <row r="40">
      <c r="A40" s="68"/>
      <c r="G40" s="68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71" t="s">
        <v>245</v>
      </c>
    </row>
    <row r="2">
      <c r="B2" s="35" t="s">
        <v>246</v>
      </c>
    </row>
    <row r="3">
      <c r="B3" s="35" t="s">
        <v>247</v>
      </c>
      <c r="C3" s="35" t="s">
        <v>248</v>
      </c>
      <c r="D3" s="35" t="s">
        <v>249</v>
      </c>
      <c r="E3" s="35" t="s">
        <v>250</v>
      </c>
      <c r="F3" s="35" t="s">
        <v>251</v>
      </c>
      <c r="G3" s="35" t="s">
        <v>252</v>
      </c>
      <c r="H3" s="35" t="s">
        <v>253</v>
      </c>
      <c r="I3" s="35" t="s">
        <v>254</v>
      </c>
      <c r="J3" s="35" t="s">
        <v>255</v>
      </c>
      <c r="K3" s="35" t="s">
        <v>256</v>
      </c>
      <c r="L3" s="35" t="s">
        <v>257</v>
      </c>
      <c r="M3" s="35" t="s">
        <v>198</v>
      </c>
      <c r="N3" s="35" t="s">
        <v>199</v>
      </c>
      <c r="O3" s="35" t="s">
        <v>200</v>
      </c>
      <c r="P3" s="35" t="s">
        <v>201</v>
      </c>
      <c r="Q3" s="35" t="s">
        <v>258</v>
      </c>
      <c r="R3" s="35" t="s">
        <v>259</v>
      </c>
      <c r="S3" s="35" t="s">
        <v>260</v>
      </c>
      <c r="T3" s="35" t="s">
        <v>261</v>
      </c>
      <c r="U3" s="35" t="s">
        <v>262</v>
      </c>
      <c r="V3" s="35" t="s">
        <v>263</v>
      </c>
      <c r="W3" s="35" t="s">
        <v>264</v>
      </c>
      <c r="X3" s="35" t="s">
        <v>265</v>
      </c>
      <c r="Y3" s="35" t="s">
        <v>266</v>
      </c>
      <c r="Z3" s="35" t="s">
        <v>267</v>
      </c>
      <c r="AA3" s="35" t="s">
        <v>268</v>
      </c>
      <c r="AB3" s="35" t="s">
        <v>269</v>
      </c>
      <c r="AC3" s="35" t="s">
        <v>270</v>
      </c>
      <c r="AD3" s="35" t="s">
        <v>271</v>
      </c>
      <c r="AE3" s="35" t="s">
        <v>272</v>
      </c>
      <c r="AF3" s="35" t="s">
        <v>273</v>
      </c>
      <c r="AG3" s="35" t="s">
        <v>274</v>
      </c>
      <c r="AH3" s="35" t="s">
        <v>275</v>
      </c>
      <c r="AI3" s="35" t="s">
        <v>276</v>
      </c>
      <c r="AJ3" s="35" t="s">
        <v>277</v>
      </c>
      <c r="AK3" s="35" t="s">
        <v>278</v>
      </c>
      <c r="AL3" s="35" t="s">
        <v>279</v>
      </c>
      <c r="AM3" s="35" t="s">
        <v>280</v>
      </c>
      <c r="AN3" s="35" t="s">
        <v>281</v>
      </c>
      <c r="AO3" s="35" t="s">
        <v>282</v>
      </c>
      <c r="AP3" s="35" t="s">
        <v>283</v>
      </c>
      <c r="AQ3" s="35" t="s">
        <v>284</v>
      </c>
      <c r="AR3" s="35" t="s">
        <v>285</v>
      </c>
      <c r="AS3" s="35" t="s">
        <v>286</v>
      </c>
      <c r="AT3" s="35" t="s">
        <v>287</v>
      </c>
      <c r="AU3" s="35" t="s">
        <v>288</v>
      </c>
      <c r="AV3" s="35" t="s">
        <v>289</v>
      </c>
      <c r="AW3" s="35" t="s">
        <v>290</v>
      </c>
      <c r="AX3" s="35" t="s">
        <v>291</v>
      </c>
      <c r="AY3" s="35" t="s">
        <v>292</v>
      </c>
      <c r="AZ3" s="35" t="s">
        <v>293</v>
      </c>
      <c r="BA3" s="35" t="s">
        <v>294</v>
      </c>
      <c r="BB3" s="35" t="s">
        <v>295</v>
      </c>
      <c r="BC3" s="35" t="s">
        <v>296</v>
      </c>
      <c r="BD3" s="35" t="s">
        <v>297</v>
      </c>
    </row>
    <row r="4">
      <c r="A4" s="35" t="s">
        <v>298</v>
      </c>
      <c r="B4" s="4">
        <v>121.0</v>
      </c>
      <c r="C4" s="4">
        <v>127.6</v>
      </c>
      <c r="D4" s="4">
        <v>126.3</v>
      </c>
      <c r="E4" s="4">
        <v>121.5</v>
      </c>
      <c r="F4" s="4">
        <v>115.0</v>
      </c>
      <c r="G4" s="4">
        <v>106.9</v>
      </c>
      <c r="H4" s="4">
        <v>129.0</v>
      </c>
      <c r="I4" s="4">
        <v>127.8</v>
      </c>
      <c r="J4" s="4">
        <v>121.0</v>
      </c>
      <c r="K4" s="4">
        <v>130.4</v>
      </c>
      <c r="L4" s="4">
        <v>134.1</v>
      </c>
      <c r="M4" s="4">
        <v>127.4</v>
      </c>
      <c r="N4" s="4">
        <v>121.2</v>
      </c>
      <c r="O4" s="4">
        <v>134.9</v>
      </c>
      <c r="P4" s="4">
        <v>131.4</v>
      </c>
      <c r="Q4" s="4">
        <v>126.8</v>
      </c>
      <c r="R4" s="4">
        <v>122.0</v>
      </c>
      <c r="S4" s="4">
        <v>131.4</v>
      </c>
      <c r="T4" s="4">
        <v>135.5</v>
      </c>
      <c r="U4" s="4">
        <v>127.5</v>
      </c>
      <c r="V4" s="4">
        <v>121.1</v>
      </c>
      <c r="W4" s="4">
        <v>136.7</v>
      </c>
      <c r="X4" s="4">
        <v>129.7</v>
      </c>
      <c r="Y4" s="4">
        <v>129.3</v>
      </c>
      <c r="Z4" s="4">
        <v>121.7</v>
      </c>
      <c r="AA4" s="4">
        <v>131.5</v>
      </c>
      <c r="AB4" s="4">
        <v>134.0</v>
      </c>
      <c r="AC4" s="4">
        <v>129.7</v>
      </c>
      <c r="AD4" s="4">
        <v>120.8</v>
      </c>
      <c r="AE4" s="4">
        <v>131.2</v>
      </c>
      <c r="AF4" s="4">
        <v>134.9</v>
      </c>
      <c r="AG4" s="4">
        <v>128.9</v>
      </c>
      <c r="AH4" s="4">
        <v>121.2</v>
      </c>
      <c r="AI4" s="4">
        <v>136.0</v>
      </c>
      <c r="AJ4" s="4">
        <v>132.8</v>
      </c>
      <c r="AK4" s="4">
        <v>128.6</v>
      </c>
      <c r="AL4" s="4">
        <v>121.6</v>
      </c>
      <c r="AM4" s="4">
        <v>133.1</v>
      </c>
      <c r="AN4" s="4">
        <v>137.5</v>
      </c>
      <c r="AO4" s="4">
        <v>129.8</v>
      </c>
      <c r="AP4" s="4">
        <v>121.6</v>
      </c>
      <c r="AQ4" s="4">
        <v>134.5</v>
      </c>
      <c r="AR4" s="4">
        <v>137.9</v>
      </c>
      <c r="AS4" s="4">
        <v>130.9</v>
      </c>
      <c r="AT4" s="4">
        <v>125.6</v>
      </c>
      <c r="AU4" s="4">
        <v>135.3</v>
      </c>
      <c r="AV4" s="4">
        <v>136.8</v>
      </c>
      <c r="AW4" s="4">
        <v>132.7</v>
      </c>
      <c r="AX4" s="4">
        <v>124.3</v>
      </c>
      <c r="AY4" s="4">
        <v>134.9</v>
      </c>
      <c r="AZ4" s="4">
        <v>138.2</v>
      </c>
      <c r="BA4" s="4">
        <v>136.0</v>
      </c>
      <c r="BB4" s="4">
        <v>125.2</v>
      </c>
      <c r="BC4" s="4">
        <v>142.2</v>
      </c>
      <c r="BD4" s="4">
        <v>137.5</v>
      </c>
    </row>
    <row r="5">
      <c r="A5" s="35" t="s">
        <v>299</v>
      </c>
      <c r="B5" s="4">
        <v>126.8</v>
      </c>
      <c r="C5" s="4">
        <v>139.6</v>
      </c>
      <c r="D5" s="4">
        <v>141.7</v>
      </c>
      <c r="E5" s="4">
        <v>134.8</v>
      </c>
      <c r="F5" s="4">
        <v>123.2</v>
      </c>
      <c r="G5" s="4">
        <v>117.9</v>
      </c>
      <c r="H5" s="4">
        <v>142.2</v>
      </c>
      <c r="I5" s="4">
        <v>138.5</v>
      </c>
      <c r="J5" s="4">
        <v>126.1</v>
      </c>
      <c r="K5" s="4">
        <v>142.5</v>
      </c>
      <c r="L5" s="4">
        <v>147.9</v>
      </c>
      <c r="M5" s="4">
        <v>138.4</v>
      </c>
      <c r="N5" s="4">
        <v>126.8</v>
      </c>
      <c r="O5" s="4">
        <v>147.8</v>
      </c>
      <c r="P5" s="4">
        <v>144.8</v>
      </c>
      <c r="Q5" s="4">
        <v>137.6</v>
      </c>
      <c r="R5" s="4">
        <v>128.3</v>
      </c>
      <c r="S5" s="4">
        <v>143.0</v>
      </c>
      <c r="T5" s="4">
        <v>149.1</v>
      </c>
      <c r="U5" s="4">
        <v>138.1</v>
      </c>
      <c r="V5" s="4">
        <v>128.1</v>
      </c>
      <c r="W5" s="4">
        <v>149.9</v>
      </c>
      <c r="X5" s="4">
        <v>142.0</v>
      </c>
      <c r="Y5" s="4">
        <v>139.4</v>
      </c>
      <c r="Z5" s="4">
        <v>128.3</v>
      </c>
      <c r="AA5" s="4">
        <v>143.5</v>
      </c>
      <c r="AB5" s="4">
        <v>146.2</v>
      </c>
      <c r="AC5" s="4">
        <v>140.0</v>
      </c>
      <c r="AD5" s="4">
        <v>127.5</v>
      </c>
      <c r="AE5" s="4">
        <v>142.4</v>
      </c>
      <c r="AF5" s="4">
        <v>146.9</v>
      </c>
      <c r="AG5" s="4">
        <v>138.1</v>
      </c>
      <c r="AH5" s="4">
        <v>125.8</v>
      </c>
      <c r="AI5" s="4">
        <v>145.9</v>
      </c>
      <c r="AJ5" s="4">
        <v>142.6</v>
      </c>
      <c r="AK5" s="4">
        <v>136.2</v>
      </c>
      <c r="AL5" s="4">
        <v>124.9</v>
      </c>
      <c r="AM5" s="4">
        <v>141.9</v>
      </c>
      <c r="AN5" s="4">
        <v>147.3</v>
      </c>
      <c r="AO5" s="4">
        <v>137.7</v>
      </c>
      <c r="AP5" s="4">
        <v>125.3</v>
      </c>
      <c r="AQ5" s="4">
        <v>143.2</v>
      </c>
      <c r="AR5" s="4">
        <v>147.7</v>
      </c>
      <c r="AS5" s="4">
        <v>138.4</v>
      </c>
      <c r="AT5" s="4">
        <v>127.6</v>
      </c>
      <c r="AU5" s="4">
        <v>142.5</v>
      </c>
      <c r="AV5" s="4">
        <v>143.9</v>
      </c>
      <c r="AW5" s="4">
        <v>138.0</v>
      </c>
      <c r="AX5" s="4">
        <v>123.7</v>
      </c>
      <c r="AY5" s="4">
        <v>139.4</v>
      </c>
      <c r="AZ5" s="4">
        <v>143.7</v>
      </c>
      <c r="BA5" s="4">
        <v>141.2</v>
      </c>
      <c r="BB5" s="4">
        <v>125.6</v>
      </c>
      <c r="BC5" s="4">
        <v>149.3</v>
      </c>
      <c r="BD5" s="4">
        <v>144.4</v>
      </c>
    </row>
    <row r="6">
      <c r="A6" s="35" t="s">
        <v>300</v>
      </c>
      <c r="B6" s="4">
        <v>138.0</v>
      </c>
      <c r="C6" s="4">
        <v>146.2</v>
      </c>
      <c r="D6" s="4">
        <v>146.4</v>
      </c>
      <c r="E6" s="4">
        <v>140.5</v>
      </c>
      <c r="F6" s="4">
        <v>137.8</v>
      </c>
      <c r="G6" s="4">
        <v>126.8</v>
      </c>
      <c r="H6" s="4">
        <v>146.4</v>
      </c>
      <c r="I6" s="4">
        <v>142.0</v>
      </c>
      <c r="J6" s="4">
        <v>137.6</v>
      </c>
      <c r="K6" s="4">
        <v>146.9</v>
      </c>
      <c r="L6" s="4">
        <v>151.0</v>
      </c>
      <c r="M6" s="4">
        <v>141.3</v>
      </c>
      <c r="N6" s="4">
        <v>137.7</v>
      </c>
      <c r="O6" s="4">
        <v>151.2</v>
      </c>
      <c r="P6" s="4">
        <v>147.0</v>
      </c>
      <c r="Q6" s="4">
        <v>142.0</v>
      </c>
      <c r="R6" s="4">
        <v>138.3</v>
      </c>
      <c r="S6" s="4">
        <v>147.0</v>
      </c>
      <c r="T6" s="4">
        <v>151.0</v>
      </c>
      <c r="U6" s="4">
        <v>141.3</v>
      </c>
      <c r="V6" s="4">
        <v>137.7</v>
      </c>
      <c r="W6" s="4">
        <v>152.5</v>
      </c>
      <c r="X6" s="4">
        <v>143.8</v>
      </c>
      <c r="Y6" s="4">
        <v>143.0</v>
      </c>
      <c r="Z6" s="4">
        <v>137.0</v>
      </c>
      <c r="AA6" s="4">
        <v>146.4</v>
      </c>
      <c r="AB6" s="4">
        <v>149.5</v>
      </c>
      <c r="AC6" s="4">
        <v>142.9</v>
      </c>
      <c r="AD6" s="4">
        <v>137.0</v>
      </c>
      <c r="AE6" s="4">
        <v>144.6</v>
      </c>
      <c r="AF6" s="4">
        <v>148.4</v>
      </c>
      <c r="AG6" s="4">
        <v>140.5</v>
      </c>
      <c r="AH6" s="4">
        <v>136.4</v>
      </c>
      <c r="AI6" s="4">
        <v>149.6</v>
      </c>
      <c r="AJ6" s="4">
        <v>144.4</v>
      </c>
      <c r="AK6" s="4">
        <v>138.6</v>
      </c>
      <c r="AL6" s="4">
        <v>134.9</v>
      </c>
      <c r="AM6" s="4">
        <v>145.3</v>
      </c>
      <c r="AN6" s="4">
        <v>150.8</v>
      </c>
      <c r="AO6" s="4">
        <v>140.0</v>
      </c>
      <c r="AP6" s="4">
        <v>135.7</v>
      </c>
      <c r="AQ6" s="4">
        <v>148.0</v>
      </c>
      <c r="AR6" s="4">
        <v>151.1</v>
      </c>
      <c r="AS6" s="4">
        <v>141.4</v>
      </c>
      <c r="AT6" s="4">
        <v>140.5</v>
      </c>
      <c r="AU6" s="4">
        <v>148.3</v>
      </c>
      <c r="AV6" s="4">
        <v>149.7</v>
      </c>
      <c r="AW6" s="4">
        <v>143.0</v>
      </c>
      <c r="AX6" s="4">
        <v>138.9</v>
      </c>
      <c r="AY6" s="4">
        <v>147.1</v>
      </c>
      <c r="AZ6" s="4">
        <v>149.8</v>
      </c>
      <c r="BA6" s="4">
        <v>145.6</v>
      </c>
      <c r="BB6" s="4">
        <v>136.8</v>
      </c>
      <c r="BC6" s="4">
        <v>154.1</v>
      </c>
      <c r="BD6" s="4">
        <v>147.7</v>
      </c>
    </row>
    <row r="7">
      <c r="A7" s="35" t="s">
        <v>301</v>
      </c>
      <c r="B7" s="4">
        <v>118.7</v>
      </c>
      <c r="C7" s="4">
        <v>124.0</v>
      </c>
      <c r="D7" s="4">
        <v>122.0</v>
      </c>
      <c r="E7" s="4">
        <v>117.7</v>
      </c>
      <c r="F7" s="4">
        <v>111.9</v>
      </c>
      <c r="G7" s="4">
        <v>103.5</v>
      </c>
      <c r="H7" s="4">
        <v>125.3</v>
      </c>
      <c r="I7" s="4">
        <v>124.8</v>
      </c>
      <c r="J7" s="4">
        <v>118.8</v>
      </c>
      <c r="K7" s="4">
        <v>127.1</v>
      </c>
      <c r="L7" s="4">
        <v>130.4</v>
      </c>
      <c r="M7" s="4">
        <v>124.4</v>
      </c>
      <c r="N7" s="4">
        <v>119.0</v>
      </c>
      <c r="O7" s="4">
        <v>131.3</v>
      </c>
      <c r="P7" s="4">
        <v>127.8</v>
      </c>
      <c r="Q7" s="4">
        <v>123.8</v>
      </c>
      <c r="R7" s="4">
        <v>119.7</v>
      </c>
      <c r="S7" s="4">
        <v>128.2</v>
      </c>
      <c r="T7" s="4">
        <v>131.9</v>
      </c>
      <c r="U7" s="4">
        <v>124.5</v>
      </c>
      <c r="V7" s="4">
        <v>118.7</v>
      </c>
      <c r="W7" s="4">
        <v>133.2</v>
      </c>
      <c r="X7" s="4">
        <v>126.4</v>
      </c>
      <c r="Y7" s="4">
        <v>126.5</v>
      </c>
      <c r="Z7" s="4">
        <v>119.4</v>
      </c>
      <c r="AA7" s="4">
        <v>128.3</v>
      </c>
      <c r="AB7" s="4">
        <v>130.7</v>
      </c>
      <c r="AC7" s="4">
        <v>126.9</v>
      </c>
      <c r="AD7" s="4">
        <v>118.5</v>
      </c>
      <c r="AE7" s="4">
        <v>128.2</v>
      </c>
      <c r="AF7" s="4">
        <v>131.7</v>
      </c>
      <c r="AG7" s="4">
        <v>126.3</v>
      </c>
      <c r="AH7" s="4">
        <v>119.2</v>
      </c>
      <c r="AI7" s="4">
        <v>133.0</v>
      </c>
      <c r="AJ7" s="4">
        <v>130.0</v>
      </c>
      <c r="AK7" s="4">
        <v>126.2</v>
      </c>
      <c r="AL7" s="4">
        <v>119.8</v>
      </c>
      <c r="AM7" s="4">
        <v>130.3</v>
      </c>
      <c r="AN7" s="4">
        <v>134.4</v>
      </c>
      <c r="AO7" s="4">
        <v>127.2</v>
      </c>
      <c r="AP7" s="4">
        <v>119.4</v>
      </c>
      <c r="AQ7" s="4">
        <v>131.2</v>
      </c>
      <c r="AR7" s="4">
        <v>134.5</v>
      </c>
      <c r="AS7" s="4">
        <v>128.1</v>
      </c>
      <c r="AT7" s="4">
        <v>123.4</v>
      </c>
      <c r="AU7" s="4">
        <v>132.2</v>
      </c>
      <c r="AV7" s="4">
        <v>133.7</v>
      </c>
      <c r="AW7" s="4">
        <v>130.2</v>
      </c>
      <c r="AX7" s="4">
        <v>122.3</v>
      </c>
      <c r="AY7" s="4">
        <v>132.1</v>
      </c>
      <c r="AZ7" s="4">
        <v>135.2</v>
      </c>
      <c r="BA7" s="4">
        <v>133.1</v>
      </c>
      <c r="BB7" s="4">
        <v>123.1</v>
      </c>
      <c r="BC7" s="4">
        <v>138.3</v>
      </c>
      <c r="BD7" s="4">
        <v>133.9</v>
      </c>
    </row>
    <row r="11">
      <c r="B11" s="4">
        <v>2021.0</v>
      </c>
      <c r="C11" s="4">
        <v>2020.0</v>
      </c>
      <c r="D11" s="11">
        <f t="shared" ref="D11:O11" si="1">C11-1</f>
        <v>2019</v>
      </c>
      <c r="E11" s="11">
        <f t="shared" si="1"/>
        <v>2018</v>
      </c>
      <c r="F11" s="11">
        <f t="shared" si="1"/>
        <v>2017</v>
      </c>
      <c r="G11" s="11">
        <f t="shared" si="1"/>
        <v>2016</v>
      </c>
      <c r="H11" s="11">
        <f t="shared" si="1"/>
        <v>2015</v>
      </c>
      <c r="I11" s="11">
        <f t="shared" si="1"/>
        <v>2014</v>
      </c>
      <c r="J11" s="11">
        <f t="shared" si="1"/>
        <v>2013</v>
      </c>
      <c r="K11" s="11">
        <f t="shared" si="1"/>
        <v>2012</v>
      </c>
      <c r="L11" s="11">
        <f t="shared" si="1"/>
        <v>2011</v>
      </c>
      <c r="M11" s="11">
        <f t="shared" si="1"/>
        <v>2010</v>
      </c>
      <c r="N11" s="11">
        <f t="shared" si="1"/>
        <v>2009</v>
      </c>
      <c r="O11" s="11">
        <f t="shared" si="1"/>
        <v>2008</v>
      </c>
    </row>
    <row r="12">
      <c r="A12" s="35" t="s">
        <v>298</v>
      </c>
      <c r="B12" s="11">
        <f t="shared" ref="B12:B15" si="2">AVERAGE(B4:D4)</f>
        <v>124.9666667</v>
      </c>
      <c r="C12" s="11">
        <f t="shared" ref="C12:C15" si="3">AVERAGE(E4:H4)</f>
        <v>118.1</v>
      </c>
      <c r="D12" s="11">
        <f t="shared" ref="D12:D15" si="4">AVERAGE(I4:L4)</f>
        <v>128.325</v>
      </c>
      <c r="E12" s="11">
        <f t="shared" ref="E12:E15" si="5">AVERAGE(M4:P4)</f>
        <v>128.725</v>
      </c>
      <c r="F12" s="11">
        <f t="shared" ref="F12:F15" si="6">AVERAGE(Q4:T4)</f>
        <v>128.925</v>
      </c>
      <c r="G12" s="11">
        <f t="shared" ref="G12:G15" si="7">AVERAGE(U4:X4)</f>
        <v>128.75</v>
      </c>
      <c r="H12" s="11">
        <f t="shared" ref="H12:H15" si="8">AVERAGE(Y4:AB4)</f>
        <v>129.125</v>
      </c>
      <c r="I12" s="11">
        <f t="shared" ref="I12:I15" si="9">AVERAGE(AC4:AF4)</f>
        <v>129.15</v>
      </c>
      <c r="J12" s="11">
        <f t="shared" ref="J12:J15" si="10">AVERAGE(AG4:AJ4)</f>
        <v>129.725</v>
      </c>
      <c r="K12" s="11">
        <f t="shared" ref="K12:K15" si="11">AVERAGE(AK4:AN4)</f>
        <v>130.2</v>
      </c>
      <c r="L12" s="11">
        <f t="shared" ref="L12:L15" si="12">AVERAGE(AO4:AR4)</f>
        <v>130.95</v>
      </c>
      <c r="M12" s="11">
        <f t="shared" ref="M12:M15" si="13">AVERAGE(AS4:AV4)</f>
        <v>132.15</v>
      </c>
      <c r="N12" s="11">
        <f t="shared" ref="N12:N15" si="14">AVERAGE(AW4:AZ4)</f>
        <v>132.525</v>
      </c>
      <c r="O12" s="11">
        <f t="shared" ref="O12:O15" si="15">AVERAGE(BA4:BD4)</f>
        <v>135.225</v>
      </c>
    </row>
    <row r="13">
      <c r="A13" s="35" t="s">
        <v>299</v>
      </c>
      <c r="B13" s="11">
        <f t="shared" si="2"/>
        <v>136.0333333</v>
      </c>
      <c r="C13" s="11">
        <f t="shared" si="3"/>
        <v>129.525</v>
      </c>
      <c r="D13" s="11">
        <f t="shared" si="4"/>
        <v>138.75</v>
      </c>
      <c r="E13" s="11">
        <f t="shared" si="5"/>
        <v>139.45</v>
      </c>
      <c r="F13" s="11">
        <f t="shared" si="6"/>
        <v>139.5</v>
      </c>
      <c r="G13" s="11">
        <f t="shared" si="7"/>
        <v>139.525</v>
      </c>
      <c r="H13" s="11">
        <f t="shared" si="8"/>
        <v>139.35</v>
      </c>
      <c r="I13" s="11">
        <f t="shared" si="9"/>
        <v>139.2</v>
      </c>
      <c r="J13" s="11">
        <f t="shared" si="10"/>
        <v>138.1</v>
      </c>
      <c r="K13" s="11">
        <f t="shared" si="11"/>
        <v>137.575</v>
      </c>
      <c r="L13" s="11">
        <f t="shared" si="12"/>
        <v>138.475</v>
      </c>
      <c r="M13" s="11">
        <f t="shared" si="13"/>
        <v>138.1</v>
      </c>
      <c r="N13" s="11">
        <f t="shared" si="14"/>
        <v>136.2</v>
      </c>
      <c r="O13" s="11">
        <f t="shared" si="15"/>
        <v>140.125</v>
      </c>
    </row>
    <row r="14">
      <c r="A14" s="35" t="s">
        <v>300</v>
      </c>
      <c r="B14" s="11">
        <f t="shared" si="2"/>
        <v>143.5333333</v>
      </c>
      <c r="C14" s="11">
        <f t="shared" si="3"/>
        <v>137.875</v>
      </c>
      <c r="D14" s="11">
        <f t="shared" si="4"/>
        <v>144.375</v>
      </c>
      <c r="E14" s="11">
        <f t="shared" si="5"/>
        <v>144.3</v>
      </c>
      <c r="F14" s="11">
        <f t="shared" si="6"/>
        <v>144.575</v>
      </c>
      <c r="G14" s="11">
        <f t="shared" si="7"/>
        <v>143.825</v>
      </c>
      <c r="H14" s="11">
        <f t="shared" si="8"/>
        <v>143.975</v>
      </c>
      <c r="I14" s="11">
        <f t="shared" si="9"/>
        <v>143.225</v>
      </c>
      <c r="J14" s="11">
        <f t="shared" si="10"/>
        <v>142.725</v>
      </c>
      <c r="K14" s="11">
        <f t="shared" si="11"/>
        <v>142.4</v>
      </c>
      <c r="L14" s="11">
        <f t="shared" si="12"/>
        <v>143.7</v>
      </c>
      <c r="M14" s="11">
        <f t="shared" si="13"/>
        <v>144.975</v>
      </c>
      <c r="N14" s="11">
        <f t="shared" si="14"/>
        <v>144.7</v>
      </c>
      <c r="O14" s="11">
        <f t="shared" si="15"/>
        <v>146.05</v>
      </c>
    </row>
    <row r="15">
      <c r="A15" s="35" t="s">
        <v>301</v>
      </c>
      <c r="B15" s="11">
        <f t="shared" si="2"/>
        <v>121.5666667</v>
      </c>
      <c r="C15" s="11">
        <f t="shared" si="3"/>
        <v>114.6</v>
      </c>
      <c r="D15" s="11">
        <f t="shared" si="4"/>
        <v>125.275</v>
      </c>
      <c r="E15" s="11">
        <f t="shared" si="5"/>
        <v>125.625</v>
      </c>
      <c r="F15" s="11">
        <f t="shared" si="6"/>
        <v>125.9</v>
      </c>
      <c r="G15" s="11">
        <f t="shared" si="7"/>
        <v>125.7</v>
      </c>
      <c r="H15" s="11">
        <f t="shared" si="8"/>
        <v>126.225</v>
      </c>
      <c r="I15" s="11">
        <f t="shared" si="9"/>
        <v>126.325</v>
      </c>
      <c r="J15" s="11">
        <f t="shared" si="10"/>
        <v>127.125</v>
      </c>
      <c r="K15" s="11">
        <f t="shared" si="11"/>
        <v>127.675</v>
      </c>
      <c r="L15" s="11">
        <f t="shared" si="12"/>
        <v>128.075</v>
      </c>
      <c r="M15" s="11">
        <f t="shared" si="13"/>
        <v>129.35</v>
      </c>
      <c r="N15" s="11">
        <f t="shared" si="14"/>
        <v>129.95</v>
      </c>
      <c r="O15" s="11">
        <f t="shared" si="15"/>
        <v>132.1</v>
      </c>
    </row>
    <row r="16">
      <c r="B16" s="11">
        <f t="shared" ref="B16:O16" si="16">AVERAGE(B12:B14)</f>
        <v>134.8444444</v>
      </c>
      <c r="C16" s="11">
        <f t="shared" si="16"/>
        <v>128.5</v>
      </c>
      <c r="D16" s="11">
        <f t="shared" si="16"/>
        <v>137.15</v>
      </c>
      <c r="E16" s="11">
        <f t="shared" si="16"/>
        <v>137.4916667</v>
      </c>
      <c r="F16" s="11">
        <f t="shared" si="16"/>
        <v>137.6666667</v>
      </c>
      <c r="G16" s="11">
        <f t="shared" si="16"/>
        <v>137.3666667</v>
      </c>
      <c r="H16" s="11">
        <f t="shared" si="16"/>
        <v>137.4833333</v>
      </c>
      <c r="I16" s="11">
        <f t="shared" si="16"/>
        <v>137.1916667</v>
      </c>
      <c r="J16" s="11">
        <f t="shared" si="16"/>
        <v>136.85</v>
      </c>
      <c r="K16" s="11">
        <f t="shared" si="16"/>
        <v>136.725</v>
      </c>
      <c r="L16" s="11">
        <f t="shared" si="16"/>
        <v>137.7083333</v>
      </c>
      <c r="M16" s="11">
        <f t="shared" si="16"/>
        <v>138.4083333</v>
      </c>
      <c r="N16" s="11">
        <f t="shared" si="16"/>
        <v>137.8083333</v>
      </c>
      <c r="O16" s="11">
        <f t="shared" si="16"/>
        <v>140.4666667</v>
      </c>
    </row>
    <row r="18">
      <c r="B18" s="11">
        <v>134.84444444444443</v>
      </c>
      <c r="C18" s="11">
        <v>128.5</v>
      </c>
      <c r="D18" s="11">
        <v>137.15</v>
      </c>
      <c r="E18" s="11">
        <v>137.49166666666665</v>
      </c>
      <c r="F18" s="11">
        <v>137.66666666666666</v>
      </c>
      <c r="G18" s="11">
        <v>137.36666666666665</v>
      </c>
      <c r="H18" s="11">
        <v>137.48333333333335</v>
      </c>
      <c r="I18" s="11">
        <v>137.1916666666667</v>
      </c>
      <c r="J18" s="11">
        <v>136.85000000000002</v>
      </c>
      <c r="K18" s="11">
        <v>136.725</v>
      </c>
      <c r="L18" s="11">
        <v>137.70833333333331</v>
      </c>
      <c r="M18" s="11">
        <v>138.40833333333333</v>
      </c>
      <c r="N18" s="11">
        <v>137.8083333333333</v>
      </c>
      <c r="O18" s="11">
        <v>140.46666666666667</v>
      </c>
    </row>
    <row r="22">
      <c r="A22" s="71" t="s">
        <v>245</v>
      </c>
    </row>
    <row r="23">
      <c r="B23" s="35" t="s">
        <v>202</v>
      </c>
    </row>
    <row r="24">
      <c r="B24" s="35" t="s">
        <v>197</v>
      </c>
    </row>
    <row r="25">
      <c r="B25" s="35">
        <v>2020.0</v>
      </c>
      <c r="C25" s="35">
        <v>2019.0</v>
      </c>
      <c r="D25" s="35">
        <v>2018.0</v>
      </c>
      <c r="E25" s="35">
        <v>2017.0</v>
      </c>
      <c r="F25" s="35">
        <v>2016.0</v>
      </c>
      <c r="G25" s="35">
        <v>2015.0</v>
      </c>
      <c r="H25" s="35">
        <v>2014.0</v>
      </c>
      <c r="I25" s="35">
        <v>2013.0</v>
      </c>
      <c r="J25" s="35">
        <v>2012.0</v>
      </c>
      <c r="K25" s="35">
        <v>2011.0</v>
      </c>
      <c r="L25" s="35">
        <v>2010.0</v>
      </c>
      <c r="M25" s="35">
        <v>2009.0</v>
      </c>
      <c r="N25" s="35">
        <v>2008.0</v>
      </c>
      <c r="O25" s="35">
        <v>2007.0</v>
      </c>
      <c r="P25" s="35">
        <v>2006.0</v>
      </c>
    </row>
    <row r="26">
      <c r="A26" s="35" t="s">
        <v>196</v>
      </c>
      <c r="B26" s="22">
        <v>19202.4</v>
      </c>
      <c r="C26" s="22">
        <v>19779.3</v>
      </c>
      <c r="D26" s="22">
        <v>19327.7</v>
      </c>
      <c r="E26" s="22">
        <v>18824.8</v>
      </c>
      <c r="F26" s="22">
        <v>18341.5</v>
      </c>
      <c r="G26" s="22">
        <v>17866.0</v>
      </c>
      <c r="H26" s="22">
        <v>17344.2</v>
      </c>
      <c r="I26" s="22">
        <v>17139.0</v>
      </c>
      <c r="J26" s="22">
        <v>17632.7</v>
      </c>
      <c r="K26" s="22">
        <v>18421.4</v>
      </c>
      <c r="L26" s="22">
        <v>18724.5</v>
      </c>
      <c r="M26" s="22">
        <v>19106.9</v>
      </c>
      <c r="N26" s="22">
        <v>20469.7</v>
      </c>
      <c r="O26" s="22">
        <v>20579.9</v>
      </c>
      <c r="P26" s="22">
        <v>19939.1</v>
      </c>
    </row>
    <row r="29">
      <c r="D29" s="4" t="s">
        <v>302</v>
      </c>
    </row>
    <row r="30">
      <c r="A30" s="4">
        <v>2021.0</v>
      </c>
      <c r="B30" s="11">
        <v>134.84444444444443</v>
      </c>
    </row>
    <row r="31">
      <c r="A31" s="11">
        <f t="shared" ref="A31:A43" si="17">A30-1</f>
        <v>2020</v>
      </c>
      <c r="B31" s="11">
        <v>128.5</v>
      </c>
      <c r="C31" s="22">
        <v>19202.4</v>
      </c>
      <c r="E31" s="10">
        <f>(Anual!B3/(C31*1000))/12</f>
        <v>11245.07352</v>
      </c>
    </row>
    <row r="32">
      <c r="A32" s="11">
        <f t="shared" si="17"/>
        <v>2019</v>
      </c>
      <c r="B32" s="11">
        <v>137.15</v>
      </c>
      <c r="C32" s="22">
        <v>19779.3</v>
      </c>
      <c r="D32" s="11">
        <f>('Hoja 25'!H8/(B33*12*C33*1000))*60</f>
        <v>8.225571749</v>
      </c>
      <c r="E32" s="10">
        <f>(Anual!B3/(C32*1000))/12</f>
        <v>10917.09008</v>
      </c>
      <c r="G32" s="11">
        <v>8.225571748831173</v>
      </c>
    </row>
    <row r="33">
      <c r="A33" s="11">
        <f t="shared" si="17"/>
        <v>2018</v>
      </c>
      <c r="B33" s="11">
        <v>137.49166666666665</v>
      </c>
      <c r="C33" s="22">
        <v>19327.7</v>
      </c>
      <c r="D33" s="11">
        <f>('Replicación (controlada)'!H8/(B34*12*C34*1000))*60</f>
        <v>8.303959222</v>
      </c>
      <c r="E33" s="10">
        <f>(Anual!B4/(C33*1000))/12</f>
        <v>3908.158455</v>
      </c>
      <c r="G33" s="11">
        <v>8.303959221970134</v>
      </c>
    </row>
    <row r="34">
      <c r="A34" s="11">
        <f t="shared" si="17"/>
        <v>2017</v>
      </c>
      <c r="B34" s="11">
        <v>137.66666666666666</v>
      </c>
      <c r="C34" s="22">
        <v>18824.8</v>
      </c>
      <c r="D34" s="11">
        <f>('Hoja 40'!H5/(B34*12*C34*1000))*60</f>
        <v>3.966100481</v>
      </c>
      <c r="E34" s="10">
        <f>(Anual!B5/(C34*1000))/12</f>
        <v>1916.682422</v>
      </c>
      <c r="G34" s="11">
        <v>3.9661004813546157</v>
      </c>
    </row>
    <row r="35">
      <c r="A35" s="11">
        <f t="shared" si="17"/>
        <v>2016</v>
      </c>
      <c r="B35" s="11">
        <v>137.36666666666665</v>
      </c>
      <c r="C35" s="22">
        <v>18341.5</v>
      </c>
      <c r="D35" s="11">
        <f>('Hoja 40'!H6/(B35*12*C35*1000))*60</f>
        <v>3.762930396</v>
      </c>
      <c r="E35" s="10">
        <f>(Anual!B6/(C35*1000))/12</f>
        <v>1762.046248</v>
      </c>
      <c r="G35" s="11">
        <v>3.762930396479164</v>
      </c>
    </row>
    <row r="36">
      <c r="A36" s="11">
        <f t="shared" si="17"/>
        <v>2015</v>
      </c>
      <c r="B36" s="11">
        <v>137.48333333333335</v>
      </c>
      <c r="C36" s="22">
        <v>17866.0</v>
      </c>
      <c r="D36" s="11">
        <f>('Hoja 40'!H7/(B36*12*C36*1000))*60</f>
        <v>3.748505089</v>
      </c>
      <c r="E36" s="10">
        <f>(Anual!B7/(C36*1000))/12</f>
        <v>1839.980438</v>
      </c>
      <c r="G36" s="11">
        <v>3.748505089348152</v>
      </c>
    </row>
    <row r="37">
      <c r="A37" s="11">
        <f t="shared" si="17"/>
        <v>2014</v>
      </c>
      <c r="B37" s="11">
        <v>137.1916666666667</v>
      </c>
      <c r="C37" s="22">
        <v>17344.2</v>
      </c>
      <c r="D37" s="11">
        <f>('Hoja 40'!H8/(B37*12*C37*1000))*60</f>
        <v>3.724349567</v>
      </c>
      <c r="E37" s="10">
        <f>(Anual!B8/(C37*1000))/12</f>
        <v>1729.261237</v>
      </c>
      <c r="G37" s="11">
        <v>3.724349567419403</v>
      </c>
    </row>
    <row r="38">
      <c r="A38" s="11">
        <f t="shared" si="17"/>
        <v>2013</v>
      </c>
      <c r="B38" s="11">
        <v>136.85000000000002</v>
      </c>
      <c r="C38" s="22">
        <v>17139.0</v>
      </c>
      <c r="D38" s="11">
        <f>('Hoja 40'!H9/(B38*12*C38*1000))*60</f>
        <v>3.615644253</v>
      </c>
      <c r="E38" s="10">
        <f>(Anual!B9/(C38*1000))/12</f>
        <v>1587.051146</v>
      </c>
      <c r="G38" s="11">
        <v>3.6156442531197817</v>
      </c>
    </row>
    <row r="39">
      <c r="A39" s="11">
        <f t="shared" si="17"/>
        <v>2012</v>
      </c>
      <c r="B39" s="11">
        <v>136.725</v>
      </c>
      <c r="C39" s="22">
        <v>17632.7</v>
      </c>
      <c r="D39" s="11">
        <f>('Hoja 40'!H10/(B39*12*C39*1000))*60</f>
        <v>3.547366233</v>
      </c>
      <c r="E39" s="10">
        <f>(Anual!B10/(C39*1000))/12</f>
        <v>1454.806576</v>
      </c>
      <c r="G39" s="11">
        <v>3.5473662331085745</v>
      </c>
    </row>
    <row r="40">
      <c r="A40" s="11">
        <f t="shared" si="17"/>
        <v>2011</v>
      </c>
      <c r="B40" s="11">
        <v>137.70833333333331</v>
      </c>
      <c r="C40" s="22">
        <v>18421.4</v>
      </c>
      <c r="D40" s="11">
        <f>('Hoja 40'!H11/(B40*12*C40*1000))*60</f>
        <v>3.512014105</v>
      </c>
      <c r="E40" s="10">
        <f>(Anual!B11/(C40*1000))/12</f>
        <v>1567.056969</v>
      </c>
      <c r="G40" s="11">
        <v>3.5120141047558526</v>
      </c>
    </row>
    <row r="41">
      <c r="A41" s="11">
        <f t="shared" si="17"/>
        <v>2010</v>
      </c>
      <c r="B41" s="11">
        <v>138.40833333333333</v>
      </c>
      <c r="C41" s="22">
        <v>18724.5</v>
      </c>
      <c r="D41" s="11">
        <f>('Hoja 40'!H12/(B41*12*C41*1000))*60</f>
        <v>3.441384819</v>
      </c>
      <c r="E41" s="10">
        <f>(Anual!B12/(C41*1000))/12</f>
        <v>1615.664384</v>
      </c>
      <c r="G41" s="11">
        <v>3.4413848189670166</v>
      </c>
    </row>
    <row r="42">
      <c r="A42" s="11">
        <f t="shared" si="17"/>
        <v>2009</v>
      </c>
      <c r="B42" s="11">
        <v>137.8083333333333</v>
      </c>
      <c r="C42" s="22">
        <v>19106.9</v>
      </c>
      <c r="D42" s="11">
        <f>('Hoja 40'!H13/(B42*12*C42*1000))*60</f>
        <v>3.336698923</v>
      </c>
      <c r="E42" s="10">
        <f>(Anual!B13/(C42*1000))/12</f>
        <v>1594.228507</v>
      </c>
      <c r="G42" s="11">
        <v>3.336698923177382</v>
      </c>
    </row>
    <row r="43">
      <c r="A43" s="11">
        <f t="shared" si="17"/>
        <v>2008</v>
      </c>
      <c r="B43" s="11">
        <v>140.46666666666667</v>
      </c>
      <c r="C43" s="22">
        <v>20469.7</v>
      </c>
      <c r="D43" s="11">
        <f>('Hoja 40'!H14/(B43*12*C43*1000))*60</f>
        <v>3.574302167</v>
      </c>
      <c r="E43" s="10">
        <f>(Anual!B14/(C43*1000))/12</f>
        <v>1667.56613</v>
      </c>
      <c r="G43" s="11">
        <v>3.57430216656089</v>
      </c>
    </row>
    <row r="45">
      <c r="E45" s="10">
        <f>AVERAGE(E32:E43)</f>
        <v>2629.966049</v>
      </c>
    </row>
  </sheetData>
  <mergeCells count="5">
    <mergeCell ref="A2:A3"/>
    <mergeCell ref="B2:BD2"/>
    <mergeCell ref="A23:A25"/>
    <mergeCell ref="B23:P23"/>
    <mergeCell ref="B24:P24"/>
  </mergeCells>
  <hyperlinks>
    <hyperlink r:id="rId1" location="tabs-grafico" ref="A1"/>
    <hyperlink r:id="rId2" location="tabs-grafico" ref="A22"/>
  </hyperlink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</cols>
  <sheetData>
    <row r="2">
      <c r="B2" s="29">
        <v>1.64344569E8</v>
      </c>
      <c r="C2" s="10">
        <f>B2*1000</f>
        <v>164344569000</v>
      </c>
      <c r="D2" s="10">
        <f>C2-Anual!B3</f>
        <v>-2426844229000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8.0"/>
    <col customWidth="1" min="3" max="3" width="20.63"/>
    <col customWidth="1" min="4" max="4" width="15.63"/>
  </cols>
  <sheetData>
    <row r="1">
      <c r="A1" s="106" t="s">
        <v>303</v>
      </c>
      <c r="B1" s="107" t="s">
        <v>304</v>
      </c>
      <c r="C1" s="107" t="s">
        <v>305</v>
      </c>
      <c r="D1" s="107" t="s">
        <v>306</v>
      </c>
      <c r="E1" s="107" t="s">
        <v>307</v>
      </c>
      <c r="F1" s="107" t="s">
        <v>308</v>
      </c>
      <c r="G1" s="4" t="s">
        <v>309</v>
      </c>
      <c r="H1" s="4" t="s">
        <v>310</v>
      </c>
      <c r="I1" s="15" t="s">
        <v>311</v>
      </c>
      <c r="J1" s="15" t="s">
        <v>312</v>
      </c>
      <c r="K1" s="4" t="s">
        <v>313</v>
      </c>
      <c r="L1" s="4" t="s">
        <v>314</v>
      </c>
      <c r="M1" s="15" t="s">
        <v>315</v>
      </c>
    </row>
    <row r="2">
      <c r="A2" s="108">
        <v>1970.0</v>
      </c>
      <c r="B2" s="108">
        <v>136.837</v>
      </c>
      <c r="C2" s="108">
        <v>50.62</v>
      </c>
      <c r="D2" s="11">
        <f t="shared" ref="D2:D52" si="1">B2+C2</f>
        <v>187.457</v>
      </c>
      <c r="E2" s="108">
        <v>551.6</v>
      </c>
      <c r="F2" s="108">
        <v>27.122</v>
      </c>
      <c r="G2" s="109">
        <v>33.66589</v>
      </c>
      <c r="H2" s="108">
        <v>71007.0</v>
      </c>
      <c r="I2" s="25">
        <f t="shared" ref="I2:I52" si="2">(G2*40*4*12*H2*1000)/1000000000</f>
        <v>4589.786594</v>
      </c>
      <c r="J2" s="25">
        <f t="shared" ref="J2:J52" si="3">I2-D2-E2-F2</f>
        <v>3823.607594</v>
      </c>
      <c r="L2" s="11">
        <f t="shared" ref="L2:L52" si="4">(J2/(D2+E2))*100</f>
        <v>517.3630172</v>
      </c>
      <c r="M2" s="11">
        <f t="shared" ref="M2:M52" si="5">100*(J2/E2)</f>
        <v>693.1848431</v>
      </c>
      <c r="N2" s="25">
        <f t="shared" ref="N2:N52" si="6">J2+F2+E2</f>
        <v>4402.329594</v>
      </c>
      <c r="O2" s="11">
        <f t="shared" ref="O2:O52" si="7">N2/I2</f>
        <v>0.9591577961</v>
      </c>
    </row>
    <row r="3">
      <c r="A3" s="108">
        <v>1971.0</v>
      </c>
      <c r="B3" s="108">
        <v>148.926</v>
      </c>
      <c r="C3" s="108">
        <v>54.116</v>
      </c>
      <c r="D3" s="11">
        <f t="shared" si="1"/>
        <v>203.042</v>
      </c>
      <c r="E3" s="108">
        <v>584.6</v>
      </c>
      <c r="F3" s="108">
        <v>30.099</v>
      </c>
      <c r="G3" s="109">
        <v>34.928394</v>
      </c>
      <c r="H3" s="108">
        <v>71331.0</v>
      </c>
      <c r="I3" s="25">
        <f t="shared" si="2"/>
        <v>4783.636363</v>
      </c>
      <c r="J3" s="25">
        <f t="shared" si="3"/>
        <v>3965.895363</v>
      </c>
      <c r="L3" s="11">
        <f t="shared" si="4"/>
        <v>503.5149678</v>
      </c>
      <c r="M3" s="11">
        <f t="shared" si="5"/>
        <v>678.3946909</v>
      </c>
      <c r="N3" s="25">
        <f t="shared" si="6"/>
        <v>4580.594363</v>
      </c>
      <c r="O3" s="11">
        <f t="shared" si="7"/>
        <v>0.9575548841</v>
      </c>
    </row>
    <row r="4">
      <c r="A4" s="108">
        <v>1972.0</v>
      </c>
      <c r="B4" s="108">
        <v>161.008</v>
      </c>
      <c r="C4" s="108">
        <v>58.918</v>
      </c>
      <c r="D4" s="11">
        <f t="shared" si="1"/>
        <v>219.926</v>
      </c>
      <c r="E4" s="108">
        <v>638.8</v>
      </c>
      <c r="F4" s="108">
        <v>33.376</v>
      </c>
      <c r="G4" s="109">
        <v>35.777923</v>
      </c>
      <c r="H4" s="108">
        <v>73788.0</v>
      </c>
      <c r="I4" s="25">
        <f t="shared" si="2"/>
        <v>5068.764254</v>
      </c>
      <c r="J4" s="25">
        <f t="shared" si="3"/>
        <v>4176.662254</v>
      </c>
      <c r="L4" s="11">
        <f t="shared" si="4"/>
        <v>486.3789211</v>
      </c>
      <c r="M4" s="11">
        <f t="shared" si="5"/>
        <v>653.8294073</v>
      </c>
      <c r="N4" s="25">
        <f t="shared" si="6"/>
        <v>4848.838254</v>
      </c>
      <c r="O4" s="11">
        <f t="shared" si="7"/>
        <v>0.9566115154</v>
      </c>
    </row>
    <row r="5">
      <c r="A5" s="108">
        <v>1973.0</v>
      </c>
      <c r="B5" s="108">
        <v>178.683</v>
      </c>
      <c r="C5" s="108">
        <v>61.115</v>
      </c>
      <c r="D5" s="11">
        <f t="shared" si="1"/>
        <v>239.798</v>
      </c>
      <c r="E5" s="108">
        <v>708.8</v>
      </c>
      <c r="F5" s="108">
        <v>38.919</v>
      </c>
      <c r="G5" s="109">
        <v>36.627119</v>
      </c>
      <c r="H5" s="108">
        <v>76902.0</v>
      </c>
      <c r="I5" s="25">
        <f t="shared" si="2"/>
        <v>5408.061514</v>
      </c>
      <c r="J5" s="25">
        <f t="shared" si="3"/>
        <v>4420.544514</v>
      </c>
      <c r="L5" s="11">
        <f t="shared" si="4"/>
        <v>466.0082052</v>
      </c>
      <c r="M5" s="11">
        <f t="shared" si="5"/>
        <v>623.6659868</v>
      </c>
      <c r="N5" s="25">
        <f t="shared" si="6"/>
        <v>5168.263514</v>
      </c>
      <c r="O5" s="11">
        <f t="shared" si="7"/>
        <v>0.9556591582</v>
      </c>
    </row>
    <row r="6">
      <c r="A6" s="108">
        <v>1974.0</v>
      </c>
      <c r="B6" s="108">
        <v>206.893</v>
      </c>
      <c r="C6" s="108">
        <v>71.748</v>
      </c>
      <c r="D6" s="11">
        <f t="shared" si="1"/>
        <v>278.641</v>
      </c>
      <c r="E6" s="108">
        <v>772.3</v>
      </c>
      <c r="F6" s="108">
        <v>39.565</v>
      </c>
      <c r="G6" s="109">
        <v>36.296677</v>
      </c>
      <c r="H6" s="108">
        <v>78383.0</v>
      </c>
      <c r="I6" s="25">
        <f t="shared" si="2"/>
        <v>5462.481472</v>
      </c>
      <c r="J6" s="25">
        <f t="shared" si="3"/>
        <v>4371.975472</v>
      </c>
      <c r="L6" s="11">
        <f t="shared" si="4"/>
        <v>416.0057959</v>
      </c>
      <c r="M6" s="11">
        <f t="shared" si="5"/>
        <v>566.09808</v>
      </c>
      <c r="N6" s="25">
        <f t="shared" si="6"/>
        <v>5183.840472</v>
      </c>
      <c r="O6" s="11">
        <f t="shared" si="7"/>
        <v>0.9489900329</v>
      </c>
    </row>
    <row r="7">
      <c r="A7" s="108">
        <v>1975.0</v>
      </c>
      <c r="B7" s="108">
        <v>238.511</v>
      </c>
      <c r="C7" s="108">
        <v>82.342</v>
      </c>
      <c r="D7" s="11">
        <f t="shared" si="1"/>
        <v>320.853</v>
      </c>
      <c r="E7" s="108">
        <v>814.8</v>
      </c>
      <c r="F7" s="108">
        <v>38.177</v>
      </c>
      <c r="G7" s="109">
        <v>37.290386</v>
      </c>
      <c r="H7" s="108">
        <v>77071.0</v>
      </c>
      <c r="I7" s="25">
        <f t="shared" si="2"/>
        <v>5518.094092</v>
      </c>
      <c r="J7" s="25">
        <f t="shared" si="3"/>
        <v>4344.264092</v>
      </c>
      <c r="L7" s="11">
        <f t="shared" si="4"/>
        <v>382.5344618</v>
      </c>
      <c r="M7" s="11">
        <f t="shared" si="5"/>
        <v>533.169378</v>
      </c>
      <c r="N7" s="25">
        <f t="shared" si="6"/>
        <v>5197.241092</v>
      </c>
      <c r="O7" s="11">
        <f t="shared" si="7"/>
        <v>0.9418543804</v>
      </c>
    </row>
    <row r="8">
      <c r="A8" s="108">
        <v>1976.0</v>
      </c>
      <c r="B8" s="108">
        <v>260.227</v>
      </c>
      <c r="C8" s="108">
        <v>86.302</v>
      </c>
      <c r="D8" s="11">
        <f t="shared" si="1"/>
        <v>346.529</v>
      </c>
      <c r="E8" s="108">
        <v>899.8</v>
      </c>
      <c r="F8" s="108">
        <v>48.707</v>
      </c>
      <c r="G8" s="109">
        <v>38.193834</v>
      </c>
      <c r="H8" s="108">
        <v>79507.0</v>
      </c>
      <c r="I8" s="25">
        <f t="shared" si="2"/>
        <v>5830.420147</v>
      </c>
      <c r="J8" s="25">
        <f t="shared" si="3"/>
        <v>4535.384147</v>
      </c>
      <c r="L8" s="11">
        <f t="shared" si="4"/>
        <v>363.8994316</v>
      </c>
      <c r="M8" s="11">
        <f t="shared" si="5"/>
        <v>504.0435816</v>
      </c>
      <c r="N8" s="25">
        <f t="shared" si="6"/>
        <v>5483.891147</v>
      </c>
      <c r="O8" s="11">
        <f t="shared" si="7"/>
        <v>0.9405653467</v>
      </c>
    </row>
    <row r="9">
      <c r="A9" s="108">
        <v>1977.0</v>
      </c>
      <c r="B9" s="108">
        <v>289.829</v>
      </c>
      <c r="C9" s="108">
        <v>96.44</v>
      </c>
      <c r="D9" s="11">
        <f t="shared" si="1"/>
        <v>386.269</v>
      </c>
      <c r="E9" s="108">
        <v>994.2</v>
      </c>
      <c r="F9" s="108">
        <v>55.678</v>
      </c>
      <c r="G9" s="109">
        <v>38.601344</v>
      </c>
      <c r="H9" s="108">
        <v>82600.0</v>
      </c>
      <c r="I9" s="25">
        <f t="shared" si="2"/>
        <v>6121.864348</v>
      </c>
      <c r="J9" s="25">
        <f t="shared" si="3"/>
        <v>4685.717348</v>
      </c>
      <c r="L9" s="11">
        <f t="shared" si="4"/>
        <v>339.4293785</v>
      </c>
      <c r="M9" s="11">
        <f t="shared" si="5"/>
        <v>471.3053055</v>
      </c>
      <c r="N9" s="25">
        <f t="shared" si="6"/>
        <v>5735.595348</v>
      </c>
      <c r="O9" s="11">
        <f t="shared" si="7"/>
        <v>0.9369033716</v>
      </c>
    </row>
    <row r="10">
      <c r="A10" s="108">
        <v>1978.0</v>
      </c>
      <c r="B10" s="108">
        <v>327.195</v>
      </c>
      <c r="C10" s="108">
        <v>105.883</v>
      </c>
      <c r="D10" s="11">
        <f t="shared" si="1"/>
        <v>433.078</v>
      </c>
      <c r="E10" s="108">
        <v>1120.6</v>
      </c>
      <c r="F10" s="108">
        <v>64.394</v>
      </c>
      <c r="G10" s="109">
        <v>38.907074</v>
      </c>
      <c r="H10" s="108">
        <v>86829.0</v>
      </c>
      <c r="I10" s="25">
        <f t="shared" si="2"/>
        <v>6486.26367</v>
      </c>
      <c r="J10" s="25">
        <f t="shared" si="3"/>
        <v>4868.19167</v>
      </c>
      <c r="L10" s="11">
        <f t="shared" si="4"/>
        <v>313.3333722</v>
      </c>
      <c r="M10" s="11">
        <f t="shared" si="5"/>
        <v>434.4272417</v>
      </c>
      <c r="N10" s="25">
        <f t="shared" si="6"/>
        <v>6053.18567</v>
      </c>
      <c r="O10" s="11">
        <f t="shared" si="7"/>
        <v>0.9332315148</v>
      </c>
    </row>
    <row r="11">
      <c r="A11" s="108">
        <v>1979.0</v>
      </c>
      <c r="B11" s="108">
        <v>373.88</v>
      </c>
      <c r="C11" s="108">
        <v>119.737</v>
      </c>
      <c r="D11" s="11">
        <f t="shared" si="1"/>
        <v>493.617</v>
      </c>
      <c r="E11" s="108">
        <v>1253.3</v>
      </c>
      <c r="F11" s="108">
        <v>65.149</v>
      </c>
      <c r="G11" s="109">
        <v>39.081326</v>
      </c>
      <c r="H11" s="108">
        <v>89936.0</v>
      </c>
      <c r="I11" s="25">
        <f t="shared" si="2"/>
        <v>6748.450819</v>
      </c>
      <c r="J11" s="25">
        <f t="shared" si="3"/>
        <v>4936.384819</v>
      </c>
      <c r="L11" s="11">
        <f t="shared" si="4"/>
        <v>282.5769524</v>
      </c>
      <c r="M11" s="11">
        <f t="shared" si="5"/>
        <v>393.8709662</v>
      </c>
      <c r="N11" s="25">
        <f t="shared" si="6"/>
        <v>6254.833819</v>
      </c>
      <c r="O11" s="11">
        <f t="shared" si="7"/>
        <v>0.9268547681</v>
      </c>
    </row>
    <row r="12">
      <c r="A12" s="108">
        <v>1980.0</v>
      </c>
      <c r="B12" s="108">
        <v>428.43</v>
      </c>
      <c r="C12" s="108">
        <v>139.972</v>
      </c>
      <c r="D12" s="11">
        <f t="shared" si="1"/>
        <v>568.402</v>
      </c>
      <c r="E12" s="108">
        <v>1373.4</v>
      </c>
      <c r="F12" s="108">
        <v>58.613</v>
      </c>
      <c r="G12" s="109">
        <v>39.089232</v>
      </c>
      <c r="H12" s="108">
        <v>90532.0</v>
      </c>
      <c r="I12" s="25">
        <f t="shared" si="2"/>
        <v>6794.546595</v>
      </c>
      <c r="J12" s="25">
        <f t="shared" si="3"/>
        <v>4794.131595</v>
      </c>
      <c r="L12" s="11">
        <f t="shared" si="4"/>
        <v>246.8908568</v>
      </c>
      <c r="M12" s="11">
        <f t="shared" si="5"/>
        <v>349.0703069</v>
      </c>
      <c r="N12" s="25">
        <f t="shared" si="6"/>
        <v>6226.144595</v>
      </c>
      <c r="O12" s="11">
        <f t="shared" si="7"/>
        <v>0.9163443812</v>
      </c>
    </row>
    <row r="13">
      <c r="A13" s="108">
        <v>1981.0</v>
      </c>
      <c r="B13" s="108">
        <v>487.229</v>
      </c>
      <c r="C13" s="108">
        <v>160.801</v>
      </c>
      <c r="D13" s="11">
        <f t="shared" si="1"/>
        <v>648.03</v>
      </c>
      <c r="E13" s="108">
        <v>1511.4</v>
      </c>
      <c r="F13" s="108">
        <v>51.677</v>
      </c>
      <c r="G13" s="109">
        <v>39.996005</v>
      </c>
      <c r="H13" s="108">
        <v>91292.0</v>
      </c>
      <c r="I13" s="25">
        <f t="shared" si="2"/>
        <v>7010.525354</v>
      </c>
      <c r="J13" s="25">
        <f t="shared" si="3"/>
        <v>4799.418354</v>
      </c>
      <c r="L13" s="11">
        <f t="shared" si="4"/>
        <v>222.2539445</v>
      </c>
      <c r="M13" s="11">
        <f t="shared" si="5"/>
        <v>317.5478599</v>
      </c>
      <c r="N13" s="25">
        <f t="shared" si="6"/>
        <v>6362.495354</v>
      </c>
      <c r="O13" s="11">
        <f t="shared" si="7"/>
        <v>0.9075632756</v>
      </c>
    </row>
    <row r="14">
      <c r="A14" s="108">
        <v>1982.0</v>
      </c>
      <c r="B14" s="108">
        <v>536.963</v>
      </c>
      <c r="C14" s="108">
        <v>177.654</v>
      </c>
      <c r="D14" s="11">
        <f t="shared" si="1"/>
        <v>714.617</v>
      </c>
      <c r="E14" s="108">
        <v>1587.5</v>
      </c>
      <c r="F14" s="108">
        <v>33.842</v>
      </c>
      <c r="G14" s="109">
        <v>39.867512</v>
      </c>
      <c r="H14" s="108">
        <v>89685.0</v>
      </c>
      <c r="I14" s="25">
        <f t="shared" si="2"/>
        <v>6864.994202</v>
      </c>
      <c r="J14" s="25">
        <f t="shared" si="3"/>
        <v>4529.035202</v>
      </c>
      <c r="L14" s="11">
        <f t="shared" si="4"/>
        <v>196.7334937</v>
      </c>
      <c r="M14" s="11">
        <f t="shared" si="5"/>
        <v>285.2935561</v>
      </c>
      <c r="N14" s="25">
        <f t="shared" si="6"/>
        <v>6150.377202</v>
      </c>
      <c r="O14" s="11">
        <f t="shared" si="7"/>
        <v>0.8959042092</v>
      </c>
    </row>
    <row r="15">
      <c r="A15" s="108">
        <v>1983.0</v>
      </c>
      <c r="B15" s="108">
        <v>562.622</v>
      </c>
      <c r="C15" s="108">
        <v>197.797</v>
      </c>
      <c r="D15" s="11">
        <f t="shared" si="1"/>
        <v>760.419</v>
      </c>
      <c r="E15" s="108">
        <v>1677.5</v>
      </c>
      <c r="F15" s="108">
        <v>47.116</v>
      </c>
      <c r="G15" s="109">
        <v>40.958432</v>
      </c>
      <c r="H15" s="108">
        <v>90289.0</v>
      </c>
      <c r="I15" s="25">
        <f t="shared" si="2"/>
        <v>7100.344064</v>
      </c>
      <c r="J15" s="25">
        <f t="shared" si="3"/>
        <v>4615.309064</v>
      </c>
      <c r="L15" s="11">
        <f t="shared" si="4"/>
        <v>189.3134704</v>
      </c>
      <c r="M15" s="11">
        <f t="shared" si="5"/>
        <v>275.1301976</v>
      </c>
      <c r="N15" s="25">
        <f t="shared" si="6"/>
        <v>6339.925064</v>
      </c>
      <c r="O15" s="11">
        <f t="shared" si="7"/>
        <v>0.8929039222</v>
      </c>
    </row>
    <row r="16">
      <c r="A16" s="108">
        <v>1984.0</v>
      </c>
      <c r="B16" s="108">
        <v>598.396</v>
      </c>
      <c r="C16" s="108">
        <v>206.628</v>
      </c>
      <c r="D16" s="11">
        <f t="shared" si="1"/>
        <v>805.024</v>
      </c>
      <c r="E16" s="108">
        <v>1844.9</v>
      </c>
      <c r="F16" s="108">
        <v>59.184</v>
      </c>
      <c r="G16" s="109">
        <v>41.8123</v>
      </c>
      <c r="H16" s="108">
        <v>94543.0</v>
      </c>
      <c r="I16" s="25">
        <f t="shared" si="2"/>
        <v>7589.875735</v>
      </c>
      <c r="J16" s="25">
        <f t="shared" si="3"/>
        <v>4880.767735</v>
      </c>
      <c r="L16" s="11">
        <f t="shared" si="4"/>
        <v>184.1851968</v>
      </c>
      <c r="M16" s="11">
        <f t="shared" si="5"/>
        <v>264.5545957</v>
      </c>
      <c r="N16" s="25">
        <f t="shared" si="6"/>
        <v>6784.851735</v>
      </c>
      <c r="O16" s="11">
        <f t="shared" si="7"/>
        <v>0.8939344954</v>
      </c>
    </row>
    <row r="17">
      <c r="A17" s="108">
        <v>1985.0</v>
      </c>
      <c r="B17" s="108">
        <v>640.138</v>
      </c>
      <c r="C17" s="108">
        <v>230.458</v>
      </c>
      <c r="D17" s="11">
        <f t="shared" si="1"/>
        <v>870.596</v>
      </c>
      <c r="E17" s="108">
        <v>1982.5</v>
      </c>
      <c r="F17" s="108">
        <v>58.469</v>
      </c>
      <c r="G17" s="109">
        <v>42.581209</v>
      </c>
      <c r="H17" s="108">
        <v>97529.0</v>
      </c>
      <c r="I17" s="25">
        <f t="shared" si="2"/>
        <v>7973.573247</v>
      </c>
      <c r="J17" s="25">
        <f t="shared" si="3"/>
        <v>5062.008247</v>
      </c>
      <c r="L17" s="11">
        <f t="shared" si="4"/>
        <v>177.4215886</v>
      </c>
      <c r="M17" s="11">
        <f t="shared" si="5"/>
        <v>255.33459</v>
      </c>
      <c r="N17" s="25">
        <f t="shared" si="6"/>
        <v>7102.977247</v>
      </c>
      <c r="O17" s="11">
        <f t="shared" si="7"/>
        <v>0.8908148238</v>
      </c>
    </row>
    <row r="18">
      <c r="A18" s="108">
        <v>1986.0</v>
      </c>
      <c r="B18" s="108">
        <v>685.295</v>
      </c>
      <c r="C18" s="108">
        <v>250.4</v>
      </c>
      <c r="D18" s="11">
        <f t="shared" si="1"/>
        <v>935.695</v>
      </c>
      <c r="E18" s="108">
        <v>2102.3</v>
      </c>
      <c r="F18" s="108">
        <v>66.022</v>
      </c>
      <c r="G18" s="109">
        <v>43.54441</v>
      </c>
      <c r="H18" s="108">
        <v>99498.0</v>
      </c>
      <c r="I18" s="25">
        <f t="shared" si="2"/>
        <v>8318.556876</v>
      </c>
      <c r="J18" s="25">
        <f t="shared" si="3"/>
        <v>5214.539876</v>
      </c>
      <c r="L18" s="11">
        <f t="shared" si="4"/>
        <v>171.644123</v>
      </c>
      <c r="M18" s="11">
        <f t="shared" si="5"/>
        <v>248.0397601</v>
      </c>
      <c r="N18" s="25">
        <f t="shared" si="6"/>
        <v>7382.861876</v>
      </c>
      <c r="O18" s="11">
        <f t="shared" si="7"/>
        <v>0.8875171482</v>
      </c>
    </row>
    <row r="19">
      <c r="A19" s="108">
        <v>1987.0</v>
      </c>
      <c r="B19" s="108">
        <v>730.383</v>
      </c>
      <c r="C19" s="108">
        <v>260.278</v>
      </c>
      <c r="D19" s="11">
        <f t="shared" si="1"/>
        <v>990.661</v>
      </c>
      <c r="E19" s="108">
        <v>2256.3</v>
      </c>
      <c r="F19" s="108">
        <v>85.449</v>
      </c>
      <c r="G19" s="109">
        <v>43.860988</v>
      </c>
      <c r="H19" s="108">
        <v>102114.0</v>
      </c>
      <c r="I19" s="25">
        <f t="shared" si="2"/>
        <v>8599.336183</v>
      </c>
      <c r="J19" s="25">
        <f t="shared" si="3"/>
        <v>5266.926183</v>
      </c>
      <c r="L19" s="11">
        <f t="shared" si="4"/>
        <v>162.2109469</v>
      </c>
      <c r="M19" s="11">
        <f t="shared" si="5"/>
        <v>233.4319985</v>
      </c>
      <c r="N19" s="25">
        <f t="shared" si="6"/>
        <v>7608.675183</v>
      </c>
      <c r="O19" s="11">
        <f t="shared" si="7"/>
        <v>0.8847979682</v>
      </c>
    </row>
    <row r="20">
      <c r="A20" s="108">
        <v>1988.0</v>
      </c>
      <c r="B20" s="108">
        <v>784.497</v>
      </c>
      <c r="C20" s="108">
        <v>267.157</v>
      </c>
      <c r="D20" s="11">
        <f t="shared" si="1"/>
        <v>1051.654</v>
      </c>
      <c r="E20" s="108">
        <v>2439.8</v>
      </c>
      <c r="F20" s="108">
        <v>93.762</v>
      </c>
      <c r="G20" s="109">
        <v>44.36805</v>
      </c>
      <c r="H20" s="108">
        <v>105375.0</v>
      </c>
      <c r="I20" s="25">
        <f t="shared" si="2"/>
        <v>8976.543876</v>
      </c>
      <c r="J20" s="25">
        <f t="shared" si="3"/>
        <v>5391.327876</v>
      </c>
      <c r="L20" s="11">
        <f t="shared" si="4"/>
        <v>154.4149766</v>
      </c>
      <c r="M20" s="11">
        <f t="shared" si="5"/>
        <v>220.9741731</v>
      </c>
      <c r="N20" s="25">
        <f t="shared" si="6"/>
        <v>7924.889876</v>
      </c>
      <c r="O20" s="11">
        <f t="shared" si="7"/>
        <v>0.8828442199</v>
      </c>
    </row>
    <row r="21">
      <c r="A21" s="108">
        <v>1989.0</v>
      </c>
      <c r="B21" s="108">
        <v>838.258</v>
      </c>
      <c r="C21" s="108">
        <v>289.713</v>
      </c>
      <c r="D21" s="11">
        <f t="shared" si="1"/>
        <v>1127.971</v>
      </c>
      <c r="E21" s="108">
        <v>2583.0</v>
      </c>
      <c r="F21" s="108">
        <v>95.568</v>
      </c>
      <c r="G21" s="109">
        <v>44.758944</v>
      </c>
      <c r="H21" s="108">
        <v>108047.0</v>
      </c>
      <c r="I21" s="25">
        <f t="shared" si="2"/>
        <v>9285.253675</v>
      </c>
      <c r="J21" s="25">
        <f t="shared" si="3"/>
        <v>5478.714675</v>
      </c>
      <c r="L21" s="11">
        <f t="shared" si="4"/>
        <v>147.6356101</v>
      </c>
      <c r="M21" s="11">
        <f t="shared" si="5"/>
        <v>212.1066463</v>
      </c>
      <c r="N21" s="25">
        <f t="shared" si="6"/>
        <v>8157.282675</v>
      </c>
      <c r="O21" s="11">
        <f t="shared" si="7"/>
        <v>0.8785201741</v>
      </c>
    </row>
    <row r="22">
      <c r="A22" s="108">
        <v>1990.0</v>
      </c>
      <c r="B22" s="108">
        <v>888.533</v>
      </c>
      <c r="C22" s="108">
        <v>313.573</v>
      </c>
      <c r="D22" s="11">
        <f t="shared" si="1"/>
        <v>1202.106</v>
      </c>
      <c r="E22" s="108">
        <v>2741.2</v>
      </c>
      <c r="F22" s="108">
        <v>94.512</v>
      </c>
      <c r="G22" s="109">
        <v>45.525382</v>
      </c>
      <c r="H22" s="108">
        <v>109530.0</v>
      </c>
      <c r="I22" s="25">
        <f t="shared" si="2"/>
        <v>9573.878574</v>
      </c>
      <c r="J22" s="25">
        <f t="shared" si="3"/>
        <v>5536.060574</v>
      </c>
      <c r="L22" s="11">
        <f t="shared" si="4"/>
        <v>140.3913512</v>
      </c>
      <c r="M22" s="11">
        <f t="shared" si="5"/>
        <v>201.9575578</v>
      </c>
      <c r="N22" s="25">
        <f t="shared" si="6"/>
        <v>8371.772574</v>
      </c>
      <c r="O22" s="11">
        <f t="shared" si="7"/>
        <v>0.8744389757</v>
      </c>
    </row>
    <row r="23">
      <c r="A23" s="108">
        <v>1991.0</v>
      </c>
      <c r="B23" s="108">
        <v>932.393</v>
      </c>
      <c r="C23" s="108">
        <v>334.132</v>
      </c>
      <c r="D23" s="11">
        <f t="shared" si="1"/>
        <v>1266.525</v>
      </c>
      <c r="E23" s="108">
        <v>2814.5</v>
      </c>
      <c r="F23" s="108">
        <v>89.159</v>
      </c>
      <c r="G23" s="109">
        <v>46.121816</v>
      </c>
      <c r="H23" s="108">
        <v>108436.0</v>
      </c>
      <c r="I23" s="25">
        <f t="shared" si="2"/>
        <v>9602.42926</v>
      </c>
      <c r="J23" s="25">
        <f t="shared" si="3"/>
        <v>5432.24526</v>
      </c>
      <c r="L23" s="11">
        <f t="shared" si="4"/>
        <v>133.1098256</v>
      </c>
      <c r="M23" s="11">
        <f t="shared" si="5"/>
        <v>193.0092471</v>
      </c>
      <c r="N23" s="25">
        <f t="shared" si="6"/>
        <v>8335.90426</v>
      </c>
      <c r="O23" s="11">
        <f t="shared" si="7"/>
        <v>0.8681036886</v>
      </c>
    </row>
    <row r="24">
      <c r="A24" s="108">
        <v>1992.0</v>
      </c>
      <c r="B24" s="108">
        <v>960.245</v>
      </c>
      <c r="C24" s="108">
        <v>348.37</v>
      </c>
      <c r="D24" s="11">
        <f t="shared" si="1"/>
        <v>1308.615</v>
      </c>
      <c r="E24" s="108">
        <v>2965.6</v>
      </c>
      <c r="F24" s="108">
        <v>101.994</v>
      </c>
      <c r="G24" s="109">
        <v>47.706207</v>
      </c>
      <c r="H24" s="108">
        <v>108793.0</v>
      </c>
      <c r="I24" s="25">
        <f t="shared" si="2"/>
        <v>9964.994646</v>
      </c>
      <c r="J24" s="25">
        <f t="shared" si="3"/>
        <v>5588.785646</v>
      </c>
      <c r="L24" s="11">
        <f t="shared" si="4"/>
        <v>130.7558381</v>
      </c>
      <c r="M24" s="11">
        <f t="shared" si="5"/>
        <v>188.4537917</v>
      </c>
      <c r="N24" s="25">
        <f t="shared" si="6"/>
        <v>8656.379646</v>
      </c>
      <c r="O24" s="11">
        <f t="shared" si="7"/>
        <v>0.8686788055</v>
      </c>
    </row>
    <row r="25">
      <c r="A25" s="108">
        <v>1993.0</v>
      </c>
      <c r="B25" s="108">
        <v>1003.5</v>
      </c>
      <c r="C25" s="108">
        <v>359.104</v>
      </c>
      <c r="D25" s="11">
        <f t="shared" si="1"/>
        <v>1362.604</v>
      </c>
      <c r="E25" s="108">
        <v>3079.3</v>
      </c>
      <c r="F25" s="108">
        <v>122.482</v>
      </c>
      <c r="G25" s="109">
        <v>47.888337</v>
      </c>
      <c r="H25" s="108">
        <v>110932.0</v>
      </c>
      <c r="I25" s="25">
        <f t="shared" si="2"/>
        <v>10199.71008</v>
      </c>
      <c r="J25" s="25">
        <f t="shared" si="3"/>
        <v>5635.32408</v>
      </c>
      <c r="L25" s="11">
        <f t="shared" si="4"/>
        <v>126.8673092</v>
      </c>
      <c r="M25" s="11">
        <f t="shared" si="5"/>
        <v>183.00666</v>
      </c>
      <c r="N25" s="25">
        <f t="shared" si="6"/>
        <v>8837.10608</v>
      </c>
      <c r="O25" s="11">
        <f t="shared" si="7"/>
        <v>0.8664075754</v>
      </c>
    </row>
    <row r="26">
      <c r="A26" s="108">
        <v>1994.0</v>
      </c>
      <c r="B26" s="108">
        <v>1055.608</v>
      </c>
      <c r="C26" s="108">
        <v>377.57</v>
      </c>
      <c r="D26" s="11">
        <f t="shared" si="1"/>
        <v>1433.178</v>
      </c>
      <c r="E26" s="108">
        <v>3236.6</v>
      </c>
      <c r="F26" s="108">
        <v>136.253</v>
      </c>
      <c r="G26" s="109">
        <v>48.294025</v>
      </c>
      <c r="H26" s="108">
        <v>114384.0</v>
      </c>
      <c r="I26" s="25">
        <f t="shared" si="2"/>
        <v>10606.20241</v>
      </c>
      <c r="J26" s="25">
        <f t="shared" si="3"/>
        <v>5800.171411</v>
      </c>
      <c r="L26" s="11">
        <f t="shared" si="4"/>
        <v>124.2065771</v>
      </c>
      <c r="M26" s="11">
        <f t="shared" si="5"/>
        <v>179.2056915</v>
      </c>
      <c r="N26" s="25">
        <f t="shared" si="6"/>
        <v>9173.024411</v>
      </c>
      <c r="O26" s="11">
        <f t="shared" si="7"/>
        <v>0.8648735952</v>
      </c>
    </row>
    <row r="27">
      <c r="A27" s="108">
        <v>1995.0</v>
      </c>
      <c r="B27" s="108">
        <v>1122.381</v>
      </c>
      <c r="C27" s="108">
        <v>393.792</v>
      </c>
      <c r="D27" s="11">
        <f t="shared" si="1"/>
        <v>1516.173</v>
      </c>
      <c r="E27" s="108">
        <v>3418.0</v>
      </c>
      <c r="F27" s="108">
        <v>155.931</v>
      </c>
      <c r="G27" s="109">
        <v>48.400317</v>
      </c>
      <c r="H27" s="108">
        <v>117410.0</v>
      </c>
      <c r="I27" s="25">
        <f t="shared" si="2"/>
        <v>10910.74794</v>
      </c>
      <c r="J27" s="25">
        <f t="shared" si="3"/>
        <v>5820.64394</v>
      </c>
      <c r="L27" s="11">
        <f t="shared" si="4"/>
        <v>117.9659477</v>
      </c>
      <c r="M27" s="11">
        <f t="shared" si="5"/>
        <v>170.2938543</v>
      </c>
      <c r="N27" s="25">
        <f t="shared" si="6"/>
        <v>9394.57494</v>
      </c>
      <c r="O27" s="11">
        <f t="shared" si="7"/>
        <v>0.8610385825</v>
      </c>
    </row>
    <row r="28">
      <c r="A28" s="108">
        <v>1996.0</v>
      </c>
      <c r="B28" s="108">
        <v>1175.307</v>
      </c>
      <c r="C28" s="108">
        <v>410.986</v>
      </c>
      <c r="D28" s="11">
        <f t="shared" si="1"/>
        <v>1586.293</v>
      </c>
      <c r="E28" s="108">
        <v>3616.5</v>
      </c>
      <c r="F28" s="108">
        <v>170.539</v>
      </c>
      <c r="G28" s="109">
        <v>49.603549</v>
      </c>
      <c r="H28" s="108">
        <v>119821.0</v>
      </c>
      <c r="I28" s="25">
        <f t="shared" si="2"/>
        <v>11411.60994</v>
      </c>
      <c r="J28" s="25">
        <f t="shared" si="3"/>
        <v>6038.277942</v>
      </c>
      <c r="L28" s="11">
        <f t="shared" si="4"/>
        <v>116.0583929</v>
      </c>
      <c r="M28" s="11">
        <f t="shared" si="5"/>
        <v>166.964688</v>
      </c>
      <c r="N28" s="25">
        <f t="shared" si="6"/>
        <v>9825.316942</v>
      </c>
      <c r="O28" s="11">
        <f t="shared" si="7"/>
        <v>0.8609930581</v>
      </c>
    </row>
    <row r="29">
      <c r="A29" s="108">
        <v>1997.0</v>
      </c>
      <c r="B29" s="108">
        <v>1239.326</v>
      </c>
      <c r="C29" s="108">
        <v>435.781</v>
      </c>
      <c r="D29" s="11">
        <f t="shared" si="1"/>
        <v>1675.107</v>
      </c>
      <c r="E29" s="108">
        <v>3876.8</v>
      </c>
      <c r="F29" s="108">
        <v>182.336</v>
      </c>
      <c r="G29" s="109">
        <v>50.322583</v>
      </c>
      <c r="H29" s="108">
        <v>122931.0</v>
      </c>
      <c r="I29" s="25">
        <f t="shared" si="2"/>
        <v>11877.51447</v>
      </c>
      <c r="J29" s="25">
        <f t="shared" si="3"/>
        <v>6143.271465</v>
      </c>
      <c r="L29" s="11">
        <f t="shared" si="4"/>
        <v>110.6515557</v>
      </c>
      <c r="M29" s="11">
        <f t="shared" si="5"/>
        <v>158.4624295</v>
      </c>
      <c r="N29" s="25">
        <f t="shared" si="6"/>
        <v>10202.40747</v>
      </c>
      <c r="O29" s="11">
        <f t="shared" si="7"/>
        <v>0.8589682206</v>
      </c>
    </row>
    <row r="30">
      <c r="A30" s="108">
        <v>1998.0</v>
      </c>
      <c r="B30" s="108">
        <v>1309.737</v>
      </c>
      <c r="C30" s="108">
        <v>454.372</v>
      </c>
      <c r="D30" s="11">
        <f t="shared" si="1"/>
        <v>1764.109</v>
      </c>
      <c r="E30" s="108">
        <v>4181.6</v>
      </c>
      <c r="F30" s="108">
        <v>177.681</v>
      </c>
      <c r="G30" s="109">
        <v>51.454705</v>
      </c>
      <c r="H30" s="108">
        <v>126136.0</v>
      </c>
      <c r="I30" s="25">
        <f t="shared" si="2"/>
        <v>12461.35809</v>
      </c>
      <c r="J30" s="25">
        <f t="shared" si="3"/>
        <v>6337.968086</v>
      </c>
      <c r="L30" s="11">
        <f t="shared" si="4"/>
        <v>106.5973475</v>
      </c>
      <c r="M30" s="11">
        <f t="shared" si="5"/>
        <v>151.5680143</v>
      </c>
      <c r="N30" s="25">
        <f t="shared" si="6"/>
        <v>10697.24909</v>
      </c>
      <c r="O30" s="11">
        <f t="shared" si="7"/>
        <v>0.8584336484</v>
      </c>
    </row>
    <row r="31">
      <c r="A31" s="108">
        <v>1999.0</v>
      </c>
      <c r="B31" s="108">
        <v>1398.937</v>
      </c>
      <c r="C31" s="108">
        <v>494.396</v>
      </c>
      <c r="D31" s="11">
        <f t="shared" si="1"/>
        <v>1893.333</v>
      </c>
      <c r="E31" s="108">
        <v>4458.0</v>
      </c>
      <c r="F31" s="108">
        <v>187.557</v>
      </c>
      <c r="G31" s="109">
        <v>52.953791</v>
      </c>
      <c r="H31" s="108">
        <v>129226.0</v>
      </c>
      <c r="I31" s="25">
        <f t="shared" si="2"/>
        <v>13138.57266</v>
      </c>
      <c r="J31" s="25">
        <f t="shared" si="3"/>
        <v>6599.682664</v>
      </c>
      <c r="L31" s="11">
        <f t="shared" si="4"/>
        <v>103.9101975</v>
      </c>
      <c r="M31" s="11">
        <f t="shared" si="5"/>
        <v>148.0413339</v>
      </c>
      <c r="N31" s="25">
        <f t="shared" si="6"/>
        <v>11245.23966</v>
      </c>
      <c r="O31" s="11">
        <f t="shared" si="7"/>
        <v>0.8558950772</v>
      </c>
    </row>
    <row r="32">
      <c r="A32" s="108">
        <v>2000.0</v>
      </c>
      <c r="B32" s="108">
        <v>1511.228</v>
      </c>
      <c r="C32" s="108">
        <v>536.319</v>
      </c>
      <c r="D32" s="11">
        <f t="shared" si="1"/>
        <v>2047.547</v>
      </c>
      <c r="E32" s="108">
        <v>4825.9</v>
      </c>
      <c r="F32" s="108">
        <v>194.096</v>
      </c>
      <c r="G32" s="109">
        <v>54.434425</v>
      </c>
      <c r="H32" s="108">
        <v>132018.0</v>
      </c>
      <c r="I32" s="25">
        <f t="shared" si="2"/>
        <v>13797.74193</v>
      </c>
      <c r="J32" s="25">
        <f t="shared" si="3"/>
        <v>6730.198926</v>
      </c>
      <c r="L32" s="11">
        <f t="shared" si="4"/>
        <v>97.91592087</v>
      </c>
      <c r="M32" s="11">
        <f t="shared" si="5"/>
        <v>139.4599748</v>
      </c>
      <c r="N32" s="25">
        <f t="shared" si="6"/>
        <v>11750.19493</v>
      </c>
      <c r="O32" s="11">
        <f t="shared" si="7"/>
        <v>0.851602747</v>
      </c>
    </row>
    <row r="33">
      <c r="A33" s="108">
        <v>2001.0</v>
      </c>
      <c r="B33" s="108">
        <v>1599.509</v>
      </c>
      <c r="C33" s="108">
        <v>590.762</v>
      </c>
      <c r="D33" s="11">
        <f t="shared" si="1"/>
        <v>2190.271</v>
      </c>
      <c r="E33" s="108">
        <v>4954.4</v>
      </c>
      <c r="F33" s="108">
        <v>137.581</v>
      </c>
      <c r="G33" s="109">
        <v>55.652851</v>
      </c>
      <c r="H33" s="108">
        <v>132080.0</v>
      </c>
      <c r="I33" s="25">
        <f t="shared" si="2"/>
        <v>14113.20684</v>
      </c>
      <c r="J33" s="25">
        <f t="shared" si="3"/>
        <v>6830.954835</v>
      </c>
      <c r="L33" s="11">
        <f t="shared" si="4"/>
        <v>95.60908872</v>
      </c>
      <c r="M33" s="11">
        <f t="shared" si="5"/>
        <v>137.8765307</v>
      </c>
      <c r="N33" s="25">
        <f t="shared" si="6"/>
        <v>11922.93584</v>
      </c>
      <c r="O33" s="11">
        <f t="shared" si="7"/>
        <v>0.8448069935</v>
      </c>
    </row>
    <row r="34">
      <c r="A34" s="108">
        <v>2002.0</v>
      </c>
      <c r="B34" s="108">
        <v>1657.974</v>
      </c>
      <c r="C34" s="108">
        <v>638.673</v>
      </c>
      <c r="D34" s="11">
        <f t="shared" si="1"/>
        <v>2296.647</v>
      </c>
      <c r="E34" s="108">
        <v>4996.3</v>
      </c>
      <c r="F34" s="108">
        <v>125.963</v>
      </c>
      <c r="G34" s="109">
        <v>57.218158</v>
      </c>
      <c r="H34" s="108">
        <v>130637.0</v>
      </c>
      <c r="I34" s="25">
        <f t="shared" si="2"/>
        <v>14351.63233</v>
      </c>
      <c r="J34" s="25">
        <f t="shared" si="3"/>
        <v>6932.722333</v>
      </c>
      <c r="L34" s="11">
        <f t="shared" si="4"/>
        <v>95.06064329</v>
      </c>
      <c r="M34" s="11">
        <f t="shared" si="5"/>
        <v>138.7571269</v>
      </c>
      <c r="N34" s="25">
        <f t="shared" si="6"/>
        <v>12054.98533</v>
      </c>
      <c r="O34" s="11">
        <f t="shared" si="7"/>
        <v>0.8399731162</v>
      </c>
    </row>
    <row r="35">
      <c r="A35" s="108">
        <v>2003.0</v>
      </c>
      <c r="B35" s="108">
        <v>1719.081</v>
      </c>
      <c r="C35" s="108">
        <v>680.937</v>
      </c>
      <c r="D35" s="11">
        <f t="shared" si="1"/>
        <v>2400.018</v>
      </c>
      <c r="E35" s="108">
        <v>5138.7</v>
      </c>
      <c r="F35" s="108">
        <v>175.783</v>
      </c>
      <c r="G35" s="109">
        <v>58.985586</v>
      </c>
      <c r="H35" s="108">
        <v>130328.0</v>
      </c>
      <c r="I35" s="25">
        <f t="shared" si="2"/>
        <v>14759.94903</v>
      </c>
      <c r="J35" s="25">
        <f t="shared" si="3"/>
        <v>7045.448028</v>
      </c>
      <c r="L35" s="11">
        <f t="shared" si="4"/>
        <v>93.45684542</v>
      </c>
      <c r="M35" s="11">
        <f t="shared" si="5"/>
        <v>137.1056498</v>
      </c>
      <c r="N35" s="25">
        <f t="shared" si="6"/>
        <v>12359.93103</v>
      </c>
      <c r="O35" s="11">
        <f t="shared" si="7"/>
        <v>0.8373965929</v>
      </c>
    </row>
    <row r="36">
      <c r="A36" s="108">
        <v>2004.0</v>
      </c>
      <c r="B36" s="108">
        <v>1821.825</v>
      </c>
      <c r="C36" s="108">
        <v>730.959</v>
      </c>
      <c r="D36" s="11">
        <f t="shared" si="1"/>
        <v>2552.784</v>
      </c>
      <c r="E36" s="108">
        <v>5421.6</v>
      </c>
      <c r="F36" s="108">
        <v>232.204</v>
      </c>
      <c r="G36" s="109">
        <v>60.497742</v>
      </c>
      <c r="H36" s="108">
        <v>131757.0</v>
      </c>
      <c r="I36" s="25">
        <f t="shared" si="2"/>
        <v>15304.32191</v>
      </c>
      <c r="J36" s="25">
        <f t="shared" si="3"/>
        <v>7097.733906</v>
      </c>
      <c r="L36" s="11">
        <f t="shared" si="4"/>
        <v>89.00667319</v>
      </c>
      <c r="M36" s="11">
        <f t="shared" si="5"/>
        <v>130.9158534</v>
      </c>
      <c r="N36" s="25">
        <f t="shared" si="6"/>
        <v>12751.53791</v>
      </c>
      <c r="O36" s="11">
        <f t="shared" si="7"/>
        <v>0.8331984902</v>
      </c>
    </row>
    <row r="37">
      <c r="A37" s="108">
        <v>2005.0</v>
      </c>
      <c r="B37" s="108">
        <v>1971.023</v>
      </c>
      <c r="C37" s="108">
        <v>784.002</v>
      </c>
      <c r="D37" s="11">
        <f t="shared" si="1"/>
        <v>2755.025</v>
      </c>
      <c r="E37" s="108">
        <v>5691.9</v>
      </c>
      <c r="F37" s="108">
        <v>319.491</v>
      </c>
      <c r="G37" s="109">
        <v>61.779568</v>
      </c>
      <c r="H37" s="108">
        <v>134022.0</v>
      </c>
      <c r="I37" s="25">
        <f t="shared" si="2"/>
        <v>15897.25682</v>
      </c>
      <c r="J37" s="25">
        <f t="shared" si="3"/>
        <v>7130.840824</v>
      </c>
      <c r="L37" s="11">
        <f t="shared" si="4"/>
        <v>84.41936946</v>
      </c>
      <c r="M37" s="11">
        <f t="shared" si="5"/>
        <v>125.2805008</v>
      </c>
      <c r="N37" s="25">
        <f t="shared" si="6"/>
        <v>13142.23182</v>
      </c>
      <c r="O37" s="11">
        <f t="shared" si="7"/>
        <v>0.8266980882</v>
      </c>
    </row>
    <row r="38">
      <c r="A38" s="108">
        <v>2006.0</v>
      </c>
      <c r="B38" s="108">
        <v>2124.122</v>
      </c>
      <c r="C38" s="108">
        <v>837.788</v>
      </c>
      <c r="D38" s="11">
        <f t="shared" si="1"/>
        <v>2961.91</v>
      </c>
      <c r="E38" s="108">
        <v>6057.0</v>
      </c>
      <c r="F38" s="108">
        <v>365.958</v>
      </c>
      <c r="G38" s="109">
        <v>62.408346</v>
      </c>
      <c r="H38" s="108">
        <v>136434.0</v>
      </c>
      <c r="I38" s="25">
        <f t="shared" si="2"/>
        <v>16348.07093</v>
      </c>
      <c r="J38" s="25">
        <f t="shared" si="3"/>
        <v>6963.202934</v>
      </c>
      <c r="L38" s="11">
        <f t="shared" si="4"/>
        <v>77.20670163</v>
      </c>
      <c r="M38" s="11">
        <f t="shared" si="5"/>
        <v>114.9612504</v>
      </c>
      <c r="N38" s="25">
        <f t="shared" si="6"/>
        <v>13386.16093</v>
      </c>
      <c r="O38" s="11">
        <f t="shared" si="7"/>
        <v>0.8188220487</v>
      </c>
    </row>
    <row r="39">
      <c r="A39" s="108">
        <v>2007.0</v>
      </c>
      <c r="B39" s="108">
        <v>2252.808</v>
      </c>
      <c r="C39" s="108">
        <v>883.193</v>
      </c>
      <c r="D39" s="11">
        <f t="shared" si="1"/>
        <v>3136.001</v>
      </c>
      <c r="E39" s="108">
        <v>6396.8</v>
      </c>
      <c r="F39" s="108">
        <v>328.24</v>
      </c>
      <c r="G39" s="109">
        <v>63.201213</v>
      </c>
      <c r="H39" s="108">
        <v>137978.0</v>
      </c>
      <c r="I39" s="25">
        <f t="shared" si="2"/>
        <v>16743.12378</v>
      </c>
      <c r="J39" s="25">
        <f t="shared" si="3"/>
        <v>6882.082777</v>
      </c>
      <c r="L39" s="11">
        <f t="shared" si="4"/>
        <v>72.19371072</v>
      </c>
      <c r="M39" s="11">
        <f t="shared" si="5"/>
        <v>107.5863366</v>
      </c>
      <c r="N39" s="25">
        <f t="shared" si="6"/>
        <v>13607.12278</v>
      </c>
      <c r="O39" s="11">
        <f t="shared" si="7"/>
        <v>0.8126991688</v>
      </c>
    </row>
    <row r="40">
      <c r="A40" s="108">
        <v>2008.0</v>
      </c>
      <c r="B40" s="108">
        <v>2358.842</v>
      </c>
      <c r="C40" s="108">
        <v>957.52</v>
      </c>
      <c r="D40" s="11">
        <f t="shared" si="1"/>
        <v>3316.362</v>
      </c>
      <c r="E40" s="108">
        <v>6534.3</v>
      </c>
      <c r="F40" s="108">
        <v>201.961</v>
      </c>
      <c r="G40" s="109">
        <v>63.84522</v>
      </c>
      <c r="H40" s="108">
        <v>137225.0</v>
      </c>
      <c r="I40" s="25">
        <f t="shared" si="2"/>
        <v>16821.4278</v>
      </c>
      <c r="J40" s="25">
        <f t="shared" si="3"/>
        <v>6768.804804</v>
      </c>
      <c r="L40" s="11">
        <f t="shared" si="4"/>
        <v>68.71421234</v>
      </c>
      <c r="M40" s="11">
        <f t="shared" si="5"/>
        <v>103.5888282</v>
      </c>
      <c r="N40" s="25">
        <f t="shared" si="6"/>
        <v>13505.0658</v>
      </c>
      <c r="O40" s="11">
        <f t="shared" si="7"/>
        <v>0.8028489592</v>
      </c>
    </row>
    <row r="41">
      <c r="A41" s="108">
        <v>2009.0</v>
      </c>
      <c r="B41" s="108">
        <v>2371.477</v>
      </c>
      <c r="C41" s="108">
        <v>986.681</v>
      </c>
      <c r="D41" s="11">
        <f t="shared" si="1"/>
        <v>3358.158</v>
      </c>
      <c r="E41" s="108">
        <v>6248.6</v>
      </c>
      <c r="F41" s="108">
        <v>152.963</v>
      </c>
      <c r="G41" s="109">
        <v>65.928401</v>
      </c>
      <c r="H41" s="108">
        <v>131289.0</v>
      </c>
      <c r="I41" s="25">
        <f t="shared" si="2"/>
        <v>16618.89377</v>
      </c>
      <c r="J41" s="25">
        <f t="shared" si="3"/>
        <v>6859.172771</v>
      </c>
      <c r="L41" s="11">
        <f t="shared" si="4"/>
        <v>71.39945412</v>
      </c>
      <c r="M41" s="11">
        <f t="shared" si="5"/>
        <v>109.7713531</v>
      </c>
      <c r="N41" s="25">
        <f t="shared" si="6"/>
        <v>13260.73577</v>
      </c>
      <c r="O41" s="11">
        <f t="shared" si="7"/>
        <v>0.7979313156</v>
      </c>
    </row>
    <row r="42">
      <c r="A42" s="108">
        <v>2010.0</v>
      </c>
      <c r="B42" s="108">
        <v>2390.926</v>
      </c>
      <c r="C42" s="108">
        <v>1019.237</v>
      </c>
      <c r="D42" s="11">
        <f t="shared" si="1"/>
        <v>3410.163</v>
      </c>
      <c r="E42" s="108">
        <v>6372.1</v>
      </c>
      <c r="F42" s="108">
        <v>219.387</v>
      </c>
      <c r="G42" s="109">
        <v>67.575254</v>
      </c>
      <c r="H42" s="108">
        <v>130337.0</v>
      </c>
      <c r="I42" s="25">
        <f t="shared" si="2"/>
        <v>16910.50729</v>
      </c>
      <c r="J42" s="25">
        <f t="shared" si="3"/>
        <v>6908.857291</v>
      </c>
      <c r="L42" s="11">
        <f t="shared" si="4"/>
        <v>70.62637031</v>
      </c>
      <c r="M42" s="11">
        <f t="shared" si="5"/>
        <v>108.4235541</v>
      </c>
      <c r="N42" s="25">
        <f t="shared" si="6"/>
        <v>13500.34429</v>
      </c>
      <c r="O42" s="11">
        <f t="shared" si="7"/>
        <v>0.7983405854</v>
      </c>
    </row>
    <row r="43">
      <c r="A43" s="108">
        <v>2011.0</v>
      </c>
      <c r="B43" s="108">
        <v>2474.465</v>
      </c>
      <c r="C43" s="108">
        <v>1011.235</v>
      </c>
      <c r="D43" s="11">
        <f t="shared" si="1"/>
        <v>3485.7</v>
      </c>
      <c r="E43" s="108">
        <v>6625.9</v>
      </c>
      <c r="F43" s="108">
        <v>223.953</v>
      </c>
      <c r="G43" s="109">
        <v>67.601832</v>
      </c>
      <c r="H43" s="108">
        <v>131922.0</v>
      </c>
      <c r="I43" s="25">
        <f t="shared" si="2"/>
        <v>17122.88425</v>
      </c>
      <c r="J43" s="25">
        <f t="shared" si="3"/>
        <v>6787.331252</v>
      </c>
      <c r="L43" s="11">
        <f t="shared" si="4"/>
        <v>67.12420637</v>
      </c>
      <c r="M43" s="11">
        <f t="shared" si="5"/>
        <v>102.4363672</v>
      </c>
      <c r="N43" s="25">
        <f t="shared" si="6"/>
        <v>13637.18425</v>
      </c>
      <c r="O43" s="11">
        <f t="shared" si="7"/>
        <v>0.796430324</v>
      </c>
    </row>
    <row r="44">
      <c r="A44" s="108">
        <v>2012.0</v>
      </c>
      <c r="B44" s="108">
        <v>2575.997</v>
      </c>
      <c r="C44" s="108">
        <v>1005.137</v>
      </c>
      <c r="D44" s="11">
        <f t="shared" si="1"/>
        <v>3581.134</v>
      </c>
      <c r="E44" s="108">
        <v>6927.5</v>
      </c>
      <c r="F44" s="108">
        <v>274.7</v>
      </c>
      <c r="G44" s="109">
        <v>67.836447</v>
      </c>
      <c r="H44" s="108">
        <v>134157.0</v>
      </c>
      <c r="I44" s="25">
        <f t="shared" si="2"/>
        <v>17473.4097</v>
      </c>
      <c r="J44" s="25">
        <f t="shared" si="3"/>
        <v>6690.075703</v>
      </c>
      <c r="L44" s="11">
        <f t="shared" si="4"/>
        <v>63.6626578</v>
      </c>
      <c r="M44" s="11">
        <f t="shared" si="5"/>
        <v>96.57272757</v>
      </c>
      <c r="N44" s="25">
        <f t="shared" si="6"/>
        <v>13892.2757</v>
      </c>
      <c r="O44" s="11">
        <f t="shared" si="7"/>
        <v>0.7950523647</v>
      </c>
    </row>
    <row r="45">
      <c r="A45" s="108">
        <v>2013.0</v>
      </c>
      <c r="B45" s="108">
        <v>2681.218</v>
      </c>
      <c r="C45" s="108">
        <v>984.345</v>
      </c>
      <c r="D45" s="11">
        <f t="shared" si="1"/>
        <v>3665.563</v>
      </c>
      <c r="E45" s="108">
        <v>7113.2</v>
      </c>
      <c r="F45" s="108">
        <v>298.431</v>
      </c>
      <c r="G45" s="109">
        <v>68.124883</v>
      </c>
      <c r="H45" s="108">
        <v>136356.0</v>
      </c>
      <c r="I45" s="25">
        <f t="shared" si="2"/>
        <v>17835.33417</v>
      </c>
      <c r="J45" s="25">
        <f t="shared" si="3"/>
        <v>6758.140169</v>
      </c>
      <c r="L45" s="11">
        <f t="shared" si="4"/>
        <v>62.69866189</v>
      </c>
      <c r="M45" s="11">
        <f t="shared" si="5"/>
        <v>95.0084374</v>
      </c>
      <c r="N45" s="25">
        <f t="shared" si="6"/>
        <v>14169.77117</v>
      </c>
      <c r="O45" s="11">
        <f t="shared" si="7"/>
        <v>0.7944774701</v>
      </c>
    </row>
    <row r="46">
      <c r="A46" s="108">
        <v>2014.0</v>
      </c>
      <c r="B46" s="108">
        <v>2815.026</v>
      </c>
      <c r="C46" s="108">
        <v>989.574</v>
      </c>
      <c r="D46" s="11">
        <f t="shared" si="1"/>
        <v>3804.6</v>
      </c>
      <c r="E46" s="108">
        <v>7475.2</v>
      </c>
      <c r="F46" s="108">
        <v>339.65</v>
      </c>
      <c r="G46" s="109">
        <v>68.506223</v>
      </c>
      <c r="H46" s="108">
        <v>138922.0</v>
      </c>
      <c r="I46" s="25">
        <f t="shared" si="2"/>
        <v>18272.6813</v>
      </c>
      <c r="J46" s="25">
        <f t="shared" si="3"/>
        <v>6653.231302</v>
      </c>
      <c r="L46" s="11">
        <f t="shared" si="4"/>
        <v>58.98359281</v>
      </c>
      <c r="M46" s="11">
        <f t="shared" si="5"/>
        <v>89.00405745</v>
      </c>
      <c r="N46" s="25">
        <f t="shared" si="6"/>
        <v>14468.0813</v>
      </c>
      <c r="O46" s="11">
        <f t="shared" si="7"/>
        <v>0.7917875359</v>
      </c>
    </row>
    <row r="47">
      <c r="A47" s="108">
        <v>2015.0</v>
      </c>
      <c r="B47" s="108">
        <v>2911.385</v>
      </c>
      <c r="C47" s="108">
        <v>1003.051</v>
      </c>
      <c r="D47" s="11">
        <f t="shared" si="1"/>
        <v>3914.436</v>
      </c>
      <c r="E47" s="108">
        <v>7859.5</v>
      </c>
      <c r="F47" s="108">
        <v>329.088</v>
      </c>
      <c r="G47" s="109">
        <v>69.155227</v>
      </c>
      <c r="H47" s="108">
        <v>141804.0</v>
      </c>
      <c r="I47" s="25">
        <f t="shared" si="2"/>
        <v>18828.45659</v>
      </c>
      <c r="J47" s="25">
        <f t="shared" si="3"/>
        <v>6725.432594</v>
      </c>
      <c r="L47" s="11">
        <f t="shared" si="4"/>
        <v>57.12136192</v>
      </c>
      <c r="M47" s="11">
        <f t="shared" si="5"/>
        <v>85.57074361</v>
      </c>
      <c r="N47" s="25">
        <f t="shared" si="6"/>
        <v>14914.02059</v>
      </c>
      <c r="O47" s="11">
        <f t="shared" si="7"/>
        <v>0.7921000067</v>
      </c>
    </row>
    <row r="48">
      <c r="A48" s="108">
        <v>2016.0</v>
      </c>
      <c r="B48" s="108">
        <v>2986.601</v>
      </c>
      <c r="C48" s="108">
        <v>1040.64</v>
      </c>
      <c r="D48" s="11">
        <f t="shared" si="1"/>
        <v>4027.241</v>
      </c>
      <c r="E48" s="108">
        <v>8089.1</v>
      </c>
      <c r="F48" s="108">
        <v>311.863</v>
      </c>
      <c r="G48" s="109">
        <v>69.381273</v>
      </c>
      <c r="H48" s="108">
        <v>144333.0</v>
      </c>
      <c r="I48" s="25">
        <f t="shared" si="2"/>
        <v>19226.89397</v>
      </c>
      <c r="J48" s="25">
        <f t="shared" si="3"/>
        <v>6798.68997</v>
      </c>
      <c r="L48" s="11">
        <f t="shared" si="4"/>
        <v>56.11174174</v>
      </c>
      <c r="M48" s="11">
        <f t="shared" si="5"/>
        <v>84.04754509</v>
      </c>
      <c r="N48" s="25">
        <f t="shared" si="6"/>
        <v>15199.65297</v>
      </c>
      <c r="O48" s="11">
        <f t="shared" si="7"/>
        <v>0.7905412592</v>
      </c>
    </row>
    <row r="49">
      <c r="A49" s="108">
        <v>2017.0</v>
      </c>
      <c r="B49" s="108">
        <v>3112.865</v>
      </c>
      <c r="C49" s="108">
        <v>1086.942</v>
      </c>
      <c r="D49" s="11">
        <f t="shared" si="1"/>
        <v>4199.807</v>
      </c>
      <c r="E49" s="108">
        <v>8471.5</v>
      </c>
      <c r="F49" s="108">
        <v>245.405</v>
      </c>
      <c r="G49" s="109">
        <v>70.092396</v>
      </c>
      <c r="H49" s="108">
        <v>146595.0</v>
      </c>
      <c r="I49" s="25">
        <f t="shared" si="2"/>
        <v>19728.374</v>
      </c>
      <c r="J49" s="25">
        <f t="shared" si="3"/>
        <v>6811.662</v>
      </c>
      <c r="L49" s="11">
        <f t="shared" si="4"/>
        <v>53.75658565</v>
      </c>
      <c r="M49" s="11">
        <f t="shared" si="5"/>
        <v>80.40679927</v>
      </c>
      <c r="N49" s="25">
        <f t="shared" si="6"/>
        <v>15528.567</v>
      </c>
      <c r="O49" s="11">
        <f t="shared" si="7"/>
        <v>0.7871184417</v>
      </c>
    </row>
    <row r="50">
      <c r="A50" s="108">
        <v>2018.0</v>
      </c>
      <c r="B50" s="108">
        <v>3265.016</v>
      </c>
      <c r="C50" s="108">
        <v>1163.712</v>
      </c>
      <c r="D50" s="11">
        <f t="shared" si="1"/>
        <v>4428.728</v>
      </c>
      <c r="E50" s="108">
        <v>8894.2</v>
      </c>
      <c r="F50" s="108">
        <v>210.554</v>
      </c>
      <c r="G50" s="109">
        <v>70.90677</v>
      </c>
      <c r="H50" s="108">
        <v>148893.0</v>
      </c>
      <c r="I50" s="25">
        <f t="shared" si="2"/>
        <v>20270.44167</v>
      </c>
      <c r="J50" s="25">
        <f t="shared" si="3"/>
        <v>6736.959675</v>
      </c>
      <c r="L50" s="11">
        <f t="shared" si="4"/>
        <v>50.56665978</v>
      </c>
      <c r="M50" s="11">
        <f t="shared" si="5"/>
        <v>75.74553838</v>
      </c>
      <c r="N50" s="25">
        <f t="shared" si="6"/>
        <v>15841.71367</v>
      </c>
      <c r="O50" s="11">
        <f t="shared" si="7"/>
        <v>0.7815179328</v>
      </c>
    </row>
    <row r="51">
      <c r="A51" s="108">
        <v>2019.0</v>
      </c>
      <c r="B51" s="108">
        <v>3420.936</v>
      </c>
      <c r="C51" s="108">
        <v>1206.685</v>
      </c>
      <c r="D51" s="11">
        <f t="shared" si="1"/>
        <v>4627.621</v>
      </c>
      <c r="E51" s="108">
        <v>9309.3</v>
      </c>
      <c r="F51" s="108">
        <v>217.307</v>
      </c>
      <c r="G51" s="109">
        <v>71.821985</v>
      </c>
      <c r="H51" s="108">
        <v>150900.0</v>
      </c>
      <c r="I51" s="25">
        <f t="shared" si="2"/>
        <v>20808.84007</v>
      </c>
      <c r="J51" s="25">
        <f t="shared" si="3"/>
        <v>6654.61207</v>
      </c>
      <c r="L51" s="11">
        <f t="shared" si="4"/>
        <v>47.74807915</v>
      </c>
      <c r="M51" s="11">
        <f t="shared" si="5"/>
        <v>71.48348501</v>
      </c>
      <c r="N51" s="25">
        <f t="shared" si="6"/>
        <v>16181.21907</v>
      </c>
      <c r="O51" s="11">
        <f t="shared" si="7"/>
        <v>0.7776127365</v>
      </c>
    </row>
    <row r="52">
      <c r="A52" s="108">
        <v>2020.0</v>
      </c>
      <c r="B52" s="108">
        <v>3559.096</v>
      </c>
      <c r="C52" s="108">
        <v>1207.738</v>
      </c>
      <c r="D52" s="11">
        <f t="shared" si="1"/>
        <v>4766.834</v>
      </c>
      <c r="E52" s="108">
        <v>9370.5</v>
      </c>
      <c r="F52" s="108">
        <v>198.973</v>
      </c>
      <c r="G52" s="109">
        <v>74.312174</v>
      </c>
      <c r="H52" s="108">
        <v>142252.0</v>
      </c>
      <c r="I52" s="25">
        <f t="shared" si="2"/>
        <v>20296.42632</v>
      </c>
      <c r="J52" s="25">
        <f t="shared" si="3"/>
        <v>5960.119322</v>
      </c>
      <c r="L52" s="11">
        <f t="shared" si="4"/>
        <v>42.15872188</v>
      </c>
      <c r="M52" s="11">
        <f t="shared" si="5"/>
        <v>63.60513656</v>
      </c>
      <c r="N52" s="25">
        <f t="shared" si="6"/>
        <v>15529.59232</v>
      </c>
      <c r="O52" s="11">
        <f t="shared" si="7"/>
        <v>0.7651392455</v>
      </c>
    </row>
    <row r="55">
      <c r="A55" s="71" t="s">
        <v>316</v>
      </c>
    </row>
  </sheetData>
  <hyperlinks>
    <hyperlink r:id="rId1" location="0" ref="A55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</cols>
  <sheetData>
    <row r="1">
      <c r="A1" s="89" t="s">
        <v>79</v>
      </c>
      <c r="B1" s="4" t="s">
        <v>317</v>
      </c>
      <c r="C1" s="4" t="s">
        <v>318</v>
      </c>
    </row>
    <row r="2">
      <c r="A2" s="24">
        <v>2019.0</v>
      </c>
      <c r="B2" s="24" t="s">
        <v>235</v>
      </c>
      <c r="C2" s="11">
        <v>9.10662302E11</v>
      </c>
    </row>
    <row r="3">
      <c r="A3" s="24">
        <v>2019.0</v>
      </c>
      <c r="B3" s="4" t="s">
        <v>319</v>
      </c>
      <c r="C3" s="11">
        <v>132.28691374806078</v>
      </c>
    </row>
    <row r="4">
      <c r="A4" s="24">
        <v>2019.0</v>
      </c>
      <c r="B4" s="24" t="s">
        <v>3</v>
      </c>
      <c r="C4" s="11">
        <v>26.66530108827862</v>
      </c>
    </row>
    <row r="5">
      <c r="A5" s="24">
        <v>2019.0</v>
      </c>
      <c r="B5" s="24" t="s">
        <v>2</v>
      </c>
      <c r="C5" s="11">
        <v>6.283882452504105</v>
      </c>
    </row>
    <row r="6">
      <c r="A6" s="24">
        <v>2019.0</v>
      </c>
      <c r="B6" s="24" t="s">
        <v>4</v>
      </c>
      <c r="C6" s="11">
        <v>3.961013315023497</v>
      </c>
    </row>
    <row r="7">
      <c r="A7" s="24">
        <v>2019.0</v>
      </c>
      <c r="B7" s="4" t="s">
        <v>320</v>
      </c>
      <c r="C7" s="11">
        <v>262.996545492593</v>
      </c>
    </row>
    <row r="8">
      <c r="A8" s="4">
        <v>2018.0</v>
      </c>
      <c r="B8" s="24" t="s">
        <v>235</v>
      </c>
      <c r="C8" s="11">
        <v>9.0642857E11</v>
      </c>
    </row>
    <row r="9">
      <c r="A9" s="4">
        <v>2018.0</v>
      </c>
      <c r="B9" s="4" t="s">
        <v>319</v>
      </c>
      <c r="C9" s="11">
        <v>135.4643144179357</v>
      </c>
    </row>
    <row r="10">
      <c r="A10" s="4">
        <v>2018.0</v>
      </c>
      <c r="B10" s="24" t="s">
        <v>3</v>
      </c>
      <c r="C10" s="11">
        <v>27.050485732789635</v>
      </c>
    </row>
    <row r="11">
      <c r="A11" s="4">
        <v>2018.0</v>
      </c>
      <c r="B11" s="24" t="s">
        <v>2</v>
      </c>
      <c r="C11" s="11">
        <v>6.362476118273817</v>
      </c>
    </row>
    <row r="12">
      <c r="A12" s="4">
        <v>2018.0</v>
      </c>
      <c r="B12" s="24" t="s">
        <v>4</v>
      </c>
      <c r="C12" s="11">
        <v>3.7268320138079494</v>
      </c>
    </row>
    <row r="13">
      <c r="A13" s="4">
        <v>2018.0</v>
      </c>
      <c r="B13" s="4" t="s">
        <v>320</v>
      </c>
      <c r="C13" s="11">
        <v>270.443237013195</v>
      </c>
    </row>
    <row r="14">
      <c r="A14" s="24">
        <v>2017.0</v>
      </c>
      <c r="B14" s="24" t="s">
        <v>235</v>
      </c>
      <c r="C14" s="11">
        <v>4.32973959E11</v>
      </c>
    </row>
    <row r="15">
      <c r="A15" s="24">
        <v>2017.0</v>
      </c>
      <c r="B15" s="4" t="s">
        <v>319</v>
      </c>
      <c r="C15" s="11">
        <v>134.84229136556306</v>
      </c>
    </row>
    <row r="16">
      <c r="A16" s="24">
        <v>2017.0</v>
      </c>
      <c r="B16" s="24" t="s">
        <v>3</v>
      </c>
      <c r="C16" s="11">
        <v>27.04936399818748</v>
      </c>
    </row>
    <row r="17">
      <c r="A17" s="24">
        <v>2017.0</v>
      </c>
      <c r="B17" s="24" t="s">
        <v>2</v>
      </c>
      <c r="C17" s="11">
        <v>6.333467714509306</v>
      </c>
    </row>
    <row r="18">
      <c r="A18" s="24">
        <v>2017.0</v>
      </c>
      <c r="B18" s="24" t="s">
        <v>4</v>
      </c>
      <c r="C18" s="11">
        <v>3.9850448008536747</v>
      </c>
    </row>
    <row r="19">
      <c r="A19" s="24">
        <v>2017.0</v>
      </c>
      <c r="B19" s="4" t="s">
        <v>320</v>
      </c>
      <c r="C19" s="11">
        <v>63.3479589573592</v>
      </c>
    </row>
    <row r="20">
      <c r="A20" s="11">
        <v>2016.0</v>
      </c>
      <c r="B20" s="24" t="s">
        <v>235</v>
      </c>
      <c r="C20" s="11">
        <v>3.87822855E11</v>
      </c>
    </row>
    <row r="21">
      <c r="A21" s="11">
        <v>2016.0</v>
      </c>
      <c r="B21" s="4" t="s">
        <v>319</v>
      </c>
      <c r="C21" s="11">
        <v>128.89213314408155</v>
      </c>
    </row>
    <row r="22">
      <c r="A22" s="11">
        <v>2016.0</v>
      </c>
      <c r="B22" s="24" t="s">
        <v>3</v>
      </c>
      <c r="C22" s="11">
        <v>26.142227192658595</v>
      </c>
    </row>
    <row r="23">
      <c r="A23" s="11">
        <v>2016.0</v>
      </c>
      <c r="B23" s="24" t="s">
        <v>2</v>
      </c>
      <c r="C23" s="11">
        <v>6.219340311973498</v>
      </c>
    </row>
    <row r="24">
      <c r="A24" s="11">
        <v>2016.0</v>
      </c>
      <c r="B24" s="24" t="s">
        <v>4</v>
      </c>
      <c r="C24" s="11">
        <v>3.930418980532682</v>
      </c>
    </row>
    <row r="25">
      <c r="A25" s="11">
        <v>2016.0</v>
      </c>
      <c r="B25" s="4" t="s">
        <v>320</v>
      </c>
      <c r="C25" s="11">
        <v>55.2538115418598</v>
      </c>
    </row>
    <row r="26">
      <c r="A26" s="11">
        <v>2015.0</v>
      </c>
      <c r="B26" s="24" t="s">
        <v>235</v>
      </c>
      <c r="C26" s="11">
        <v>3.94477086E11</v>
      </c>
    </row>
    <row r="27">
      <c r="A27" s="11">
        <v>2015.0</v>
      </c>
      <c r="B27" s="4" t="s">
        <v>319</v>
      </c>
      <c r="C27" s="11">
        <v>138.17424172401704</v>
      </c>
    </row>
    <row r="28">
      <c r="A28" s="11">
        <v>2015.0</v>
      </c>
      <c r="B28" s="24" t="s">
        <v>3</v>
      </c>
      <c r="C28" s="11">
        <v>27.494191775976105</v>
      </c>
    </row>
    <row r="29">
      <c r="A29" s="11">
        <v>2015.0</v>
      </c>
      <c r="B29" s="24" t="s">
        <v>2</v>
      </c>
      <c r="C29" s="11">
        <v>6.407321741406776</v>
      </c>
    </row>
    <row r="30">
      <c r="A30" s="11">
        <v>2015.0</v>
      </c>
      <c r="B30" s="24" t="s">
        <v>4</v>
      </c>
      <c r="C30" s="11">
        <v>4.025579324166605</v>
      </c>
    </row>
    <row r="31">
      <c r="A31" s="11">
        <v>2015.0</v>
      </c>
      <c r="B31" s="4" t="s">
        <v>320</v>
      </c>
      <c r="C31" s="11">
        <v>57.4764669585863</v>
      </c>
    </row>
    <row r="32">
      <c r="A32" s="11">
        <v>2014.0</v>
      </c>
      <c r="B32" s="24" t="s">
        <v>235</v>
      </c>
      <c r="C32" s="11">
        <v>3.59911833E11</v>
      </c>
    </row>
    <row r="33">
      <c r="A33" s="11">
        <v>2014.0</v>
      </c>
      <c r="B33" s="4" t="s">
        <v>319</v>
      </c>
      <c r="C33" s="11">
        <v>132.64064674912387</v>
      </c>
    </row>
    <row r="34">
      <c r="A34" s="11">
        <v>2014.0</v>
      </c>
      <c r="B34" s="24" t="s">
        <v>3</v>
      </c>
      <c r="C34" s="11">
        <v>25.640836625055414</v>
      </c>
    </row>
    <row r="35">
      <c r="A35" s="11">
        <v>2014.0</v>
      </c>
      <c r="B35" s="24" t="s">
        <v>2</v>
      </c>
      <c r="C35" s="11">
        <v>6.499429824284193</v>
      </c>
    </row>
    <row r="36">
      <c r="A36" s="11">
        <v>2014.0</v>
      </c>
      <c r="B36" s="24" t="s">
        <v>4</v>
      </c>
      <c r="C36" s="11">
        <v>4.173023356792954</v>
      </c>
    </row>
    <row r="37">
      <c r="A37" s="11">
        <v>2014.0</v>
      </c>
      <c r="B37" s="4" t="s">
        <v>320</v>
      </c>
      <c r="C37" s="11">
        <v>53.6697778389043</v>
      </c>
    </row>
    <row r="38">
      <c r="A38" s="11">
        <v>2013.0</v>
      </c>
      <c r="B38" s="24" t="s">
        <v>235</v>
      </c>
      <c r="C38" s="11">
        <v>3.26405635E11</v>
      </c>
    </row>
    <row r="39">
      <c r="A39" s="11">
        <v>2013.0</v>
      </c>
      <c r="B39" s="4" t="s">
        <v>319</v>
      </c>
      <c r="C39" s="11">
        <v>122.85914576863281</v>
      </c>
    </row>
    <row r="40">
      <c r="A40" s="11">
        <v>2013.0</v>
      </c>
      <c r="B40" s="24" t="s">
        <v>3</v>
      </c>
      <c r="C40" s="11">
        <v>23.957512036008822</v>
      </c>
    </row>
    <row r="41">
      <c r="A41" s="11">
        <v>2013.0</v>
      </c>
      <c r="B41" s="24" t="s">
        <v>2</v>
      </c>
      <c r="C41" s="11">
        <v>6.356801164269049</v>
      </c>
    </row>
    <row r="42">
      <c r="A42" s="11">
        <v>2013.0</v>
      </c>
      <c r="B42" s="24" t="s">
        <v>4</v>
      </c>
      <c r="C42" s="11">
        <v>4.12820970658272</v>
      </c>
    </row>
    <row r="43">
      <c r="A43" s="11">
        <v>2013.0</v>
      </c>
      <c r="B43" s="4" t="s">
        <v>320</v>
      </c>
      <c r="C43" s="11">
        <v>47.8184362813556</v>
      </c>
    </row>
    <row r="44">
      <c r="A44" s="11">
        <v>2012.0</v>
      </c>
      <c r="B44" s="24" t="s">
        <v>235</v>
      </c>
      <c r="C44" s="11">
        <v>3.07826015E11</v>
      </c>
    </row>
    <row r="45">
      <c r="A45" s="11">
        <v>2012.0</v>
      </c>
      <c r="B45" s="4" t="s">
        <v>319</v>
      </c>
      <c r="C45" s="11">
        <v>112.09702780840875</v>
      </c>
    </row>
    <row r="46">
      <c r="A46" s="11">
        <v>2012.0</v>
      </c>
      <c r="B46" s="24" t="s">
        <v>3</v>
      </c>
      <c r="C46" s="11">
        <v>22.011448459646346</v>
      </c>
    </row>
    <row r="47">
      <c r="A47" s="11">
        <v>2012.0</v>
      </c>
      <c r="B47" s="24" t="s">
        <v>2</v>
      </c>
      <c r="C47" s="11">
        <v>6.213639577604134</v>
      </c>
    </row>
    <row r="48">
      <c r="A48" s="11">
        <v>2012.0</v>
      </c>
      <c r="B48" s="24" t="s">
        <v>4</v>
      </c>
      <c r="C48" s="11">
        <v>4.092669299520046</v>
      </c>
    </row>
    <row r="49">
      <c r="A49" s="11">
        <v>2012.0</v>
      </c>
      <c r="B49" s="4" t="s">
        <v>320</v>
      </c>
      <c r="C49" s="11">
        <v>43.0060977018146</v>
      </c>
    </row>
    <row r="50">
      <c r="A50" s="4">
        <v>2011.0</v>
      </c>
      <c r="B50" s="24" t="s">
        <v>235</v>
      </c>
      <c r="C50" s="11">
        <v>3.46408599E11</v>
      </c>
    </row>
    <row r="51">
      <c r="A51" s="4">
        <v>2011.0</v>
      </c>
      <c r="B51" s="4" t="s">
        <v>319</v>
      </c>
      <c r="C51" s="11">
        <v>119.19684004083078</v>
      </c>
    </row>
    <row r="52">
      <c r="A52" s="4">
        <v>2011.0</v>
      </c>
      <c r="B52" s="24" t="s">
        <v>3</v>
      </c>
      <c r="C52" s="11">
        <v>24.250671724831715</v>
      </c>
    </row>
    <row r="53">
      <c r="A53" s="4">
        <v>2011.0</v>
      </c>
      <c r="B53" s="24" t="s">
        <v>2</v>
      </c>
      <c r="C53" s="11">
        <v>6.1071658594039695</v>
      </c>
    </row>
    <row r="54">
      <c r="A54" s="4">
        <v>2011.0</v>
      </c>
      <c r="B54" s="24" t="s">
        <v>4</v>
      </c>
      <c r="C54" s="11">
        <v>3.915197458995662</v>
      </c>
    </row>
    <row r="55">
      <c r="A55" s="4">
        <v>2011.0</v>
      </c>
      <c r="B55" s="4" t="s">
        <v>320</v>
      </c>
      <c r="C55" s="11">
        <v>45.8627181527068</v>
      </c>
    </row>
    <row r="56">
      <c r="A56" s="4">
        <v>2010.0</v>
      </c>
      <c r="B56" s="24" t="s">
        <v>235</v>
      </c>
      <c r="C56" s="11">
        <v>3.63030093E11</v>
      </c>
    </row>
    <row r="57">
      <c r="A57" s="4">
        <v>2010.0</v>
      </c>
      <c r="B57" s="4" t="s">
        <v>319</v>
      </c>
      <c r="C57" s="11">
        <v>124.8492365809717</v>
      </c>
    </row>
    <row r="58">
      <c r="A58" s="4">
        <v>2010.0</v>
      </c>
      <c r="B58" s="24" t="s">
        <v>3</v>
      </c>
      <c r="C58" s="11">
        <v>25.7302405795731</v>
      </c>
    </row>
    <row r="59">
      <c r="A59" s="4">
        <v>2010.0</v>
      </c>
      <c r="B59" s="24" t="s">
        <v>2</v>
      </c>
      <c r="C59" s="11">
        <v>6.100729801944997</v>
      </c>
    </row>
    <row r="60">
      <c r="A60" s="4">
        <v>2010.0</v>
      </c>
      <c r="B60" s="24" t="s">
        <v>4</v>
      </c>
      <c r="C60" s="11">
        <v>3.8522374361352796</v>
      </c>
    </row>
    <row r="61">
      <c r="A61" s="4">
        <v>2010.0</v>
      </c>
      <c r="B61" s="4" t="s">
        <v>320</v>
      </c>
      <c r="C61" s="11">
        <v>46.3343573511228</v>
      </c>
    </row>
    <row r="62">
      <c r="A62" s="4">
        <v>2009.0</v>
      </c>
      <c r="B62" s="24" t="s">
        <v>235</v>
      </c>
      <c r="C62" s="11">
        <v>3.65529176E11</v>
      </c>
    </row>
    <row r="63">
      <c r="A63" s="4">
        <v>2009.0</v>
      </c>
      <c r="B63" s="4" t="s">
        <v>319</v>
      </c>
      <c r="C63" s="11">
        <v>122.3608620999449</v>
      </c>
    </row>
    <row r="64">
      <c r="A64" s="4">
        <v>2009.0</v>
      </c>
      <c r="B64" s="24" t="s">
        <v>3</v>
      </c>
      <c r="C64" s="11">
        <v>26.430956198892027</v>
      </c>
    </row>
    <row r="65">
      <c r="A65" s="4">
        <v>2009.0</v>
      </c>
      <c r="B65" s="24" t="s">
        <v>2</v>
      </c>
      <c r="C65" s="11">
        <v>5.853061342239788</v>
      </c>
    </row>
    <row r="66">
      <c r="A66" s="4">
        <v>2009.0</v>
      </c>
      <c r="B66" s="24" t="s">
        <v>4</v>
      </c>
      <c r="C66" s="11">
        <v>3.629452721240339</v>
      </c>
    </row>
    <row r="67">
      <c r="A67" s="4">
        <v>2009.0</v>
      </c>
      <c r="B67" s="4" t="s">
        <v>320</v>
      </c>
      <c r="C67" s="11">
        <v>44.3288378641687</v>
      </c>
    </row>
    <row r="68">
      <c r="A68" s="4">
        <v>2008.0</v>
      </c>
      <c r="B68" s="24" t="s">
        <v>235</v>
      </c>
      <c r="C68" s="11">
        <v>4.09614941E11</v>
      </c>
    </row>
    <row r="69">
      <c r="A69" s="4">
        <v>2008.0</v>
      </c>
      <c r="B69" s="4" t="s">
        <v>319</v>
      </c>
      <c r="C69" s="11">
        <v>128.3898546752576</v>
      </c>
    </row>
    <row r="70">
      <c r="A70" s="4">
        <v>2008.0</v>
      </c>
      <c r="B70" s="24" t="s">
        <v>3</v>
      </c>
      <c r="C70" s="11">
        <v>25.006982621614966</v>
      </c>
    </row>
    <row r="71">
      <c r="A71" s="4">
        <v>2008.0</v>
      </c>
      <c r="B71" s="24" t="s">
        <v>2</v>
      </c>
      <c r="C71" s="11">
        <v>6.41805873784588</v>
      </c>
    </row>
    <row r="72">
      <c r="A72" s="4">
        <v>2008.0</v>
      </c>
      <c r="B72" s="24" t="s">
        <v>4</v>
      </c>
      <c r="C72" s="11">
        <v>4.1341601910933035</v>
      </c>
    </row>
    <row r="73">
      <c r="A73" s="4">
        <v>2008.0</v>
      </c>
      <c r="B73" s="4" t="s">
        <v>320</v>
      </c>
      <c r="C73" s="11">
        <v>49.6698769357205</v>
      </c>
    </row>
    <row r="74">
      <c r="A74" s="4">
        <v>2007.0</v>
      </c>
      <c r="B74" s="24" t="s">
        <v>235</v>
      </c>
      <c r="C74" s="11">
        <v>3.97895813E11</v>
      </c>
    </row>
    <row r="75">
      <c r="A75" s="4">
        <v>2007.0</v>
      </c>
      <c r="B75" s="4" t="s">
        <v>319</v>
      </c>
      <c r="C75" s="11">
        <v>128.6940407259375</v>
      </c>
    </row>
    <row r="76">
      <c r="A76" s="4">
        <v>2007.0</v>
      </c>
      <c r="B76" s="24" t="s">
        <v>3</v>
      </c>
      <c r="C76" s="11">
        <v>23.04348963178315</v>
      </c>
    </row>
    <row r="77">
      <c r="A77" s="4">
        <v>2007.0</v>
      </c>
      <c r="B77" s="24" t="s">
        <v>2</v>
      </c>
      <c r="C77" s="11">
        <v>6.8717733810132255</v>
      </c>
    </row>
    <row r="78">
      <c r="A78" s="4">
        <v>2007.0</v>
      </c>
      <c r="B78" s="24" t="s">
        <v>4</v>
      </c>
      <c r="C78" s="11">
        <v>4.5848329737538505</v>
      </c>
    </row>
    <row r="79">
      <c r="A79" s="4">
        <v>2007.0</v>
      </c>
      <c r="B79" s="4" t="s">
        <v>320</v>
      </c>
      <c r="C79" s="24">
        <v>0.0</v>
      </c>
    </row>
    <row r="80">
      <c r="A80" s="4">
        <v>2006.0</v>
      </c>
      <c r="B80" s="24" t="s">
        <v>235</v>
      </c>
      <c r="C80" s="11">
        <v>3.36641259E11</v>
      </c>
    </row>
    <row r="81">
      <c r="A81" s="4">
        <v>2006.0</v>
      </c>
      <c r="B81" s="4" t="s">
        <v>319</v>
      </c>
      <c r="C81" s="11">
        <v>118.72112665758561</v>
      </c>
    </row>
    <row r="82">
      <c r="A82" s="4">
        <v>2006.0</v>
      </c>
      <c r="B82" s="24" t="s">
        <v>3</v>
      </c>
      <c r="C82" s="11">
        <v>20.795904279266757</v>
      </c>
    </row>
    <row r="83">
      <c r="A83" s="4">
        <v>2006.0</v>
      </c>
      <c r="B83" s="24" t="s">
        <v>2</v>
      </c>
      <c r="C83" s="11">
        <v>6.896081872214727</v>
      </c>
    </row>
    <row r="84">
      <c r="A84" s="4">
        <v>2006.0</v>
      </c>
      <c r="B84" s="24" t="s">
        <v>4</v>
      </c>
      <c r="C84" s="11">
        <v>4.708870605638871</v>
      </c>
    </row>
    <row r="85">
      <c r="A85" s="4">
        <v>2006.0</v>
      </c>
      <c r="B85" s="4" t="s">
        <v>320</v>
      </c>
      <c r="C85" s="24">
        <v>0.0</v>
      </c>
    </row>
    <row r="86">
      <c r="A86" s="4">
        <v>2005.0</v>
      </c>
      <c r="B86" s="24" t="s">
        <v>235</v>
      </c>
      <c r="C86" s="11">
        <v>3.14539563E11</v>
      </c>
    </row>
    <row r="87">
      <c r="A87" s="4">
        <v>2005.0</v>
      </c>
      <c r="B87" s="4" t="s">
        <v>319</v>
      </c>
      <c r="C87" s="11">
        <v>121.61617448959588</v>
      </c>
    </row>
    <row r="88">
      <c r="A88" s="4">
        <v>2005.0</v>
      </c>
      <c r="B88" s="24" t="s">
        <v>3</v>
      </c>
      <c r="C88" s="11">
        <v>21.54892712693262</v>
      </c>
    </row>
    <row r="89">
      <c r="A89" s="4">
        <v>2005.0</v>
      </c>
      <c r="B89" s="24" t="s">
        <v>2</v>
      </c>
      <c r="C89" s="11">
        <v>6.859884690972268</v>
      </c>
    </row>
    <row r="90">
      <c r="A90" s="4">
        <v>2005.0</v>
      </c>
      <c r="B90" s="24" t="s">
        <v>4</v>
      </c>
      <c r="C90" s="11">
        <v>4.643722946076309</v>
      </c>
    </row>
    <row r="91">
      <c r="A91" s="4">
        <v>2005.0</v>
      </c>
      <c r="B91" s="4" t="s">
        <v>320</v>
      </c>
      <c r="C91" s="24">
        <v>0.0</v>
      </c>
    </row>
    <row r="92">
      <c r="A92" s="4">
        <v>2004.0</v>
      </c>
      <c r="B92" s="24" t="s">
        <v>235</v>
      </c>
      <c r="C92" s="11">
        <v>2.94204392E11</v>
      </c>
    </row>
    <row r="93">
      <c r="A93" s="4">
        <v>2004.0</v>
      </c>
      <c r="B93" s="4" t="s">
        <v>319</v>
      </c>
      <c r="C93" s="11">
        <v>125.58066724477304</v>
      </c>
    </row>
    <row r="94">
      <c r="A94" s="4">
        <v>2004.0</v>
      </c>
      <c r="B94" s="24" t="s">
        <v>3</v>
      </c>
      <c r="C94" s="11">
        <v>22.813344318128074</v>
      </c>
    </row>
    <row r="95">
      <c r="A95" s="4">
        <v>2004.0</v>
      </c>
      <c r="B95" s="24" t="s">
        <v>2</v>
      </c>
      <c r="C95" s="11">
        <v>6.760508898196517</v>
      </c>
    </row>
    <row r="96">
      <c r="A96" s="4">
        <v>2004.0</v>
      </c>
      <c r="B96" s="24" t="s">
        <v>4</v>
      </c>
      <c r="C96" s="11">
        <v>4.504702225748787</v>
      </c>
    </row>
    <row r="97">
      <c r="A97" s="4">
        <v>2004.0</v>
      </c>
      <c r="B97" s="4" t="s">
        <v>320</v>
      </c>
      <c r="C97" s="24">
        <v>0.0</v>
      </c>
    </row>
    <row r="98">
      <c r="A98" s="4">
        <v>2003.0</v>
      </c>
      <c r="B98" s="24" t="s">
        <v>235</v>
      </c>
      <c r="C98" s="11">
        <v>2.60500257E11</v>
      </c>
    </row>
    <row r="99">
      <c r="A99" s="4">
        <v>2003.0</v>
      </c>
      <c r="B99" s="4" t="s">
        <v>319</v>
      </c>
      <c r="C99" s="11">
        <v>118.77078703290915</v>
      </c>
    </row>
    <row r="100">
      <c r="A100" s="4">
        <v>2003.0</v>
      </c>
      <c r="B100" s="24" t="s">
        <v>3</v>
      </c>
      <c r="C100" s="11">
        <v>22.089607196039015</v>
      </c>
    </row>
    <row r="101">
      <c r="A101" s="4">
        <v>2003.0</v>
      </c>
      <c r="B101" s="24" t="s">
        <v>2</v>
      </c>
      <c r="C101" s="11">
        <v>6.5644801224951</v>
      </c>
    </row>
    <row r="102">
      <c r="A102" s="4">
        <v>2003.0</v>
      </c>
      <c r="B102" s="24" t="s">
        <v>4</v>
      </c>
      <c r="C102" s="11">
        <v>4.376772252166008</v>
      </c>
    </row>
    <row r="103">
      <c r="A103" s="4">
        <v>2003.0</v>
      </c>
      <c r="B103" s="4" t="s">
        <v>320</v>
      </c>
      <c r="C103" s="24">
        <v>0.0</v>
      </c>
    </row>
    <row r="104">
      <c r="A104" s="4">
        <v>2002.0</v>
      </c>
      <c r="B104" s="24" t="s">
        <v>235</v>
      </c>
      <c r="C104" s="11">
        <v>2.63161938E11</v>
      </c>
    </row>
    <row r="105">
      <c r="A105" s="4">
        <v>2002.0</v>
      </c>
      <c r="B105" s="4" t="s">
        <v>319</v>
      </c>
      <c r="C105" s="11">
        <v>131.4226205129963</v>
      </c>
    </row>
    <row r="106">
      <c r="A106" s="4">
        <v>2002.0</v>
      </c>
      <c r="B106" s="24" t="s">
        <v>3</v>
      </c>
      <c r="C106" s="11">
        <v>24.495325932777977</v>
      </c>
    </row>
    <row r="107">
      <c r="A107" s="4">
        <v>2002.0</v>
      </c>
      <c r="B107" s="24" t="s">
        <v>2</v>
      </c>
      <c r="C107" s="11">
        <v>6.679438363304822</v>
      </c>
    </row>
    <row r="108">
      <c r="A108" s="4">
        <v>2002.0</v>
      </c>
      <c r="B108" s="24" t="s">
        <v>4</v>
      </c>
      <c r="C108" s="11">
        <v>4.365212158174859</v>
      </c>
    </row>
    <row r="109">
      <c r="A109" s="4">
        <v>2002.0</v>
      </c>
      <c r="B109" s="4" t="s">
        <v>320</v>
      </c>
      <c r="C109" s="24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</cols>
  <sheetData>
    <row r="1">
      <c r="A1" s="110" t="s">
        <v>245</v>
      </c>
    </row>
    <row r="2">
      <c r="A2" s="111"/>
      <c r="B2" s="112">
        <v>44197.0</v>
      </c>
      <c r="C2" s="112">
        <v>43831.0</v>
      </c>
      <c r="D2" s="112">
        <v>43466.0</v>
      </c>
      <c r="E2" s="112">
        <v>43101.0</v>
      </c>
      <c r="F2" s="112">
        <v>42736.0</v>
      </c>
      <c r="G2" s="112">
        <v>42370.0</v>
      </c>
      <c r="H2" s="112">
        <v>42005.0</v>
      </c>
      <c r="I2" s="112">
        <v>41640.0</v>
      </c>
      <c r="J2" s="112">
        <v>41275.0</v>
      </c>
      <c r="K2" s="112">
        <v>40909.0</v>
      </c>
      <c r="L2" s="112">
        <v>40544.0</v>
      </c>
      <c r="M2" s="112">
        <v>40179.0</v>
      </c>
      <c r="N2" s="112">
        <v>39814.0</v>
      </c>
      <c r="O2" s="112">
        <v>39448.0</v>
      </c>
    </row>
    <row r="3">
      <c r="A3" s="113" t="s">
        <v>321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5"/>
    </row>
    <row r="4">
      <c r="A4" s="116" t="s">
        <v>202</v>
      </c>
      <c r="B4" s="117">
        <v>495257.0</v>
      </c>
      <c r="C4" s="117">
        <v>485681.0</v>
      </c>
      <c r="D4" s="117">
        <v>463711.0</v>
      </c>
      <c r="E4" s="117">
        <v>457057.0</v>
      </c>
      <c r="F4" s="117">
        <v>453735.0</v>
      </c>
      <c r="G4" s="117">
        <v>441430.0</v>
      </c>
      <c r="H4" s="117">
        <v>427394.0</v>
      </c>
      <c r="I4" s="117">
        <v>429584.0</v>
      </c>
      <c r="J4" s="117">
        <v>426017.0</v>
      </c>
      <c r="K4" s="117">
        <v>424447.0</v>
      </c>
      <c r="L4" s="117">
        <v>428009.0</v>
      </c>
      <c r="M4" s="117">
        <v>443250.0</v>
      </c>
      <c r="N4" s="117">
        <v>456014.0</v>
      </c>
      <c r="O4" s="117">
        <v>448684.0</v>
      </c>
    </row>
    <row r="5">
      <c r="A5" s="113" t="s">
        <v>322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5"/>
    </row>
    <row r="6">
      <c r="A6" s="116" t="s">
        <v>202</v>
      </c>
      <c r="B6" s="117">
        <v>488788.0</v>
      </c>
      <c r="C6" s="117">
        <v>470259.0</v>
      </c>
      <c r="D6" s="117">
        <v>462400.0</v>
      </c>
      <c r="E6" s="117">
        <v>457171.0</v>
      </c>
      <c r="F6" s="117">
        <v>444011.0</v>
      </c>
      <c r="G6" s="117">
        <v>428671.0</v>
      </c>
      <c r="H6" s="117">
        <v>430209.0</v>
      </c>
      <c r="I6" s="117">
        <v>425640.0</v>
      </c>
      <c r="J6" s="117">
        <v>425121.0</v>
      </c>
      <c r="K6" s="117">
        <v>430624.0</v>
      </c>
      <c r="L6" s="117">
        <v>446188.0</v>
      </c>
      <c r="M6" s="117">
        <v>460327.0</v>
      </c>
      <c r="N6" s="117">
        <v>456417.0</v>
      </c>
      <c r="O6" s="117">
        <v>456921.0</v>
      </c>
    </row>
    <row r="7">
      <c r="A7" s="113" t="s">
        <v>323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>
      <c r="A8" s="116" t="s">
        <v>202</v>
      </c>
      <c r="B8" s="117">
        <v>475599.0</v>
      </c>
      <c r="C8" s="117">
        <v>473087.0</v>
      </c>
      <c r="D8" s="117">
        <v>465904.0</v>
      </c>
      <c r="E8" s="117">
        <v>450058.0</v>
      </c>
      <c r="F8" s="117">
        <v>432937.0</v>
      </c>
      <c r="G8" s="117">
        <v>433197.0</v>
      </c>
      <c r="H8" s="117">
        <v>427490.0</v>
      </c>
      <c r="I8" s="117">
        <v>425659.0</v>
      </c>
      <c r="J8" s="117">
        <v>432388.0</v>
      </c>
      <c r="K8" s="117">
        <v>450268.0</v>
      </c>
      <c r="L8" s="117">
        <v>464552.0</v>
      </c>
      <c r="M8" s="117">
        <v>462413.0</v>
      </c>
      <c r="N8" s="117">
        <v>466841.0</v>
      </c>
      <c r="O8" s="117">
        <v>473861.0</v>
      </c>
    </row>
    <row r="9">
      <c r="A9" s="113" t="s">
        <v>324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5"/>
    </row>
    <row r="10">
      <c r="A10" s="116" t="s">
        <v>202</v>
      </c>
      <c r="B10" s="117">
        <v>479899.0</v>
      </c>
      <c r="C10" s="117">
        <v>478303.0</v>
      </c>
      <c r="D10" s="117">
        <v>459980.0</v>
      </c>
      <c r="E10" s="117">
        <v>440381.0</v>
      </c>
      <c r="F10" s="117">
        <v>438141.0</v>
      </c>
      <c r="G10" s="117">
        <v>430800.0</v>
      </c>
      <c r="H10" s="117">
        <v>427864.0</v>
      </c>
      <c r="I10" s="117">
        <v>432651.0</v>
      </c>
      <c r="J10" s="117">
        <v>451867.0</v>
      </c>
      <c r="K10" s="117">
        <v>468595.0</v>
      </c>
      <c r="L10" s="117">
        <v>466680.0</v>
      </c>
      <c r="M10" s="117">
        <v>472476.0</v>
      </c>
      <c r="N10" s="117">
        <v>484268.0</v>
      </c>
      <c r="O10" s="117">
        <v>490892.0</v>
      </c>
    </row>
    <row r="11">
      <c r="A11" s="113" t="s">
        <v>325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5"/>
    </row>
    <row r="12">
      <c r="A12" s="116" t="s">
        <v>202</v>
      </c>
      <c r="B12" s="117">
        <v>484826.0</v>
      </c>
      <c r="C12" s="117">
        <v>472617.0</v>
      </c>
      <c r="D12" s="117">
        <v>450576.0</v>
      </c>
      <c r="E12" s="117">
        <v>446030.0</v>
      </c>
      <c r="F12" s="117">
        <v>436120.0</v>
      </c>
      <c r="G12" s="117">
        <v>431466.0</v>
      </c>
      <c r="H12" s="117">
        <v>435372.0</v>
      </c>
      <c r="I12" s="117">
        <v>451986.0</v>
      </c>
      <c r="J12" s="117">
        <v>470394.0</v>
      </c>
      <c r="K12" s="117">
        <v>471225.0</v>
      </c>
      <c r="L12" s="117">
        <v>477383.0</v>
      </c>
      <c r="M12" s="117">
        <v>489986.0</v>
      </c>
      <c r="N12" s="117">
        <v>502909.0</v>
      </c>
      <c r="O12" s="117">
        <v>508932.0</v>
      </c>
    </row>
    <row r="13">
      <c r="A13" s="113" t="s">
        <v>326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5"/>
    </row>
    <row r="14">
      <c r="A14" s="116" t="s">
        <v>202</v>
      </c>
      <c r="B14" s="117">
        <v>479235.0</v>
      </c>
      <c r="C14" s="117">
        <v>463583.0</v>
      </c>
      <c r="D14" s="117">
        <v>456985.0</v>
      </c>
      <c r="E14" s="117">
        <v>444295.0</v>
      </c>
      <c r="F14" s="117">
        <v>436451.0</v>
      </c>
      <c r="G14" s="117">
        <v>438875.0</v>
      </c>
      <c r="H14" s="117">
        <v>454362.0</v>
      </c>
      <c r="I14" s="117">
        <v>470141.0</v>
      </c>
      <c r="J14" s="117">
        <v>472821.0</v>
      </c>
      <c r="K14" s="117">
        <v>482020.0</v>
      </c>
      <c r="L14" s="117">
        <v>495028.0</v>
      </c>
      <c r="M14" s="117">
        <v>508399.0</v>
      </c>
      <c r="N14" s="117">
        <v>521793.0</v>
      </c>
      <c r="O14" s="117">
        <v>531806.0</v>
      </c>
    </row>
    <row r="15">
      <c r="A15" s="113" t="s">
        <v>327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5"/>
    </row>
    <row r="16">
      <c r="A16" s="116" t="s">
        <v>202</v>
      </c>
      <c r="B16" s="117">
        <v>470814.0</v>
      </c>
      <c r="C16" s="117">
        <v>471089.0</v>
      </c>
      <c r="D16" s="117">
        <v>456132.0</v>
      </c>
      <c r="E16" s="117">
        <v>445250.0</v>
      </c>
      <c r="F16" s="117">
        <v>444002.0</v>
      </c>
      <c r="G16" s="117">
        <v>457815.0</v>
      </c>
      <c r="H16" s="117">
        <v>472175.0</v>
      </c>
      <c r="I16" s="117">
        <v>471980.0</v>
      </c>
      <c r="J16" s="117">
        <v>483688.0</v>
      </c>
      <c r="K16" s="117">
        <v>499445.0</v>
      </c>
      <c r="L16" s="117">
        <v>512591.0</v>
      </c>
      <c r="M16" s="117">
        <v>526665.0</v>
      </c>
      <c r="N16" s="117">
        <v>545265.0</v>
      </c>
      <c r="O16" s="117">
        <v>560746.0</v>
      </c>
    </row>
    <row r="17">
      <c r="A17" s="113" t="s">
        <v>328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5"/>
    </row>
    <row r="18">
      <c r="A18" s="116" t="s">
        <v>202</v>
      </c>
      <c r="B18" s="117">
        <v>479127.0</v>
      </c>
      <c r="C18" s="117">
        <v>470963.0</v>
      </c>
      <c r="D18" s="117">
        <v>458095.0</v>
      </c>
      <c r="E18" s="117">
        <v>453268.0</v>
      </c>
      <c r="F18" s="117">
        <v>463278.0</v>
      </c>
      <c r="G18" s="117">
        <v>475744.0</v>
      </c>
      <c r="H18" s="117">
        <v>473647.0</v>
      </c>
      <c r="I18" s="117">
        <v>482902.0</v>
      </c>
      <c r="J18" s="117">
        <v>500067.0</v>
      </c>
      <c r="K18" s="117">
        <v>516940.0</v>
      </c>
      <c r="L18" s="117">
        <v>530195.0</v>
      </c>
      <c r="M18" s="117">
        <v>550031.0</v>
      </c>
      <c r="N18" s="117">
        <v>574630.0</v>
      </c>
      <c r="O18" s="117">
        <v>591803.0</v>
      </c>
    </row>
    <row r="19">
      <c r="A19" s="113" t="s">
        <v>329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5"/>
    </row>
    <row r="20">
      <c r="A20" s="116" t="s">
        <v>202</v>
      </c>
      <c r="B20" s="117">
        <v>478741.0</v>
      </c>
      <c r="C20" s="117">
        <v>473933.0</v>
      </c>
      <c r="D20" s="117">
        <v>466534.0</v>
      </c>
      <c r="E20" s="117">
        <v>472637.0</v>
      </c>
      <c r="F20" s="117">
        <v>481100.0</v>
      </c>
      <c r="G20" s="117">
        <v>476731.0</v>
      </c>
      <c r="H20" s="117">
        <v>483744.0</v>
      </c>
      <c r="I20" s="117">
        <v>497608.0</v>
      </c>
      <c r="J20" s="117">
        <v>516666.0</v>
      </c>
      <c r="K20" s="117">
        <v>534183.0</v>
      </c>
      <c r="L20" s="117">
        <v>553069.0</v>
      </c>
      <c r="M20" s="117">
        <v>578952.0</v>
      </c>
      <c r="N20" s="117">
        <v>606204.0</v>
      </c>
      <c r="O20" s="117">
        <v>620074.0</v>
      </c>
    </row>
    <row r="21">
      <c r="A21" s="113" t="s">
        <v>330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5"/>
    </row>
    <row r="22">
      <c r="A22" s="116" t="s">
        <v>202</v>
      </c>
      <c r="B22" s="117">
        <v>481786.0</v>
      </c>
      <c r="C22" s="117">
        <v>482656.0</v>
      </c>
      <c r="D22" s="117">
        <v>486069.0</v>
      </c>
      <c r="E22" s="117">
        <v>490287.0</v>
      </c>
      <c r="F22" s="117">
        <v>481884.0</v>
      </c>
      <c r="G22" s="117">
        <v>486560.0</v>
      </c>
      <c r="H22" s="117">
        <v>497427.0</v>
      </c>
      <c r="I22" s="117">
        <v>512336.0</v>
      </c>
      <c r="J22" s="117">
        <v>532641.0</v>
      </c>
      <c r="K22" s="117">
        <v>555641.0</v>
      </c>
      <c r="L22" s="117">
        <v>580841.0</v>
      </c>
      <c r="M22" s="117">
        <v>609717.0</v>
      </c>
      <c r="N22" s="117">
        <v>634832.0</v>
      </c>
      <c r="O22" s="117">
        <v>665323.0</v>
      </c>
    </row>
    <row r="23">
      <c r="A23" s="113" t="s">
        <v>331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5"/>
    </row>
    <row r="24">
      <c r="A24" s="116" t="s">
        <v>202</v>
      </c>
      <c r="B24" s="117">
        <v>490995.0</v>
      </c>
      <c r="C24" s="117">
        <v>501906.0</v>
      </c>
      <c r="D24" s="117">
        <v>503479.0</v>
      </c>
      <c r="E24" s="117">
        <v>490686.0</v>
      </c>
      <c r="F24" s="117">
        <v>491431.0</v>
      </c>
      <c r="G24" s="117">
        <v>499355.0</v>
      </c>
      <c r="H24" s="117">
        <v>511372.0</v>
      </c>
      <c r="I24" s="117">
        <v>526425.0</v>
      </c>
      <c r="J24" s="117">
        <v>552538.0</v>
      </c>
      <c r="K24" s="117">
        <v>582468.0</v>
      </c>
      <c r="L24" s="117">
        <v>610791.0</v>
      </c>
      <c r="M24" s="117">
        <v>637615.0</v>
      </c>
      <c r="N24" s="117">
        <v>679559.0</v>
      </c>
      <c r="O24" s="117">
        <v>702790.0</v>
      </c>
    </row>
    <row r="25">
      <c r="A25" s="113" t="s">
        <v>332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5"/>
    </row>
    <row r="26">
      <c r="A26" s="116" t="s">
        <v>202</v>
      </c>
      <c r="B26" s="117">
        <v>509795.0</v>
      </c>
      <c r="C26" s="117">
        <v>518448.0</v>
      </c>
      <c r="D26" s="117">
        <v>502782.0</v>
      </c>
      <c r="E26" s="117">
        <v>499610.0</v>
      </c>
      <c r="F26" s="117">
        <v>503384.0</v>
      </c>
      <c r="G26" s="117">
        <v>512283.0</v>
      </c>
      <c r="H26" s="117">
        <v>524168.0</v>
      </c>
      <c r="I26" s="117">
        <v>545447.0</v>
      </c>
      <c r="J26" s="117">
        <v>577925.0</v>
      </c>
      <c r="K26" s="117">
        <v>611131.0</v>
      </c>
      <c r="L26" s="117">
        <v>637917.0</v>
      </c>
      <c r="M26" s="117">
        <v>681833.0</v>
      </c>
      <c r="N26" s="117">
        <v>715830.0</v>
      </c>
      <c r="O26" s="117">
        <v>743321.0</v>
      </c>
    </row>
    <row r="27">
      <c r="A27" s="113" t="s">
        <v>333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5"/>
    </row>
    <row r="28">
      <c r="A28" s="116" t="s">
        <v>202</v>
      </c>
      <c r="B28" s="117">
        <v>525859.0</v>
      </c>
      <c r="C28" s="117">
        <v>516822.0</v>
      </c>
      <c r="D28" s="117">
        <v>511490.0</v>
      </c>
      <c r="E28" s="117">
        <v>510399.0</v>
      </c>
      <c r="F28" s="117">
        <v>515550.0</v>
      </c>
      <c r="G28" s="117">
        <v>524106.0</v>
      </c>
      <c r="H28" s="117">
        <v>542542.0</v>
      </c>
      <c r="I28" s="117">
        <v>568986.0</v>
      </c>
      <c r="J28" s="117">
        <v>605871.0</v>
      </c>
      <c r="K28" s="117">
        <v>637173.0</v>
      </c>
      <c r="L28" s="117">
        <v>681192.0</v>
      </c>
      <c r="M28" s="117">
        <v>716715.0</v>
      </c>
      <c r="N28" s="117">
        <v>755908.0</v>
      </c>
      <c r="O28" s="117">
        <v>768771.0</v>
      </c>
    </row>
    <row r="29">
      <c r="A29" s="113" t="s">
        <v>334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5"/>
    </row>
    <row r="30">
      <c r="A30" s="116" t="s">
        <v>202</v>
      </c>
      <c r="B30" s="117">
        <v>523425.0</v>
      </c>
      <c r="C30" s="117">
        <v>525148.0</v>
      </c>
      <c r="D30" s="117">
        <v>521300.0</v>
      </c>
      <c r="E30" s="117">
        <v>521362.0</v>
      </c>
      <c r="F30" s="117">
        <v>526519.0</v>
      </c>
      <c r="G30" s="117">
        <v>541862.0</v>
      </c>
      <c r="H30" s="117">
        <v>564831.0</v>
      </c>
      <c r="I30" s="117">
        <v>596114.0</v>
      </c>
      <c r="J30" s="117">
        <v>630659.0</v>
      </c>
      <c r="K30" s="117">
        <v>679501.0</v>
      </c>
      <c r="L30" s="117">
        <v>715183.0</v>
      </c>
      <c r="M30" s="117">
        <v>756407.0</v>
      </c>
      <c r="N30" s="117">
        <v>780100.0</v>
      </c>
      <c r="O30" s="117">
        <v>805977.0</v>
      </c>
    </row>
    <row r="31">
      <c r="A31" s="113" t="s">
        <v>335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5"/>
    </row>
    <row r="32">
      <c r="A32" s="116" t="s">
        <v>202</v>
      </c>
      <c r="B32" s="117">
        <v>531524.0</v>
      </c>
      <c r="C32" s="117">
        <v>533950.0</v>
      </c>
      <c r="D32" s="117">
        <v>531765.0</v>
      </c>
      <c r="E32" s="117">
        <v>531498.0</v>
      </c>
      <c r="F32" s="117">
        <v>543363.0</v>
      </c>
      <c r="G32" s="117">
        <v>563692.0</v>
      </c>
      <c r="H32" s="117">
        <v>591237.0</v>
      </c>
      <c r="I32" s="117">
        <v>619820.0</v>
      </c>
      <c r="J32" s="117">
        <v>671705.0</v>
      </c>
      <c r="K32" s="117">
        <v>712602.0</v>
      </c>
      <c r="L32" s="117">
        <v>754073.0</v>
      </c>
      <c r="M32" s="117">
        <v>779876.0</v>
      </c>
      <c r="N32" s="117">
        <v>816375.0</v>
      </c>
      <c r="O32" s="117">
        <v>817295.0</v>
      </c>
    </row>
    <row r="33">
      <c r="A33" s="113" t="s">
        <v>336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5"/>
    </row>
    <row r="34">
      <c r="A34" s="116" t="s">
        <v>202</v>
      </c>
      <c r="B34" s="117">
        <v>539727.0</v>
      </c>
      <c r="C34" s="117">
        <v>543687.0</v>
      </c>
      <c r="D34" s="117">
        <v>540556.0</v>
      </c>
      <c r="E34" s="117">
        <v>547399.0</v>
      </c>
      <c r="F34" s="117">
        <v>564834.0</v>
      </c>
      <c r="G34" s="117">
        <v>589301.0</v>
      </c>
      <c r="H34" s="117">
        <v>614534.0</v>
      </c>
      <c r="I34" s="117">
        <v>660077.0</v>
      </c>
      <c r="J34" s="117">
        <v>704229.0</v>
      </c>
      <c r="K34" s="117">
        <v>750842.0</v>
      </c>
      <c r="L34" s="117">
        <v>777432.0</v>
      </c>
      <c r="M34" s="117">
        <v>816109.0</v>
      </c>
      <c r="N34" s="117">
        <v>827314.0</v>
      </c>
      <c r="O34" s="117">
        <v>833065.0</v>
      </c>
    </row>
    <row r="35">
      <c r="A35" s="113" t="s">
        <v>337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5"/>
    </row>
    <row r="36">
      <c r="A36" s="116" t="s">
        <v>202</v>
      </c>
      <c r="B36" s="117">
        <v>549064.0</v>
      </c>
      <c r="C36" s="117">
        <v>551101.0</v>
      </c>
      <c r="D36" s="117">
        <v>555248.0</v>
      </c>
      <c r="E36" s="117">
        <v>567973.0</v>
      </c>
      <c r="F36" s="117">
        <v>589999.0</v>
      </c>
      <c r="G36" s="117">
        <v>612556.0</v>
      </c>
      <c r="H36" s="117">
        <v>654107.0</v>
      </c>
      <c r="I36" s="117">
        <v>692695.0</v>
      </c>
      <c r="J36" s="117">
        <v>742007.0</v>
      </c>
      <c r="K36" s="117">
        <v>774154.0</v>
      </c>
      <c r="L36" s="117">
        <v>813589.0</v>
      </c>
      <c r="M36" s="117">
        <v>827030.0</v>
      </c>
      <c r="N36" s="117">
        <v>841948.0</v>
      </c>
      <c r="O36" s="117">
        <v>826739.0</v>
      </c>
    </row>
    <row r="37">
      <c r="A37" s="113" t="s">
        <v>338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5"/>
    </row>
    <row r="38">
      <c r="A38" s="116" t="s">
        <v>202</v>
      </c>
      <c r="B38" s="117">
        <v>555941.0</v>
      </c>
      <c r="C38" s="117">
        <v>564847.0</v>
      </c>
      <c r="D38" s="117">
        <v>575250.0</v>
      </c>
      <c r="E38" s="117">
        <v>592465.0</v>
      </c>
      <c r="F38" s="117">
        <v>612505.0</v>
      </c>
      <c r="G38" s="117">
        <v>651483.0</v>
      </c>
      <c r="H38" s="117">
        <v>686418.0</v>
      </c>
      <c r="I38" s="117">
        <v>729807.0</v>
      </c>
      <c r="J38" s="117">
        <v>765298.0</v>
      </c>
      <c r="K38" s="117">
        <v>810101.0</v>
      </c>
      <c r="L38" s="117">
        <v>824679.0</v>
      </c>
      <c r="M38" s="117">
        <v>841399.0</v>
      </c>
      <c r="N38" s="117">
        <v>835058.0</v>
      </c>
      <c r="O38" s="117">
        <v>819874.0</v>
      </c>
    </row>
    <row r="39">
      <c r="A39" s="113" t="s">
        <v>339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5"/>
    </row>
    <row r="40">
      <c r="A40" s="116" t="s">
        <v>202</v>
      </c>
      <c r="B40" s="117">
        <v>569339.0</v>
      </c>
      <c r="C40" s="117">
        <v>584670.0</v>
      </c>
      <c r="D40" s="117">
        <v>598839.0</v>
      </c>
      <c r="E40" s="117">
        <v>614076.0</v>
      </c>
      <c r="F40" s="117">
        <v>651081.0</v>
      </c>
      <c r="G40" s="117">
        <v>683371.0</v>
      </c>
      <c r="H40" s="117">
        <v>723568.0</v>
      </c>
      <c r="I40" s="117">
        <v>753808.0</v>
      </c>
      <c r="J40" s="117">
        <v>801539.0</v>
      </c>
      <c r="K40" s="117">
        <v>821756.0</v>
      </c>
      <c r="L40" s="117">
        <v>839112.0</v>
      </c>
      <c r="M40" s="117">
        <v>834602.0</v>
      </c>
      <c r="N40" s="117">
        <v>827876.0</v>
      </c>
      <c r="O40" s="117">
        <v>798412.0</v>
      </c>
    </row>
    <row r="41">
      <c r="A41" s="113" t="s">
        <v>340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5"/>
    </row>
    <row r="42">
      <c r="A42" s="116" t="s">
        <v>202</v>
      </c>
      <c r="B42" s="117">
        <v>588701.0</v>
      </c>
      <c r="C42" s="117">
        <v>607641.0</v>
      </c>
      <c r="D42" s="117">
        <v>619900.0</v>
      </c>
      <c r="E42" s="117">
        <v>652184.0</v>
      </c>
      <c r="F42" s="117">
        <v>682740.0</v>
      </c>
      <c r="G42" s="117">
        <v>720138.0</v>
      </c>
      <c r="H42" s="117">
        <v>747765.0</v>
      </c>
      <c r="I42" s="117">
        <v>790450.0</v>
      </c>
      <c r="J42" s="117">
        <v>813391.0</v>
      </c>
      <c r="K42" s="117">
        <v>836295.0</v>
      </c>
      <c r="L42" s="117">
        <v>832656.0</v>
      </c>
      <c r="M42" s="117">
        <v>827660.0</v>
      </c>
      <c r="N42" s="117">
        <v>805522.0</v>
      </c>
      <c r="O42" s="117">
        <v>794162.0</v>
      </c>
    </row>
    <row r="43">
      <c r="A43" s="113" t="s">
        <v>341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5"/>
    </row>
    <row r="44">
      <c r="A44" s="116" t="s">
        <v>202</v>
      </c>
      <c r="B44" s="117">
        <v>611355.0</v>
      </c>
      <c r="C44" s="117">
        <v>627818.0</v>
      </c>
      <c r="D44" s="117">
        <v>657414.0</v>
      </c>
      <c r="E44" s="117">
        <v>683915.0</v>
      </c>
      <c r="F44" s="117">
        <v>719426.0</v>
      </c>
      <c r="G44" s="117">
        <v>744486.0</v>
      </c>
      <c r="H44" s="117">
        <v>784375.0</v>
      </c>
      <c r="I44" s="117">
        <v>803226.0</v>
      </c>
      <c r="J44" s="117">
        <v>828438.0</v>
      </c>
      <c r="K44" s="117">
        <v>830179.0</v>
      </c>
      <c r="L44" s="117">
        <v>826070.0</v>
      </c>
      <c r="M44" s="117">
        <v>805443.0</v>
      </c>
      <c r="N44" s="117">
        <v>801264.0</v>
      </c>
      <c r="O44" s="117">
        <v>779757.0</v>
      </c>
    </row>
    <row r="45">
      <c r="A45" s="113" t="s">
        <v>342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5"/>
    </row>
    <row r="46">
      <c r="A46" s="116" t="s">
        <v>202</v>
      </c>
      <c r="B46" s="117">
        <v>631354.0</v>
      </c>
      <c r="C46" s="117">
        <v>664689.0</v>
      </c>
      <c r="D46" s="117">
        <v>688728.0</v>
      </c>
      <c r="E46" s="117">
        <v>719483.0</v>
      </c>
      <c r="F46" s="117">
        <v>743418.0</v>
      </c>
      <c r="G46" s="117">
        <v>781077.0</v>
      </c>
      <c r="H46" s="117">
        <v>797240.0</v>
      </c>
      <c r="I46" s="117">
        <v>818131.0</v>
      </c>
      <c r="J46" s="117">
        <v>822596.0</v>
      </c>
      <c r="K46" s="117">
        <v>823813.0</v>
      </c>
      <c r="L46" s="117">
        <v>804343.0</v>
      </c>
      <c r="M46" s="117">
        <v>801500.0</v>
      </c>
      <c r="N46" s="117">
        <v>786314.0</v>
      </c>
      <c r="O46" s="117">
        <v>770936.0</v>
      </c>
    </row>
    <row r="47">
      <c r="A47" s="113" t="s">
        <v>343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5"/>
    </row>
    <row r="48">
      <c r="A48" s="116" t="s">
        <v>202</v>
      </c>
      <c r="B48" s="117">
        <v>667524.0</v>
      </c>
      <c r="C48" s="117">
        <v>695162.0</v>
      </c>
      <c r="D48" s="117">
        <v>723779.0</v>
      </c>
      <c r="E48" s="117">
        <v>743063.0</v>
      </c>
      <c r="F48" s="117">
        <v>779647.0</v>
      </c>
      <c r="G48" s="117">
        <v>793895.0</v>
      </c>
      <c r="H48" s="117">
        <v>812507.0</v>
      </c>
      <c r="I48" s="117">
        <v>813313.0</v>
      </c>
      <c r="J48" s="117">
        <v>816751.0</v>
      </c>
      <c r="K48" s="117">
        <v>802219.0</v>
      </c>
      <c r="L48" s="117">
        <v>800305.0</v>
      </c>
      <c r="M48" s="117">
        <v>786488.0</v>
      </c>
      <c r="N48" s="117">
        <v>777261.0</v>
      </c>
      <c r="O48" s="117">
        <v>760709.0</v>
      </c>
    </row>
    <row r="49">
      <c r="A49" s="113" t="s">
        <v>344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5"/>
    </row>
    <row r="50">
      <c r="A50" s="116" t="s">
        <v>202</v>
      </c>
      <c r="B50" s="117">
        <v>697491.0</v>
      </c>
      <c r="C50" s="117">
        <v>729756.0</v>
      </c>
      <c r="D50" s="117">
        <v>746584.0</v>
      </c>
      <c r="E50" s="117">
        <v>779063.0</v>
      </c>
      <c r="F50" s="117">
        <v>792207.0</v>
      </c>
      <c r="G50" s="117">
        <v>809423.0</v>
      </c>
      <c r="H50" s="117">
        <v>807903.0</v>
      </c>
      <c r="I50" s="117">
        <v>807650.0</v>
      </c>
      <c r="J50" s="117">
        <v>795946.0</v>
      </c>
      <c r="K50" s="117">
        <v>798714.0</v>
      </c>
      <c r="L50" s="117">
        <v>785994.0</v>
      </c>
      <c r="M50" s="117">
        <v>777182.0</v>
      </c>
      <c r="N50" s="117">
        <v>766951.0</v>
      </c>
      <c r="O50" s="117">
        <v>755776.0</v>
      </c>
    </row>
    <row r="51">
      <c r="A51" s="113" t="s">
        <v>345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5"/>
    </row>
    <row r="52">
      <c r="A52" s="116" t="s">
        <v>202</v>
      </c>
      <c r="B52" s="117">
        <v>731583.0</v>
      </c>
      <c r="C52" s="117">
        <v>752122.0</v>
      </c>
      <c r="D52" s="117">
        <v>781887.0</v>
      </c>
      <c r="E52" s="117">
        <v>791391.0</v>
      </c>
      <c r="F52" s="117">
        <v>807675.0</v>
      </c>
      <c r="G52" s="117">
        <v>804458.0</v>
      </c>
      <c r="H52" s="117">
        <v>802552.0</v>
      </c>
      <c r="I52" s="117">
        <v>787984.0</v>
      </c>
      <c r="J52" s="117">
        <v>792697.0</v>
      </c>
      <c r="K52" s="117">
        <v>784673.0</v>
      </c>
      <c r="L52" s="117">
        <v>776261.0</v>
      </c>
      <c r="M52" s="117">
        <v>767256.0</v>
      </c>
      <c r="N52" s="117">
        <v>761227.0</v>
      </c>
      <c r="O52" s="117">
        <v>757738.0</v>
      </c>
    </row>
    <row r="53">
      <c r="A53" s="113" t="s">
        <v>346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5"/>
    </row>
    <row r="54">
      <c r="A54" s="116" t="s">
        <v>202</v>
      </c>
      <c r="B54" s="117">
        <v>753756.0</v>
      </c>
      <c r="C54" s="117">
        <v>786642.0</v>
      </c>
      <c r="D54" s="117">
        <v>793569.0</v>
      </c>
      <c r="E54" s="117">
        <v>806703.0</v>
      </c>
      <c r="F54" s="117">
        <v>802657.0</v>
      </c>
      <c r="G54" s="117">
        <v>799101.0</v>
      </c>
      <c r="H54" s="117">
        <v>783092.0</v>
      </c>
      <c r="I54" s="117">
        <v>784778.0</v>
      </c>
      <c r="J54" s="117">
        <v>778723.0</v>
      </c>
      <c r="K54" s="117">
        <v>774613.0</v>
      </c>
      <c r="L54" s="117">
        <v>766630.0</v>
      </c>
      <c r="M54" s="117">
        <v>761391.0</v>
      </c>
      <c r="N54" s="117">
        <v>762945.0</v>
      </c>
      <c r="O54" s="117">
        <v>737540.0</v>
      </c>
    </row>
    <row r="55">
      <c r="A55" s="113" t="s">
        <v>347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5"/>
    </row>
    <row r="56">
      <c r="A56" s="116" t="s">
        <v>202</v>
      </c>
      <c r="B56" s="117">
        <v>787915.0</v>
      </c>
      <c r="C56" s="117">
        <v>797598.0</v>
      </c>
      <c r="D56" s="117">
        <v>808540.0</v>
      </c>
      <c r="E56" s="117">
        <v>801367.0</v>
      </c>
      <c r="F56" s="117">
        <v>797398.0</v>
      </c>
      <c r="G56" s="117">
        <v>779976.0</v>
      </c>
      <c r="H56" s="117">
        <v>780073.0</v>
      </c>
      <c r="I56" s="117">
        <v>771101.0</v>
      </c>
      <c r="J56" s="117">
        <v>768529.0</v>
      </c>
      <c r="K56" s="117">
        <v>765406.0</v>
      </c>
      <c r="L56" s="117">
        <v>760698.0</v>
      </c>
      <c r="M56" s="117">
        <v>763192.0</v>
      </c>
      <c r="N56" s="117">
        <v>742486.0</v>
      </c>
      <c r="O56" s="117">
        <v>732263.0</v>
      </c>
    </row>
    <row r="57">
      <c r="A57" s="113" t="s">
        <v>348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5"/>
    </row>
    <row r="58">
      <c r="A58" s="116" t="s">
        <v>202</v>
      </c>
      <c r="B58" s="117">
        <v>798493.0</v>
      </c>
      <c r="C58" s="117">
        <v>812288.0</v>
      </c>
      <c r="D58" s="117">
        <v>802933.0</v>
      </c>
      <c r="E58" s="117">
        <v>796217.0</v>
      </c>
      <c r="F58" s="117">
        <v>778184.0</v>
      </c>
      <c r="G58" s="117">
        <v>776896.0</v>
      </c>
      <c r="H58" s="117">
        <v>767033.0</v>
      </c>
      <c r="I58" s="117">
        <v>761184.0</v>
      </c>
      <c r="J58" s="117">
        <v>760504.0</v>
      </c>
      <c r="K58" s="117">
        <v>759411.0</v>
      </c>
      <c r="L58" s="117">
        <v>762814.0</v>
      </c>
      <c r="M58" s="117">
        <v>742499.0</v>
      </c>
      <c r="N58" s="117">
        <v>736507.0</v>
      </c>
      <c r="O58" s="117">
        <v>741793.0</v>
      </c>
    </row>
    <row r="59">
      <c r="A59" s="113" t="s">
        <v>349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5"/>
    </row>
    <row r="60">
      <c r="A60" s="116" t="s">
        <v>202</v>
      </c>
      <c r="B60" s="117">
        <v>813006.0</v>
      </c>
      <c r="C60" s="117">
        <v>806337.0</v>
      </c>
      <c r="D60" s="117">
        <v>797650.0</v>
      </c>
      <c r="E60" s="117">
        <v>776946.0</v>
      </c>
      <c r="F60" s="117">
        <v>775195.0</v>
      </c>
      <c r="G60" s="117">
        <v>764383.0</v>
      </c>
      <c r="H60" s="117">
        <v>756918.0</v>
      </c>
      <c r="I60" s="117">
        <v>753772.0</v>
      </c>
      <c r="J60" s="117">
        <v>754216.0</v>
      </c>
      <c r="K60" s="117">
        <v>761985.0</v>
      </c>
      <c r="L60" s="117">
        <v>741819.0</v>
      </c>
      <c r="M60" s="117">
        <v>736719.0</v>
      </c>
      <c r="N60" s="117">
        <v>745555.0</v>
      </c>
      <c r="O60" s="117">
        <v>705996.0</v>
      </c>
    </row>
    <row r="61">
      <c r="A61" s="113" t="s">
        <v>350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5"/>
    </row>
    <row r="62">
      <c r="A62" s="116" t="s">
        <v>202</v>
      </c>
      <c r="B62" s="117">
        <v>806858.0</v>
      </c>
      <c r="C62" s="117">
        <v>800583.0</v>
      </c>
      <c r="D62" s="117">
        <v>778172.0</v>
      </c>
      <c r="E62" s="117">
        <v>773827.0</v>
      </c>
      <c r="F62" s="117">
        <v>762919.0</v>
      </c>
      <c r="G62" s="117">
        <v>754164.0</v>
      </c>
      <c r="H62" s="117">
        <v>749697.0</v>
      </c>
      <c r="I62" s="117">
        <v>747544.0</v>
      </c>
      <c r="J62" s="117">
        <v>757201.0</v>
      </c>
      <c r="K62" s="117">
        <v>741083.0</v>
      </c>
      <c r="L62" s="117">
        <v>736245.0</v>
      </c>
      <c r="M62" s="117">
        <v>745554.0</v>
      </c>
      <c r="N62" s="117">
        <v>709317.0</v>
      </c>
      <c r="O62" s="117">
        <v>682709.0</v>
      </c>
    </row>
    <row r="63">
      <c r="A63" s="113" t="s">
        <v>351</v>
      </c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5"/>
    </row>
    <row r="64">
      <c r="A64" s="116" t="s">
        <v>202</v>
      </c>
      <c r="B64" s="117">
        <v>800955.0</v>
      </c>
      <c r="C64" s="117">
        <v>781321.0</v>
      </c>
      <c r="D64" s="117">
        <v>774964.0</v>
      </c>
      <c r="E64" s="117">
        <v>761823.0</v>
      </c>
      <c r="F64" s="117">
        <v>752551.0</v>
      </c>
      <c r="G64" s="117">
        <v>747038.0</v>
      </c>
      <c r="H64" s="117">
        <v>743748.0</v>
      </c>
      <c r="I64" s="117">
        <v>751120.0</v>
      </c>
      <c r="J64" s="117">
        <v>736754.0</v>
      </c>
      <c r="K64" s="117">
        <v>735175.0</v>
      </c>
      <c r="L64" s="117">
        <v>744772.0</v>
      </c>
      <c r="M64" s="117">
        <v>709163.0</v>
      </c>
      <c r="N64" s="117">
        <v>685698.0</v>
      </c>
      <c r="O64" s="117">
        <v>666103.0</v>
      </c>
    </row>
    <row r="65">
      <c r="A65" s="113" t="s">
        <v>352</v>
      </c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5"/>
    </row>
    <row r="66">
      <c r="A66" s="116" t="s">
        <v>202</v>
      </c>
      <c r="B66" s="117">
        <v>781401.0</v>
      </c>
      <c r="C66" s="117">
        <v>777430.0</v>
      </c>
      <c r="D66" s="117">
        <v>762816.0</v>
      </c>
      <c r="E66" s="117">
        <v>751157.0</v>
      </c>
      <c r="F66" s="117">
        <v>745362.0</v>
      </c>
      <c r="G66" s="117">
        <v>741080.0</v>
      </c>
      <c r="H66" s="117">
        <v>747478.0</v>
      </c>
      <c r="I66" s="117">
        <v>731380.0</v>
      </c>
      <c r="J66" s="117">
        <v>730876.0</v>
      </c>
      <c r="K66" s="117">
        <v>743771.0</v>
      </c>
      <c r="L66" s="117">
        <v>708414.0</v>
      </c>
      <c r="M66" s="117">
        <v>685159.0</v>
      </c>
      <c r="N66" s="117">
        <v>668816.0</v>
      </c>
      <c r="O66" s="117">
        <v>670207.0</v>
      </c>
    </row>
    <row r="67">
      <c r="A67" s="113" t="s">
        <v>353</v>
      </c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5"/>
    </row>
    <row r="68">
      <c r="A68" s="118" t="s">
        <v>202</v>
      </c>
      <c r="B68" s="119">
        <v>777614.0</v>
      </c>
      <c r="C68" s="119">
        <v>765337.0</v>
      </c>
      <c r="D68" s="119">
        <v>751902.0</v>
      </c>
      <c r="E68" s="119">
        <v>743754.0</v>
      </c>
      <c r="F68" s="119">
        <v>739230.0</v>
      </c>
      <c r="G68" s="119">
        <v>744857.0</v>
      </c>
      <c r="H68" s="119">
        <v>727995.0</v>
      </c>
      <c r="I68" s="119">
        <v>725474.0</v>
      </c>
      <c r="J68" s="119">
        <v>739629.0</v>
      </c>
      <c r="K68" s="119">
        <v>707417.0</v>
      </c>
      <c r="L68" s="119">
        <v>684501.0</v>
      </c>
      <c r="M68" s="119">
        <v>668402.0</v>
      </c>
      <c r="N68" s="119">
        <v>672438.0</v>
      </c>
      <c r="O68" s="119">
        <v>651363.0</v>
      </c>
    </row>
    <row r="69">
      <c r="A69" s="113" t="s">
        <v>354</v>
      </c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1"/>
    </row>
    <row r="70">
      <c r="A70" s="122" t="s">
        <v>202</v>
      </c>
      <c r="B70" s="123">
        <v>765224.0</v>
      </c>
      <c r="C70" s="123">
        <v>753958.0</v>
      </c>
      <c r="D70" s="123">
        <v>744286.0</v>
      </c>
      <c r="E70" s="123">
        <v>737294.0</v>
      </c>
      <c r="F70" s="123">
        <v>743032.0</v>
      </c>
      <c r="G70" s="123">
        <v>725755.0</v>
      </c>
      <c r="H70" s="123">
        <v>722090.0</v>
      </c>
      <c r="I70" s="123">
        <v>734348.0</v>
      </c>
      <c r="J70" s="123">
        <v>703717.0</v>
      </c>
      <c r="K70" s="123">
        <v>683535.0</v>
      </c>
      <c r="L70" s="123">
        <v>667591.0</v>
      </c>
      <c r="M70" s="123">
        <v>671725.0</v>
      </c>
      <c r="N70" s="123">
        <v>653314.0</v>
      </c>
      <c r="O70" s="123">
        <v>636878.0</v>
      </c>
    </row>
    <row r="71">
      <c r="A71" s="113" t="s">
        <v>355</v>
      </c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5"/>
    </row>
    <row r="72">
      <c r="A72" s="116" t="s">
        <v>202</v>
      </c>
      <c r="B72" s="117">
        <v>753583.0</v>
      </c>
      <c r="C72" s="117">
        <v>746118.0</v>
      </c>
      <c r="D72" s="117">
        <v>737469.0</v>
      </c>
      <c r="E72" s="117">
        <v>741197.0</v>
      </c>
      <c r="F72" s="117">
        <v>724119.0</v>
      </c>
      <c r="G72" s="117">
        <v>719688.0</v>
      </c>
      <c r="H72" s="117">
        <v>730731.0</v>
      </c>
      <c r="I72" s="117">
        <v>698441.0</v>
      </c>
      <c r="J72" s="117">
        <v>679546.0</v>
      </c>
      <c r="K72" s="117">
        <v>666360.0</v>
      </c>
      <c r="L72" s="117">
        <v>670579.0</v>
      </c>
      <c r="M72" s="117">
        <v>652384.0</v>
      </c>
      <c r="N72" s="117">
        <v>638318.0</v>
      </c>
      <c r="O72" s="117">
        <v>620629.0</v>
      </c>
    </row>
    <row r="73">
      <c r="A73" s="113" t="s">
        <v>356</v>
      </c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5"/>
    </row>
    <row r="74">
      <c r="A74" s="116" t="s">
        <v>202</v>
      </c>
      <c r="B74" s="117">
        <v>745588.0</v>
      </c>
      <c r="C74" s="117">
        <v>738804.0</v>
      </c>
      <c r="D74" s="117">
        <v>741303.0</v>
      </c>
      <c r="E74" s="117">
        <v>722405.0</v>
      </c>
      <c r="F74" s="117">
        <v>717937.0</v>
      </c>
      <c r="G74" s="117">
        <v>728122.0</v>
      </c>
      <c r="H74" s="117">
        <v>695017.0</v>
      </c>
      <c r="I74" s="117">
        <v>674746.0</v>
      </c>
      <c r="J74" s="117">
        <v>662721.0</v>
      </c>
      <c r="K74" s="117">
        <v>669301.0</v>
      </c>
      <c r="L74" s="117">
        <v>651359.0</v>
      </c>
      <c r="M74" s="117">
        <v>637506.0</v>
      </c>
      <c r="N74" s="117">
        <v>621674.0</v>
      </c>
      <c r="O74" s="117">
        <v>579153.0</v>
      </c>
    </row>
    <row r="75">
      <c r="A75" s="113" t="s">
        <v>357</v>
      </c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5"/>
    </row>
    <row r="76">
      <c r="A76" s="116" t="s">
        <v>202</v>
      </c>
      <c r="B76" s="117">
        <v>738108.0</v>
      </c>
      <c r="C76" s="117">
        <v>742462.0</v>
      </c>
      <c r="D76" s="117">
        <v>722249.0</v>
      </c>
      <c r="E76" s="117">
        <v>716096.0</v>
      </c>
      <c r="F76" s="117">
        <v>726051.0</v>
      </c>
      <c r="G76" s="117">
        <v>692311.0</v>
      </c>
      <c r="H76" s="117">
        <v>671388.0</v>
      </c>
      <c r="I76" s="117">
        <v>658248.0</v>
      </c>
      <c r="J76" s="117">
        <v>665532.0</v>
      </c>
      <c r="K76" s="117">
        <v>650102.0</v>
      </c>
      <c r="L76" s="117">
        <v>636129.0</v>
      </c>
      <c r="M76" s="117">
        <v>620661.0</v>
      </c>
      <c r="N76" s="117">
        <v>579827.0</v>
      </c>
      <c r="O76" s="117">
        <v>561416.0</v>
      </c>
    </row>
    <row r="77">
      <c r="A77" s="113" t="s">
        <v>358</v>
      </c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5"/>
    </row>
    <row r="78">
      <c r="A78" s="116" t="s">
        <v>202</v>
      </c>
      <c r="B78" s="117">
        <v>741402.0</v>
      </c>
      <c r="C78" s="117">
        <v>723146.0</v>
      </c>
      <c r="D78" s="117">
        <v>715722.0</v>
      </c>
      <c r="E78" s="117">
        <v>724013.0</v>
      </c>
      <c r="F78" s="117">
        <v>690291.0</v>
      </c>
      <c r="G78" s="117">
        <v>668802.0</v>
      </c>
      <c r="H78" s="117">
        <v>654920.0</v>
      </c>
      <c r="I78" s="117">
        <v>660498.0</v>
      </c>
      <c r="J78" s="117">
        <v>646206.0</v>
      </c>
      <c r="K78" s="117">
        <v>634651.0</v>
      </c>
      <c r="L78" s="117">
        <v>619243.0</v>
      </c>
      <c r="M78" s="117">
        <v>578688.0</v>
      </c>
      <c r="N78" s="117">
        <v>561978.0</v>
      </c>
      <c r="O78" s="117">
        <v>535168.0</v>
      </c>
    </row>
    <row r="79">
      <c r="A79" s="113" t="s">
        <v>359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5"/>
    </row>
    <row r="80">
      <c r="A80" s="116" t="s">
        <v>202</v>
      </c>
      <c r="B80" s="117">
        <v>721870.0</v>
      </c>
      <c r="C80" s="117">
        <v>716394.0</v>
      </c>
      <c r="D80" s="117">
        <v>723344.0</v>
      </c>
      <c r="E80" s="117">
        <v>688398.0</v>
      </c>
      <c r="F80" s="117">
        <v>666591.0</v>
      </c>
      <c r="G80" s="117">
        <v>652137.0</v>
      </c>
      <c r="H80" s="117">
        <v>656942.0</v>
      </c>
      <c r="I80" s="117">
        <v>641439.0</v>
      </c>
      <c r="J80" s="117">
        <v>630954.0</v>
      </c>
      <c r="K80" s="117">
        <v>617873.0</v>
      </c>
      <c r="L80" s="117">
        <v>577214.0</v>
      </c>
      <c r="M80" s="117">
        <v>560715.0</v>
      </c>
      <c r="N80" s="117">
        <v>535368.0</v>
      </c>
      <c r="O80" s="117">
        <v>535147.0</v>
      </c>
    </row>
    <row r="81">
      <c r="A81" s="113" t="s">
        <v>360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5"/>
    </row>
    <row r="82">
      <c r="A82" s="116" t="s">
        <v>202</v>
      </c>
      <c r="B82" s="117">
        <v>715152.0</v>
      </c>
      <c r="C82" s="117">
        <v>723621.0</v>
      </c>
      <c r="D82" s="117">
        <v>687546.0</v>
      </c>
      <c r="E82" s="117">
        <v>664333.0</v>
      </c>
      <c r="F82" s="117">
        <v>649883.0</v>
      </c>
      <c r="G82" s="117">
        <v>654229.0</v>
      </c>
      <c r="H82" s="117">
        <v>637968.0</v>
      </c>
      <c r="I82" s="117">
        <v>626464.0</v>
      </c>
      <c r="J82" s="117">
        <v>614251.0</v>
      </c>
      <c r="K82" s="117">
        <v>575606.0</v>
      </c>
      <c r="L82" s="117">
        <v>559147.0</v>
      </c>
      <c r="M82" s="117">
        <v>534068.0</v>
      </c>
      <c r="N82" s="117">
        <v>535194.0</v>
      </c>
      <c r="O82" s="117">
        <v>532502.0</v>
      </c>
    </row>
    <row r="83">
      <c r="A83" s="113" t="s">
        <v>361</v>
      </c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5"/>
    </row>
    <row r="84">
      <c r="A84" s="116" t="s">
        <v>202</v>
      </c>
      <c r="B84" s="117">
        <v>722268.0</v>
      </c>
      <c r="C84" s="117">
        <v>687884.0</v>
      </c>
      <c r="D84" s="117">
        <v>663432.0</v>
      </c>
      <c r="E84" s="117">
        <v>647591.0</v>
      </c>
      <c r="F84" s="117">
        <v>652011.0</v>
      </c>
      <c r="G84" s="117">
        <v>635054.0</v>
      </c>
      <c r="H84" s="117">
        <v>622817.0</v>
      </c>
      <c r="I84" s="117">
        <v>609659.0</v>
      </c>
      <c r="J84" s="117">
        <v>572252.0</v>
      </c>
      <c r="K84" s="117">
        <v>557616.0</v>
      </c>
      <c r="L84" s="117">
        <v>532478.0</v>
      </c>
      <c r="M84" s="117">
        <v>533599.0</v>
      </c>
      <c r="N84" s="117">
        <v>532327.0</v>
      </c>
      <c r="O84" s="117">
        <v>497509.0</v>
      </c>
    </row>
    <row r="85">
      <c r="A85" s="113" t="s">
        <v>362</v>
      </c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5"/>
    </row>
    <row r="86">
      <c r="A86" s="116" t="s">
        <v>202</v>
      </c>
      <c r="B86" s="117">
        <v>686169.0</v>
      </c>
      <c r="C86" s="117">
        <v>663196.0</v>
      </c>
      <c r="D86" s="117">
        <v>646446.0</v>
      </c>
      <c r="E86" s="117">
        <v>649390.0</v>
      </c>
      <c r="F86" s="117">
        <v>632499.0</v>
      </c>
      <c r="G86" s="117">
        <v>619737.0</v>
      </c>
      <c r="H86" s="117">
        <v>606020.0</v>
      </c>
      <c r="I86" s="117">
        <v>568208.0</v>
      </c>
      <c r="J86" s="117">
        <v>553960.0</v>
      </c>
      <c r="K86" s="117">
        <v>530778.0</v>
      </c>
      <c r="L86" s="117">
        <v>531777.0</v>
      </c>
      <c r="M86" s="117">
        <v>530694.0</v>
      </c>
      <c r="N86" s="117">
        <v>497197.0</v>
      </c>
      <c r="O86" s="117">
        <v>486496.0</v>
      </c>
    </row>
    <row r="87">
      <c r="A87" s="113" t="s">
        <v>363</v>
      </c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5"/>
    </row>
    <row r="88">
      <c r="A88" s="116" t="s">
        <v>202</v>
      </c>
      <c r="B88" s="117">
        <v>661370.0</v>
      </c>
      <c r="C88" s="117">
        <v>646241.0</v>
      </c>
      <c r="D88" s="117">
        <v>647948.0</v>
      </c>
      <c r="E88" s="117">
        <v>629768.0</v>
      </c>
      <c r="F88" s="117">
        <v>617099.0</v>
      </c>
      <c r="G88" s="117">
        <v>602863.0</v>
      </c>
      <c r="H88" s="117">
        <v>565024.0</v>
      </c>
      <c r="I88" s="117">
        <v>549899.0</v>
      </c>
      <c r="J88" s="117">
        <v>527649.0</v>
      </c>
      <c r="K88" s="117">
        <v>530113.0</v>
      </c>
      <c r="L88" s="117">
        <v>528632.0</v>
      </c>
      <c r="M88" s="117">
        <v>495616.0</v>
      </c>
      <c r="N88" s="117">
        <v>486039.0</v>
      </c>
      <c r="O88" s="117">
        <v>505144.0</v>
      </c>
    </row>
    <row r="89">
      <c r="A89" s="113" t="s">
        <v>364</v>
      </c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5"/>
    </row>
    <row r="90">
      <c r="A90" s="116" t="s">
        <v>202</v>
      </c>
      <c r="B90" s="117">
        <v>644205.0</v>
      </c>
      <c r="C90" s="117">
        <v>647337.0</v>
      </c>
      <c r="D90" s="117">
        <v>628144.0</v>
      </c>
      <c r="E90" s="117">
        <v>614089.0</v>
      </c>
      <c r="F90" s="117">
        <v>600353.0</v>
      </c>
      <c r="G90" s="117">
        <v>561728.0</v>
      </c>
      <c r="H90" s="117">
        <v>546545.0</v>
      </c>
      <c r="I90" s="117">
        <v>523572.0</v>
      </c>
      <c r="J90" s="117">
        <v>526832.0</v>
      </c>
      <c r="K90" s="117">
        <v>526710.0</v>
      </c>
      <c r="L90" s="117">
        <v>493856.0</v>
      </c>
      <c r="M90" s="117">
        <v>484247.0</v>
      </c>
      <c r="N90" s="117">
        <v>504290.0</v>
      </c>
      <c r="O90" s="117">
        <v>528531.0</v>
      </c>
    </row>
    <row r="91">
      <c r="A91" s="113" t="s">
        <v>365</v>
      </c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5"/>
    </row>
    <row r="92">
      <c r="A92" s="116" t="s">
        <v>202</v>
      </c>
      <c r="B92" s="117">
        <v>644847.0</v>
      </c>
      <c r="C92" s="117">
        <v>627393.0</v>
      </c>
      <c r="D92" s="117">
        <v>612131.0</v>
      </c>
      <c r="E92" s="117">
        <v>597636.0</v>
      </c>
      <c r="F92" s="117">
        <v>559128.0</v>
      </c>
      <c r="G92" s="117">
        <v>543435.0</v>
      </c>
      <c r="H92" s="117">
        <v>520356.0</v>
      </c>
      <c r="I92" s="117">
        <v>522650.0</v>
      </c>
      <c r="J92" s="117">
        <v>523550.0</v>
      </c>
      <c r="K92" s="117">
        <v>492123.0</v>
      </c>
      <c r="L92" s="117">
        <v>482307.0</v>
      </c>
      <c r="M92" s="117">
        <v>502562.0</v>
      </c>
      <c r="N92" s="117">
        <v>527523.0</v>
      </c>
      <c r="O92" s="117">
        <v>483161.0</v>
      </c>
    </row>
    <row r="93">
      <c r="A93" s="113" t="s">
        <v>366</v>
      </c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5"/>
    </row>
    <row r="94">
      <c r="A94" s="116" t="s">
        <v>202</v>
      </c>
      <c r="B94" s="117">
        <v>624687.0</v>
      </c>
      <c r="C94" s="117">
        <v>610731.0</v>
      </c>
      <c r="D94" s="117">
        <v>595752.0</v>
      </c>
      <c r="E94" s="117">
        <v>556373.0</v>
      </c>
      <c r="F94" s="117">
        <v>540763.0</v>
      </c>
      <c r="G94" s="117">
        <v>517349.0</v>
      </c>
      <c r="H94" s="117">
        <v>519437.0</v>
      </c>
      <c r="I94" s="117">
        <v>519582.0</v>
      </c>
      <c r="J94" s="117">
        <v>489024.0</v>
      </c>
      <c r="K94" s="117">
        <v>480468.0</v>
      </c>
      <c r="L94" s="117">
        <v>500564.0</v>
      </c>
      <c r="M94" s="117">
        <v>525738.0</v>
      </c>
      <c r="N94" s="117">
        <v>482137.0</v>
      </c>
      <c r="O94" s="117">
        <v>461856.0</v>
      </c>
    </row>
    <row r="95">
      <c r="A95" s="113" t="s">
        <v>367</v>
      </c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5"/>
    </row>
    <row r="96">
      <c r="A96" s="116" t="s">
        <v>202</v>
      </c>
      <c r="B96" s="117">
        <v>607645.0</v>
      </c>
      <c r="C96" s="117">
        <v>594014.0</v>
      </c>
      <c r="D96" s="117">
        <v>554330.0</v>
      </c>
      <c r="E96" s="117">
        <v>538027.0</v>
      </c>
      <c r="F96" s="117">
        <v>514712.0</v>
      </c>
      <c r="G96" s="117">
        <v>516191.0</v>
      </c>
      <c r="H96" s="117">
        <v>516160.0</v>
      </c>
      <c r="I96" s="117">
        <v>485116.0</v>
      </c>
      <c r="J96" s="117">
        <v>477358.0</v>
      </c>
      <c r="K96" s="117">
        <v>498624.0</v>
      </c>
      <c r="L96" s="117">
        <v>523413.0</v>
      </c>
      <c r="M96" s="117">
        <v>480070.0</v>
      </c>
      <c r="N96" s="117">
        <v>460692.0</v>
      </c>
      <c r="O96" s="117">
        <v>483217.0</v>
      </c>
    </row>
    <row r="97">
      <c r="A97" s="113" t="s">
        <v>368</v>
      </c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5"/>
    </row>
    <row r="98">
      <c r="A98" s="116" t="s">
        <v>202</v>
      </c>
      <c r="B98" s="117">
        <v>590743.0</v>
      </c>
      <c r="C98" s="117">
        <v>552616.0</v>
      </c>
      <c r="D98" s="117">
        <v>535791.0</v>
      </c>
      <c r="E98" s="117">
        <v>511745.0</v>
      </c>
      <c r="F98" s="117">
        <v>513224.0</v>
      </c>
      <c r="G98" s="117">
        <v>512764.0</v>
      </c>
      <c r="H98" s="117">
        <v>481700.0</v>
      </c>
      <c r="I98" s="117">
        <v>473601.0</v>
      </c>
      <c r="J98" s="117">
        <v>495147.0</v>
      </c>
      <c r="K98" s="117">
        <v>520838.0</v>
      </c>
      <c r="L98" s="117">
        <v>477697.0</v>
      </c>
      <c r="M98" s="117">
        <v>458354.0</v>
      </c>
      <c r="N98" s="117">
        <v>481258.0</v>
      </c>
      <c r="O98" s="117">
        <v>459439.0</v>
      </c>
    </row>
    <row r="99">
      <c r="A99" s="113" t="s">
        <v>369</v>
      </c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5"/>
    </row>
    <row r="100">
      <c r="A100" s="116" t="s">
        <v>202</v>
      </c>
      <c r="B100" s="117">
        <v>549082.0</v>
      </c>
      <c r="C100" s="117">
        <v>534091.0</v>
      </c>
      <c r="D100" s="117">
        <v>509374.0</v>
      </c>
      <c r="E100" s="117">
        <v>510058.0</v>
      </c>
      <c r="F100" s="117">
        <v>509408.0</v>
      </c>
      <c r="G100" s="117">
        <v>478566.0</v>
      </c>
      <c r="H100" s="117">
        <v>470183.0</v>
      </c>
      <c r="I100" s="117">
        <v>490943.0</v>
      </c>
      <c r="J100" s="117">
        <v>517210.0</v>
      </c>
      <c r="K100" s="117">
        <v>475190.0</v>
      </c>
      <c r="L100" s="117">
        <v>455808.0</v>
      </c>
      <c r="M100" s="117">
        <v>478523.0</v>
      </c>
      <c r="N100" s="117">
        <v>457591.0</v>
      </c>
      <c r="O100" s="117">
        <v>452422.0</v>
      </c>
    </row>
    <row r="101">
      <c r="A101" s="113" t="s">
        <v>370</v>
      </c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5"/>
    </row>
    <row r="102">
      <c r="A102" s="118" t="s">
        <v>202</v>
      </c>
      <c r="B102" s="119">
        <v>530137.0</v>
      </c>
      <c r="C102" s="119">
        <v>507327.0</v>
      </c>
      <c r="D102" s="119">
        <v>507450.0</v>
      </c>
      <c r="E102" s="119">
        <v>506145.0</v>
      </c>
      <c r="F102" s="119">
        <v>475421.0</v>
      </c>
      <c r="G102" s="119">
        <v>466994.0</v>
      </c>
      <c r="H102" s="119">
        <v>487256.0</v>
      </c>
      <c r="I102" s="119">
        <v>512867.0</v>
      </c>
      <c r="J102" s="119">
        <v>471948.0</v>
      </c>
      <c r="K102" s="119">
        <v>453243.0</v>
      </c>
      <c r="L102" s="119">
        <v>475734.0</v>
      </c>
      <c r="M102" s="119">
        <v>455037.0</v>
      </c>
      <c r="N102" s="119">
        <v>450432.0</v>
      </c>
      <c r="O102" s="119">
        <v>390934.0</v>
      </c>
    </row>
    <row r="103">
      <c r="B103" s="25">
        <f t="shared" ref="B103:C103" si="1">SUM(B3:B102)</f>
        <v>31299827</v>
      </c>
      <c r="C103" s="25">
        <f t="shared" si="1"/>
        <v>31202807</v>
      </c>
    </row>
  </sheetData>
  <mergeCells count="1">
    <mergeCell ref="A69:O69"/>
  </mergeCells>
  <hyperlinks>
    <hyperlink r:id="rId1" location="tabs-grafico" ref="A1"/>
  </hyperlin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63"/>
    <col customWidth="1" min="3" max="3" width="14.38"/>
    <col customWidth="1" min="4" max="4" width="15.63"/>
    <col customWidth="1" min="5" max="5" width="16.38"/>
    <col customWidth="1" min="6" max="6" width="19.5"/>
    <col customWidth="1" min="7" max="7" width="24.13"/>
    <col customWidth="1" min="8" max="8" width="26.13"/>
  </cols>
  <sheetData>
    <row r="1">
      <c r="A1" s="92" t="s">
        <v>79</v>
      </c>
      <c r="B1" s="93" t="s">
        <v>235</v>
      </c>
      <c r="C1" s="94" t="s">
        <v>38</v>
      </c>
      <c r="D1" s="93" t="s">
        <v>3</v>
      </c>
      <c r="E1" s="93" t="s">
        <v>2</v>
      </c>
      <c r="F1" s="93" t="s">
        <v>4</v>
      </c>
      <c r="G1" s="93" t="s">
        <v>236</v>
      </c>
      <c r="H1" s="95" t="s">
        <v>124</v>
      </c>
      <c r="I1" s="4" t="s">
        <v>237</v>
      </c>
      <c r="J1" s="4" t="s">
        <v>238</v>
      </c>
      <c r="K1" s="4" t="s">
        <v>239</v>
      </c>
      <c r="L1" s="4" t="s">
        <v>240</v>
      </c>
      <c r="M1" s="4" t="s">
        <v>241</v>
      </c>
      <c r="N1" s="4" t="s">
        <v>242</v>
      </c>
      <c r="O1" s="4" t="s">
        <v>243</v>
      </c>
      <c r="P1" s="4" t="s">
        <v>244</v>
      </c>
    </row>
    <row r="2">
      <c r="A2" s="96"/>
      <c r="B2" s="16"/>
      <c r="C2" s="124">
        <v>1.26</v>
      </c>
      <c r="D2" s="69"/>
      <c r="E2" s="77"/>
      <c r="F2" s="77"/>
      <c r="G2" s="77"/>
      <c r="H2" s="97"/>
      <c r="N2" s="14"/>
      <c r="O2" s="14"/>
      <c r="P2" s="14"/>
      <c r="Q2" s="35"/>
      <c r="R2" s="35"/>
      <c r="S2" s="35"/>
      <c r="T2" s="35"/>
      <c r="U2" s="35"/>
      <c r="V2" s="35"/>
    </row>
    <row r="3">
      <c r="A3" s="96">
        <v>2019.0</v>
      </c>
      <c r="B3" s="16">
        <f>'Hoja 25'!I8*1000</f>
        <v>2591188798000</v>
      </c>
      <c r="C3" s="69">
        <v>1.1704006224726877</v>
      </c>
      <c r="D3" s="69">
        <f>'Hoja 25'!K8</f>
        <v>1.47480605</v>
      </c>
      <c r="E3" s="77">
        <f>'Hoja 25'!J8</f>
        <v>6.009988219</v>
      </c>
      <c r="F3" s="77">
        <f>'Hoja 25'!M8</f>
        <v>3.839587597</v>
      </c>
      <c r="G3" s="77"/>
      <c r="H3" s="97">
        <f>CONVERT(((B3/(TTSN!C32*1000))*TTSN!D32),"min","day")</f>
        <v>748.3275646</v>
      </c>
      <c r="I3" s="21">
        <f t="shared" ref="I3:I20" si="1">AVERAGE($C3:C$20)</f>
        <v>1.256451152</v>
      </c>
      <c r="J3" s="11">
        <f t="shared" ref="J3:J19" si="2">STDEV($C3:C$20)</f>
        <v>0.07184407873</v>
      </c>
      <c r="K3" s="21">
        <f t="shared" ref="K3:K19" si="3">I3-1.96*J3/SQRT(COUNT($A3:A$20))</f>
        <v>1.223260881</v>
      </c>
      <c r="L3" s="21">
        <f t="shared" ref="L3:L19" si="4">I3+1.96*J3/SQRT(COUNT($A3:A$20))</f>
        <v>1.289641423</v>
      </c>
      <c r="M3" s="12">
        <f t="shared" ref="M3:M14" si="5">AVERAGE($H3:H$14)</f>
        <v>127.1282618</v>
      </c>
      <c r="N3" s="14">
        <f t="shared" ref="N3:N13" si="6">STDEV($H3:H$14)</f>
        <v>205.6614644</v>
      </c>
      <c r="O3" s="66">
        <f t="shared" ref="O3:O13" si="7">M3-1.96*N3/SQRT(COUNT($A3:A$13))</f>
        <v>5.590103025</v>
      </c>
      <c r="P3" s="66">
        <f t="shared" ref="P3:P13" si="8">M3+1.96*N3/SQRT(COUNT($A3:A$13))</f>
        <v>248.6664205</v>
      </c>
      <c r="Q3" s="35"/>
      <c r="R3" s="35"/>
      <c r="S3" s="35"/>
      <c r="T3" s="35"/>
      <c r="U3" s="35"/>
      <c r="V3" s="35"/>
    </row>
    <row r="4">
      <c r="A4" s="98">
        <v>2018.0</v>
      </c>
      <c r="B4" s="16">
        <f>'Replicación (controlada)'!I8*1000</f>
        <v>906428570000</v>
      </c>
      <c r="C4" s="69">
        <f>'Replicación (controlada)'!L8</f>
        <v>1.354643144</v>
      </c>
      <c r="D4" s="69">
        <f>'Replicación (controlada)'!K8</f>
        <v>0.2705048573</v>
      </c>
      <c r="E4" s="77">
        <f>'Replicación (controlada)'!J8</f>
        <v>6.362476118</v>
      </c>
      <c r="F4" s="77">
        <f>TODAS!M7</f>
        <v>3.726832014</v>
      </c>
      <c r="G4" s="77">
        <f>CONVERT(B4*TTSN!D33,"min","yr")</f>
        <v>14310871.33</v>
      </c>
      <c r="H4" s="97">
        <f>CONVERT(((B4/('Hoja 22'!C7*1000))*TTSN!D33),"min","day")</f>
        <v>270.443237</v>
      </c>
      <c r="I4" s="21">
        <f t="shared" si="1"/>
        <v>1.261512948</v>
      </c>
      <c r="J4" s="11">
        <f t="shared" si="2"/>
        <v>0.07066932424</v>
      </c>
      <c r="K4" s="21">
        <f t="shared" si="3"/>
        <v>1.227918883</v>
      </c>
      <c r="L4" s="21">
        <f t="shared" si="4"/>
        <v>1.295107012</v>
      </c>
      <c r="M4" s="12">
        <f t="shared" si="5"/>
        <v>70.65559787</v>
      </c>
      <c r="N4" s="14">
        <f t="shared" si="6"/>
        <v>66.55348537</v>
      </c>
      <c r="O4" s="66">
        <f t="shared" si="7"/>
        <v>29.40532028</v>
      </c>
      <c r="P4" s="66">
        <f t="shared" si="8"/>
        <v>111.9058755</v>
      </c>
      <c r="Q4" s="14"/>
      <c r="R4" s="14"/>
      <c r="S4" s="14"/>
      <c r="T4" s="14"/>
      <c r="U4" s="14"/>
      <c r="V4" s="14"/>
    </row>
    <row r="5">
      <c r="A5" s="98">
        <v>2017.0</v>
      </c>
      <c r="B5" s="16">
        <f>'Hoja 40'!I5*1000</f>
        <v>432973959000</v>
      </c>
      <c r="C5" s="69">
        <f>'Hoja 40'!L5</f>
        <v>1.348422914</v>
      </c>
      <c r="D5" s="69">
        <f>'Hoja 40'!K5</f>
        <v>0.27049364</v>
      </c>
      <c r="E5" s="77">
        <f>'Hoja 40'!J5</f>
        <v>6.333467715</v>
      </c>
      <c r="F5" s="77">
        <f>'Hoja 40'!M5</f>
        <v>3.985044801</v>
      </c>
      <c r="G5" s="77">
        <f>CONVERT(B5*TTSN!D34,"min","yr")</f>
        <v>3264921.719</v>
      </c>
      <c r="H5" s="97">
        <f>CONVERT(((B5/('Hoja 22'!C8*1000))*TTSN!D34),"min","day")</f>
        <v>63.34795896</v>
      </c>
      <c r="I5" s="21">
        <f t="shared" si="1"/>
        <v>1.25569231</v>
      </c>
      <c r="J5" s="11">
        <f t="shared" si="2"/>
        <v>0.0686494203</v>
      </c>
      <c r="K5" s="21">
        <f t="shared" si="3"/>
        <v>1.222054094</v>
      </c>
      <c r="L5" s="21">
        <f t="shared" si="4"/>
        <v>1.289330526</v>
      </c>
      <c r="M5" s="12">
        <f t="shared" si="5"/>
        <v>50.67683396</v>
      </c>
      <c r="N5" s="14">
        <f t="shared" si="6"/>
        <v>6.557890222</v>
      </c>
      <c r="O5" s="66">
        <f t="shared" si="7"/>
        <v>46.39234568</v>
      </c>
      <c r="P5" s="66">
        <f t="shared" si="8"/>
        <v>54.96132224</v>
      </c>
      <c r="Q5" s="35"/>
      <c r="R5" s="35"/>
      <c r="S5" s="35"/>
      <c r="T5" s="35"/>
      <c r="U5" s="35"/>
      <c r="V5" s="35"/>
    </row>
    <row r="6">
      <c r="A6" s="99">
        <f t="shared" ref="A6:A20" si="9">A5-1</f>
        <v>2016</v>
      </c>
      <c r="B6" s="16">
        <f>'Hoja 40'!I6*1000</f>
        <v>387822855000</v>
      </c>
      <c r="C6" s="69">
        <f>'Hoja 40'!L6</f>
        <v>1.288921331</v>
      </c>
      <c r="D6" s="69">
        <f>'Hoja 40'!K6</f>
        <v>0.2614222719</v>
      </c>
      <c r="E6" s="77">
        <f>'Hoja 40'!J6</f>
        <v>6.219340312</v>
      </c>
      <c r="F6" s="77">
        <f>'Hoja 40'!M6</f>
        <v>3.930418981</v>
      </c>
      <c r="G6" s="77">
        <f>CONVERT(B6*TTSN!D35,"min","yr")</f>
        <v>2774641.436</v>
      </c>
      <c r="H6" s="97">
        <f>CONVERT(((B6/('Hoja 22'!C9*1000))*TTSN!D35),"min","day")</f>
        <v>55.25381154</v>
      </c>
      <c r="I6" s="21">
        <f t="shared" si="1"/>
        <v>1.24951027</v>
      </c>
      <c r="J6" s="11">
        <f t="shared" si="2"/>
        <v>0.06628882394</v>
      </c>
      <c r="K6" s="21">
        <f t="shared" si="3"/>
        <v>1.215963497</v>
      </c>
      <c r="L6" s="21">
        <f t="shared" si="4"/>
        <v>1.283057044</v>
      </c>
      <c r="M6" s="12">
        <f t="shared" si="5"/>
        <v>49.26893118</v>
      </c>
      <c r="N6" s="14">
        <f t="shared" si="6"/>
        <v>5.107056352</v>
      </c>
      <c r="O6" s="66">
        <f t="shared" si="7"/>
        <v>45.72992169</v>
      </c>
      <c r="P6" s="66">
        <f t="shared" si="8"/>
        <v>52.80794068</v>
      </c>
    </row>
    <row r="7">
      <c r="A7" s="99">
        <f t="shared" si="9"/>
        <v>2015</v>
      </c>
      <c r="B7" s="16">
        <f>'Hoja 40'!I7*1000</f>
        <v>394477086000</v>
      </c>
      <c r="C7" s="69">
        <f>'Hoja 40'!L7</f>
        <v>1.381742417</v>
      </c>
      <c r="D7" s="69">
        <f>'Hoja 40'!K7</f>
        <v>0.2749419178</v>
      </c>
      <c r="E7" s="77">
        <f>'Hoja 40'!J7</f>
        <v>6.407321741</v>
      </c>
      <c r="F7" s="77">
        <f>'Hoja 40'!M7</f>
        <v>4.025579324</v>
      </c>
      <c r="G7" s="77">
        <f>CONVERT(B7*TTSN!D36,"min","yr")</f>
        <v>2811429.319</v>
      </c>
      <c r="H7" s="97">
        <f>CONVERT(((B7/('Hoja 22'!C10*1000))*TTSN!D36),"min","day")</f>
        <v>57.47646696</v>
      </c>
      <c r="I7" s="21">
        <f t="shared" si="1"/>
        <v>1.246695194</v>
      </c>
      <c r="J7" s="11">
        <f t="shared" si="2"/>
        <v>0.06785433359</v>
      </c>
      <c r="K7" s="21">
        <f t="shared" si="3"/>
        <v>1.211150921</v>
      </c>
      <c r="L7" s="21">
        <f t="shared" si="4"/>
        <v>1.282239468</v>
      </c>
      <c r="M7" s="12">
        <f t="shared" si="5"/>
        <v>48.52082114</v>
      </c>
      <c r="N7" s="14">
        <f t="shared" si="6"/>
        <v>4.904226379</v>
      </c>
      <c r="O7" s="66">
        <f t="shared" si="7"/>
        <v>44.88771939</v>
      </c>
      <c r="P7" s="66">
        <f t="shared" si="8"/>
        <v>52.15392288</v>
      </c>
    </row>
    <row r="8">
      <c r="A8" s="99">
        <f t="shared" si="9"/>
        <v>2014</v>
      </c>
      <c r="B8" s="16">
        <f>'Hoja 40'!I8*1000</f>
        <v>359911833000</v>
      </c>
      <c r="C8" s="69">
        <f>'Hoja 40'!L8</f>
        <v>1.326406467</v>
      </c>
      <c r="D8" s="69">
        <f>'Hoja 40'!K8</f>
        <v>0.2564083663</v>
      </c>
      <c r="E8" s="77">
        <f>'Hoja 40'!J8</f>
        <v>6.499429824</v>
      </c>
      <c r="F8" s="77">
        <f>'Hoja 40'!M8</f>
        <v>4.173023357</v>
      </c>
      <c r="G8" s="77">
        <f>CONVERT(B8*TTSN!D37,"min","yr")</f>
        <v>2548554.034</v>
      </c>
      <c r="H8" s="97">
        <f>CONVERT(((B8/('Hoja 22'!C11*1000))*TTSN!D37),"min","day")</f>
        <v>53.66977784</v>
      </c>
      <c r="I8" s="21">
        <f t="shared" si="1"/>
        <v>1.236306946</v>
      </c>
      <c r="J8" s="11">
        <f t="shared" si="2"/>
        <v>0.05788932054</v>
      </c>
      <c r="K8" s="21">
        <f t="shared" si="3"/>
        <v>1.204837953</v>
      </c>
      <c r="L8" s="21">
        <f t="shared" si="4"/>
        <v>1.26777594</v>
      </c>
      <c r="M8" s="12">
        <f t="shared" si="5"/>
        <v>47.24144316</v>
      </c>
      <c r="N8" s="14">
        <f t="shared" si="6"/>
        <v>3.57535095</v>
      </c>
      <c r="O8" s="66">
        <f t="shared" si="7"/>
        <v>44.38056657</v>
      </c>
      <c r="P8" s="66">
        <f t="shared" si="8"/>
        <v>50.10231975</v>
      </c>
    </row>
    <row r="9">
      <c r="A9" s="99">
        <f t="shared" si="9"/>
        <v>2013</v>
      </c>
      <c r="B9" s="16">
        <f>'Hoja 40'!I9*1000</f>
        <v>326405635000</v>
      </c>
      <c r="C9" s="69">
        <f>'Hoja 40'!L9</f>
        <v>1.228591458</v>
      </c>
      <c r="D9" s="69">
        <f>'Hoja 40'!K9</f>
        <v>0.2395751204</v>
      </c>
      <c r="E9" s="77">
        <f>'Hoja 40'!J9</f>
        <v>6.356801164</v>
      </c>
      <c r="F9" s="77">
        <f>'Hoja 40'!M9</f>
        <v>4.128209707</v>
      </c>
      <c r="G9" s="77">
        <f>CONVERT(B9*TTSN!D38,"min","yr")</f>
        <v>2243833.482</v>
      </c>
      <c r="H9" s="97">
        <f>CONVERT(((B9/('Hoja 22'!C12*1000))*TTSN!D38),"min","day")</f>
        <v>47.81843628</v>
      </c>
      <c r="I9" s="21">
        <f t="shared" si="1"/>
        <v>1.228798653</v>
      </c>
      <c r="J9" s="11">
        <f t="shared" si="2"/>
        <v>0.05344467306</v>
      </c>
      <c r="K9" s="21">
        <f t="shared" si="3"/>
        <v>1.198559483</v>
      </c>
      <c r="L9" s="21">
        <f t="shared" si="4"/>
        <v>1.259037823</v>
      </c>
      <c r="M9" s="12">
        <f t="shared" si="5"/>
        <v>46.17005405</v>
      </c>
      <c r="N9" s="14">
        <f t="shared" si="6"/>
        <v>2.386967614</v>
      </c>
      <c r="O9" s="66">
        <f t="shared" si="7"/>
        <v>44.07778468</v>
      </c>
      <c r="P9" s="66">
        <f t="shared" si="8"/>
        <v>48.26232341</v>
      </c>
    </row>
    <row r="10">
      <c r="A10" s="99">
        <f t="shared" si="9"/>
        <v>2012</v>
      </c>
      <c r="B10" s="16">
        <f>'Hoja 40'!I10*1000</f>
        <v>307826015000</v>
      </c>
      <c r="C10" s="69">
        <f>'Hoja 40'!L10</f>
        <v>1.120970278</v>
      </c>
      <c r="D10" s="69">
        <f>'Hoja 40'!K10</f>
        <v>0.2201144846</v>
      </c>
      <c r="E10" s="77">
        <f>'Hoja 40'!J10</f>
        <v>6.213639578</v>
      </c>
      <c r="F10" s="77">
        <f>'Hoja 40'!M10</f>
        <v>4.0926693</v>
      </c>
      <c r="G10" s="77">
        <f>CONVERT(B10*TTSN!D39,"min","yr")</f>
        <v>2076149.539</v>
      </c>
      <c r="H10" s="97">
        <f>CONVERT(((B10/('Hoja 22'!C13*1000))*TTSN!D39),"min","day")</f>
        <v>43.0060977</v>
      </c>
      <c r="I10" s="21">
        <f t="shared" si="1"/>
        <v>1.228817489</v>
      </c>
      <c r="J10" s="11">
        <f t="shared" si="2"/>
        <v>0.05605320422</v>
      </c>
      <c r="K10" s="21">
        <f t="shared" si="3"/>
        <v>1.195692162</v>
      </c>
      <c r="L10" s="21">
        <f t="shared" si="4"/>
        <v>1.261942816</v>
      </c>
      <c r="M10" s="12">
        <f t="shared" si="5"/>
        <v>45.8403776</v>
      </c>
      <c r="N10" s="14">
        <f t="shared" si="6"/>
        <v>2.511348003</v>
      </c>
      <c r="O10" s="66">
        <f t="shared" si="7"/>
        <v>43.37925656</v>
      </c>
      <c r="P10" s="66">
        <f t="shared" si="8"/>
        <v>48.30149864</v>
      </c>
    </row>
    <row r="11">
      <c r="A11" s="99">
        <f t="shared" si="9"/>
        <v>2011</v>
      </c>
      <c r="B11" s="16">
        <f>'Hoja 40'!I11*1000</f>
        <v>346408599000</v>
      </c>
      <c r="C11" s="69">
        <f>'Hoja 40'!L11</f>
        <v>1.1919684</v>
      </c>
      <c r="D11" s="69">
        <f>'Hoja 40'!K11</f>
        <v>0.2425067172</v>
      </c>
      <c r="E11" s="77">
        <f>'Hoja 40'!J11</f>
        <v>6.107165859</v>
      </c>
      <c r="F11" s="77">
        <f>'Hoja 40'!M11</f>
        <v>3.915197459</v>
      </c>
      <c r="G11" s="77">
        <f>CONVERT(B11*TTSN!D40,"min","yr")</f>
        <v>2313088.23</v>
      </c>
      <c r="H11" s="97">
        <f>CONVERT(((B11/('Hoja 22'!C14*1000))*TTSN!D40),"min","day")</f>
        <v>45.86271815</v>
      </c>
      <c r="I11" s="21">
        <f t="shared" si="1"/>
        <v>1.23960221</v>
      </c>
      <c r="J11" s="11">
        <f t="shared" si="2"/>
        <v>0.04549175022</v>
      </c>
      <c r="K11" s="21">
        <f t="shared" si="3"/>
        <v>1.211406131</v>
      </c>
      <c r="L11" s="21">
        <f t="shared" si="4"/>
        <v>1.267798289</v>
      </c>
      <c r="M11" s="12">
        <f t="shared" si="5"/>
        <v>46.54894758</v>
      </c>
      <c r="N11" s="14">
        <f t="shared" si="6"/>
        <v>2.249892367</v>
      </c>
      <c r="O11" s="66">
        <f t="shared" si="7"/>
        <v>44.00295469</v>
      </c>
      <c r="P11" s="66">
        <f t="shared" si="8"/>
        <v>49.09494046</v>
      </c>
    </row>
    <row r="12">
      <c r="A12" s="99">
        <f t="shared" si="9"/>
        <v>2010</v>
      </c>
      <c r="B12" s="16">
        <f>'Hoja 40'!I12*1000</f>
        <v>363030093000</v>
      </c>
      <c r="C12" s="69">
        <f>'Hoja 40'!L12</f>
        <v>1.248492366</v>
      </c>
      <c r="D12" s="69">
        <f>'Hoja 40'!K12</f>
        <v>0.2573024058</v>
      </c>
      <c r="E12" s="77">
        <f>'Hoja 40'!J12</f>
        <v>6.100729802</v>
      </c>
      <c r="F12" s="77">
        <f>'Hoja 40'!M12</f>
        <v>3.852237436</v>
      </c>
      <c r="G12" s="77">
        <f>CONVERT(B12*TTSN!D41,"min","yr")</f>
        <v>2375325.597</v>
      </c>
      <c r="H12" s="97">
        <f>CONVERT(((B12/('Hoja 22'!C15*1000))*TTSN!D41),"min","day")</f>
        <v>46.33435735</v>
      </c>
      <c r="I12" s="21">
        <f t="shared" si="1"/>
        <v>1.244894856</v>
      </c>
      <c r="J12" s="11">
        <f t="shared" si="2"/>
        <v>0.04486703321</v>
      </c>
      <c r="K12" s="21">
        <f t="shared" si="3"/>
        <v>1.215581727</v>
      </c>
      <c r="L12" s="21">
        <f t="shared" si="4"/>
        <v>1.274207984</v>
      </c>
      <c r="M12" s="12">
        <f t="shared" si="5"/>
        <v>46.77769072</v>
      </c>
      <c r="N12" s="14">
        <f t="shared" si="6"/>
        <v>2.697977566</v>
      </c>
      <c r="O12" s="66">
        <f t="shared" si="7"/>
        <v>43.03848458</v>
      </c>
      <c r="P12" s="66">
        <f t="shared" si="8"/>
        <v>50.51689685</v>
      </c>
    </row>
    <row r="13">
      <c r="A13" s="99">
        <f t="shared" si="9"/>
        <v>2009</v>
      </c>
      <c r="B13" s="16">
        <f>'Hoja 40'!I13*1000</f>
        <v>365529176000</v>
      </c>
      <c r="C13" s="69">
        <f>'Hoja 40'!L13</f>
        <v>1.223608621</v>
      </c>
      <c r="D13" s="69">
        <f>'Hoja 40'!K13</f>
        <v>0.264309562</v>
      </c>
      <c r="E13" s="77">
        <f>'Hoja 40'!J13</f>
        <v>5.853061342</v>
      </c>
      <c r="F13" s="77">
        <f>'Hoja 40'!M13</f>
        <v>3.629452721</v>
      </c>
      <c r="G13" s="77">
        <f>CONVERT(B13*TTSN!D42,"min","yr")</f>
        <v>2318923.127</v>
      </c>
      <c r="H13" s="97">
        <f>CONVERT(((B13/('Hoja 22'!C16*1000))*TTSN!D42),"min","day")</f>
        <v>44.32883786</v>
      </c>
      <c r="I13" s="21">
        <f t="shared" si="1"/>
        <v>1.244445167</v>
      </c>
      <c r="J13" s="11">
        <f t="shared" si="2"/>
        <v>0.04794318887</v>
      </c>
      <c r="K13" s="21">
        <f t="shared" si="3"/>
        <v>1.211222232</v>
      </c>
      <c r="L13" s="21">
        <f t="shared" si="4"/>
        <v>1.277668102</v>
      </c>
      <c r="M13" s="12">
        <f t="shared" si="5"/>
        <v>46.9993574</v>
      </c>
      <c r="N13" s="14">
        <f t="shared" si="6"/>
        <v>3.776684946</v>
      </c>
      <c r="O13" s="66">
        <f t="shared" si="7"/>
        <v>39.59705491</v>
      </c>
      <c r="P13" s="66">
        <f t="shared" si="8"/>
        <v>54.40165989</v>
      </c>
    </row>
    <row r="14">
      <c r="A14" s="99">
        <f t="shared" si="9"/>
        <v>2008</v>
      </c>
      <c r="B14" s="16">
        <f>'Hoja 40'!I14*1000</f>
        <v>409614941000</v>
      </c>
      <c r="C14" s="69">
        <f>'Hoja 40'!L14</f>
        <v>1.283898547</v>
      </c>
      <c r="D14" s="69">
        <f>'Hoja 40'!K14</f>
        <v>0.2500698262</v>
      </c>
      <c r="E14" s="77">
        <f>'Hoja 40'!J14</f>
        <v>6.418058738</v>
      </c>
      <c r="F14" s="77">
        <f>'Hoja 40'!M14</f>
        <v>4.134160191</v>
      </c>
      <c r="G14" s="77">
        <f>CONVERT(B14*TTSN!D43,"min","yr")</f>
        <v>2783648.131</v>
      </c>
      <c r="H14" s="97">
        <f>CONVERT(((B14/('Hoja 22'!C17*1000))*TTSN!D43),"min","day")</f>
        <v>49.66987694</v>
      </c>
      <c r="I14" s="21">
        <f t="shared" si="1"/>
        <v>1.247421816</v>
      </c>
      <c r="J14" s="11">
        <f t="shared" si="2"/>
        <v>0.05097983389</v>
      </c>
      <c r="K14" s="21">
        <f t="shared" si="3"/>
        <v>1.209655427</v>
      </c>
      <c r="L14" s="21">
        <f t="shared" si="4"/>
        <v>1.285188206</v>
      </c>
      <c r="M14" s="12">
        <f t="shared" si="5"/>
        <v>49.66987694</v>
      </c>
      <c r="N14" s="14"/>
    </row>
    <row r="15">
      <c r="A15" s="99">
        <f t="shared" si="9"/>
        <v>2007</v>
      </c>
      <c r="B15" s="16">
        <f>'Hoja 40'!I15*1000</f>
        <v>397895813000</v>
      </c>
      <c r="C15" s="69">
        <f>'Hoja 40'!L15</f>
        <v>1.286940407</v>
      </c>
      <c r="D15" s="69">
        <f>'Hoja 40'!K15</f>
        <v>0.2304348963</v>
      </c>
      <c r="E15" s="77">
        <f>'Hoja 40'!J15</f>
        <v>6.871773381</v>
      </c>
      <c r="F15" s="77">
        <f>'Hoja 40'!M15</f>
        <v>4.584832974</v>
      </c>
      <c r="G15" s="77">
        <f t="shared" ref="G15:G20" si="10">CONVERT(B15*10.12,"min","yr")</f>
        <v>7655916.092</v>
      </c>
      <c r="H15" s="97"/>
      <c r="I15" s="21">
        <f t="shared" si="1"/>
        <v>1.241342361</v>
      </c>
      <c r="J15" s="11">
        <f t="shared" si="2"/>
        <v>0.05299311326</v>
      </c>
      <c r="K15" s="21">
        <f t="shared" si="3"/>
        <v>1.198939039</v>
      </c>
      <c r="L15" s="21">
        <f t="shared" si="4"/>
        <v>1.283745683</v>
      </c>
    </row>
    <row r="16">
      <c r="A16" s="99">
        <f t="shared" si="9"/>
        <v>2006</v>
      </c>
      <c r="B16" s="16">
        <f>'Hoja 40'!I16*1000</f>
        <v>336641259000</v>
      </c>
      <c r="C16" s="69">
        <f>'Hoja 40'!L16</f>
        <v>1.187211267</v>
      </c>
      <c r="D16" s="69">
        <f>'Hoja 40'!K16</f>
        <v>0.2079590428</v>
      </c>
      <c r="E16" s="77">
        <f>'Hoja 40'!J16</f>
        <v>6.896081872</v>
      </c>
      <c r="F16" s="77">
        <f>'Hoja 40'!M16</f>
        <v>4.708870606</v>
      </c>
      <c r="G16" s="77">
        <f t="shared" si="10"/>
        <v>6477316.794</v>
      </c>
      <c r="H16" s="97"/>
      <c r="I16" s="21">
        <f t="shared" si="1"/>
        <v>1.232222752</v>
      </c>
      <c r="J16" s="11">
        <f t="shared" si="2"/>
        <v>0.05372693014</v>
      </c>
      <c r="K16" s="21">
        <f t="shared" si="3"/>
        <v>1.185129021</v>
      </c>
      <c r="L16" s="21">
        <f t="shared" si="4"/>
        <v>1.279316483</v>
      </c>
    </row>
    <row r="17">
      <c r="A17" s="99">
        <f t="shared" si="9"/>
        <v>2005</v>
      </c>
      <c r="B17" s="16">
        <f>'Hoja 40'!I17*1000</f>
        <v>314539563000</v>
      </c>
      <c r="C17" s="69">
        <f>'Hoja 40'!L17</f>
        <v>1.216161745</v>
      </c>
      <c r="D17" s="69">
        <f>'Hoja 40'!K17</f>
        <v>0.2154892713</v>
      </c>
      <c r="E17" s="77">
        <f>'Hoja 40'!J17</f>
        <v>6.859884691</v>
      </c>
      <c r="F17" s="77">
        <f>'Hoja 40'!M17</f>
        <v>4.643722946</v>
      </c>
      <c r="G17" s="77">
        <f t="shared" si="10"/>
        <v>6052057.909</v>
      </c>
      <c r="H17" s="97"/>
      <c r="I17" s="21">
        <f t="shared" si="1"/>
        <v>1.243475623</v>
      </c>
      <c r="J17" s="11">
        <f t="shared" si="2"/>
        <v>0.0548142008</v>
      </c>
      <c r="K17" s="21">
        <f t="shared" si="3"/>
        <v>1.189757706</v>
      </c>
      <c r="L17" s="21">
        <f t="shared" si="4"/>
        <v>1.29719354</v>
      </c>
    </row>
    <row r="18">
      <c r="A18" s="99">
        <f t="shared" si="9"/>
        <v>2004</v>
      </c>
      <c r="B18" s="16">
        <f>'Hoja 40'!I18*1000</f>
        <v>294204392000</v>
      </c>
      <c r="C18" s="69">
        <f>'Hoja 40'!L18</f>
        <v>1.255806672</v>
      </c>
      <c r="D18" s="69">
        <f>'Hoja 40'!K18</f>
        <v>0.2281334432</v>
      </c>
      <c r="E18" s="77">
        <f>'Hoja 40'!J18</f>
        <v>6.760508898</v>
      </c>
      <c r="F18" s="77">
        <f>'Hoja 40'!M18</f>
        <v>4.504702226</v>
      </c>
      <c r="G18" s="77">
        <f t="shared" si="10"/>
        <v>5660788.743</v>
      </c>
      <c r="H18" s="97"/>
      <c r="I18" s="21">
        <f t="shared" si="1"/>
        <v>1.252580249</v>
      </c>
      <c r="J18" s="11">
        <f t="shared" si="2"/>
        <v>0.06332084661</v>
      </c>
      <c r="K18" s="21">
        <f t="shared" si="3"/>
        <v>1.180925966</v>
      </c>
      <c r="L18" s="21">
        <f t="shared" si="4"/>
        <v>1.324234533</v>
      </c>
    </row>
    <row r="19">
      <c r="A19" s="99">
        <f t="shared" si="9"/>
        <v>2003</v>
      </c>
      <c r="B19" s="16">
        <f>'Hoja 40'!I19*1000</f>
        <v>260500257000</v>
      </c>
      <c r="C19" s="69">
        <f>'Hoja 40'!L19</f>
        <v>1.18770787</v>
      </c>
      <c r="D19" s="69">
        <f>'Hoja 40'!K19</f>
        <v>0.220896072</v>
      </c>
      <c r="E19" s="77">
        <f>'Hoja 40'!J19</f>
        <v>6.564480122</v>
      </c>
      <c r="F19" s="77">
        <f>'Hoja 40'!M19</f>
        <v>4.376772252</v>
      </c>
      <c r="G19" s="77">
        <f t="shared" si="10"/>
        <v>5012287.248</v>
      </c>
      <c r="H19" s="97"/>
      <c r="I19" s="21">
        <f t="shared" si="1"/>
        <v>1.250967038</v>
      </c>
      <c r="J19" s="11">
        <f t="shared" si="2"/>
        <v>0.08946197248</v>
      </c>
      <c r="K19" s="21">
        <f t="shared" si="3"/>
        <v>1.12697907</v>
      </c>
      <c r="L19" s="21">
        <f t="shared" si="4"/>
        <v>1.374955006</v>
      </c>
    </row>
    <row r="20">
      <c r="A20" s="101">
        <f t="shared" si="9"/>
        <v>2002</v>
      </c>
      <c r="B20" s="102">
        <f>'Hoja 40'!I20*1000</f>
        <v>263161938000</v>
      </c>
      <c r="C20" s="104">
        <f>'Hoja 40'!L20</f>
        <v>1.314226205</v>
      </c>
      <c r="D20" s="104">
        <f>'Hoja 40'!K20</f>
        <v>0.2449532593</v>
      </c>
      <c r="E20" s="103">
        <f>'Hoja 40'!J20</f>
        <v>6.679438363</v>
      </c>
      <c r="F20" s="103">
        <f>'Hoja 40'!M20</f>
        <v>4.365212158</v>
      </c>
      <c r="G20" s="103">
        <f t="shared" si="10"/>
        <v>5063500.67</v>
      </c>
      <c r="H20" s="125"/>
      <c r="I20" s="21">
        <f t="shared" si="1"/>
        <v>1.314226205</v>
      </c>
    </row>
    <row r="22">
      <c r="F22" s="11">
        <f>STDEV(C2:C6)</f>
        <v>0.075240719</v>
      </c>
    </row>
    <row r="23">
      <c r="A23" s="35"/>
      <c r="G23" s="35"/>
    </row>
    <row r="24">
      <c r="A24" s="14"/>
      <c r="G24" s="14" t="s">
        <v>371</v>
      </c>
    </row>
    <row r="25">
      <c r="A25" s="14"/>
      <c r="D25" s="21"/>
      <c r="E25" s="21"/>
      <c r="G25" s="14">
        <f>E20/(E20*(1-E20))</f>
        <v>-0.1760737481</v>
      </c>
      <c r="H25" s="4">
        <v>0.75</v>
      </c>
    </row>
    <row r="26">
      <c r="A26" s="68"/>
      <c r="D26" s="21"/>
      <c r="E26" s="21"/>
      <c r="F26" s="4">
        <v>1.0</v>
      </c>
      <c r="G26" s="68">
        <f t="shared" ref="G26:G40" si="11">$G$25*F26*(1-F26)</f>
        <v>0</v>
      </c>
      <c r="H26" s="68">
        <f t="shared" ref="H26:H40" si="12">$H$25*F26*(1-F26)</f>
        <v>0</v>
      </c>
    </row>
    <row r="27">
      <c r="A27" s="68"/>
      <c r="D27" s="21"/>
      <c r="E27" s="21"/>
      <c r="F27" s="4">
        <f t="shared" ref="F27:F40" si="13">F26+1</f>
        <v>2</v>
      </c>
      <c r="G27" s="68">
        <f t="shared" si="11"/>
        <v>0.3521474963</v>
      </c>
      <c r="H27" s="68">
        <f t="shared" si="12"/>
        <v>-1.5</v>
      </c>
    </row>
    <row r="28">
      <c r="A28" s="68"/>
      <c r="D28" s="21"/>
      <c r="E28" s="21"/>
      <c r="F28" s="4">
        <f t="shared" si="13"/>
        <v>3</v>
      </c>
      <c r="G28" s="68">
        <f t="shared" si="11"/>
        <v>1.056442489</v>
      </c>
      <c r="H28" s="68">
        <f t="shared" si="12"/>
        <v>-4.5</v>
      </c>
    </row>
    <row r="29">
      <c r="A29" s="68"/>
      <c r="D29" s="21"/>
      <c r="E29" s="21"/>
      <c r="F29" s="4">
        <f t="shared" si="13"/>
        <v>4</v>
      </c>
      <c r="G29" s="68">
        <f t="shared" si="11"/>
        <v>2.112884978</v>
      </c>
      <c r="H29" s="68">
        <f t="shared" si="12"/>
        <v>-9</v>
      </c>
    </row>
    <row r="30">
      <c r="A30" s="68"/>
      <c r="D30" s="21"/>
      <c r="E30" s="21"/>
      <c r="F30" s="4">
        <f t="shared" si="13"/>
        <v>5</v>
      </c>
      <c r="G30" s="68">
        <f t="shared" si="11"/>
        <v>3.521474963</v>
      </c>
      <c r="H30" s="68">
        <f t="shared" si="12"/>
        <v>-15</v>
      </c>
    </row>
    <row r="31">
      <c r="A31" s="68"/>
      <c r="D31" s="21"/>
      <c r="E31" s="21"/>
      <c r="F31" s="4">
        <f t="shared" si="13"/>
        <v>6</v>
      </c>
      <c r="G31" s="68">
        <f t="shared" si="11"/>
        <v>5.282212444</v>
      </c>
      <c r="H31" s="68">
        <f t="shared" si="12"/>
        <v>-22.5</v>
      </c>
    </row>
    <row r="32">
      <c r="A32" s="68"/>
      <c r="D32" s="21"/>
      <c r="E32" s="21"/>
      <c r="F32" s="4">
        <f t="shared" si="13"/>
        <v>7</v>
      </c>
      <c r="G32" s="68">
        <f t="shared" si="11"/>
        <v>7.395097422</v>
      </c>
      <c r="H32" s="68">
        <f t="shared" si="12"/>
        <v>-31.5</v>
      </c>
    </row>
    <row r="33">
      <c r="A33" s="68"/>
      <c r="D33" s="21"/>
      <c r="E33" s="21"/>
      <c r="F33" s="4">
        <f t="shared" si="13"/>
        <v>8</v>
      </c>
      <c r="G33" s="68">
        <f t="shared" si="11"/>
        <v>9.860129896</v>
      </c>
      <c r="H33" s="68">
        <f t="shared" si="12"/>
        <v>-42</v>
      </c>
    </row>
    <row r="34">
      <c r="A34" s="68"/>
      <c r="D34" s="21"/>
      <c r="E34" s="21"/>
      <c r="F34" s="4">
        <f t="shared" si="13"/>
        <v>9</v>
      </c>
      <c r="G34" s="68">
        <f t="shared" si="11"/>
        <v>12.67730987</v>
      </c>
      <c r="H34" s="68">
        <f t="shared" si="12"/>
        <v>-54</v>
      </c>
    </row>
    <row r="35">
      <c r="A35" s="68"/>
      <c r="D35" s="21"/>
      <c r="E35" s="21"/>
      <c r="F35" s="4">
        <f t="shared" si="13"/>
        <v>10</v>
      </c>
      <c r="G35" s="68">
        <f t="shared" si="11"/>
        <v>15.84663733</v>
      </c>
      <c r="H35" s="68">
        <f t="shared" si="12"/>
        <v>-67.5</v>
      </c>
    </row>
    <row r="36">
      <c r="A36" s="68"/>
      <c r="D36" s="21"/>
      <c r="E36" s="21"/>
      <c r="F36" s="4">
        <f t="shared" si="13"/>
        <v>11</v>
      </c>
      <c r="G36" s="68">
        <f t="shared" si="11"/>
        <v>19.3681123</v>
      </c>
      <c r="H36" s="68">
        <f t="shared" si="12"/>
        <v>-82.5</v>
      </c>
    </row>
    <row r="37">
      <c r="A37" s="68"/>
      <c r="D37" s="21"/>
      <c r="E37" s="21"/>
      <c r="F37" s="4">
        <f t="shared" si="13"/>
        <v>12</v>
      </c>
      <c r="G37" s="68">
        <f t="shared" si="11"/>
        <v>23.24173476</v>
      </c>
      <c r="H37" s="68">
        <f t="shared" si="12"/>
        <v>-99</v>
      </c>
    </row>
    <row r="38">
      <c r="A38" s="68"/>
      <c r="D38" s="21"/>
      <c r="E38" s="21"/>
      <c r="F38" s="4">
        <f t="shared" si="13"/>
        <v>13</v>
      </c>
      <c r="G38" s="68">
        <f t="shared" si="11"/>
        <v>27.46750471</v>
      </c>
      <c r="H38" s="68">
        <f t="shared" si="12"/>
        <v>-117</v>
      </c>
    </row>
    <row r="39">
      <c r="A39" s="68"/>
      <c r="D39" s="21"/>
      <c r="E39" s="21"/>
      <c r="F39" s="4">
        <f t="shared" si="13"/>
        <v>14</v>
      </c>
      <c r="G39" s="68">
        <f t="shared" si="11"/>
        <v>32.04542216</v>
      </c>
      <c r="H39" s="68">
        <f t="shared" si="12"/>
        <v>-136.5</v>
      </c>
    </row>
    <row r="40">
      <c r="A40" s="68"/>
      <c r="F40" s="4">
        <f t="shared" si="13"/>
        <v>15</v>
      </c>
      <c r="G40" s="68">
        <f t="shared" si="11"/>
        <v>36.97548711</v>
      </c>
      <c r="H40" s="68">
        <f t="shared" si="12"/>
        <v>-157.5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1" t="s">
        <v>245</v>
      </c>
    </row>
    <row r="2">
      <c r="B2" s="35" t="s">
        <v>202</v>
      </c>
    </row>
    <row r="3">
      <c r="B3" s="35" t="s">
        <v>197</v>
      </c>
    </row>
    <row r="4">
      <c r="B4" s="35">
        <v>2018.0</v>
      </c>
      <c r="C4" s="35">
        <v>2017.0</v>
      </c>
      <c r="D4" s="35">
        <v>2016.0</v>
      </c>
      <c r="E4" s="35">
        <v>2015.0</v>
      </c>
      <c r="F4" s="35">
        <v>2014.0</v>
      </c>
      <c r="G4" s="35">
        <v>2013.0</v>
      </c>
      <c r="H4" s="35">
        <v>2012.0</v>
      </c>
      <c r="I4" s="35">
        <v>2011.0</v>
      </c>
      <c r="J4" s="35">
        <v>2010.0</v>
      </c>
      <c r="K4" s="35">
        <v>2009.0</v>
      </c>
      <c r="L4" s="35">
        <v>2008.0</v>
      </c>
      <c r="M4" s="35">
        <v>2007.0</v>
      </c>
      <c r="N4" s="35">
        <v>2006.0</v>
      </c>
    </row>
    <row r="5">
      <c r="A5" s="35" t="s">
        <v>196</v>
      </c>
      <c r="B5" s="22">
        <v>19327.7</v>
      </c>
      <c r="C5" s="22">
        <v>18824.8</v>
      </c>
      <c r="D5" s="22">
        <v>18341.5</v>
      </c>
      <c r="E5" s="22">
        <v>17866.0</v>
      </c>
      <c r="F5" s="22">
        <v>17344.2</v>
      </c>
      <c r="G5" s="22">
        <v>17139.0</v>
      </c>
      <c r="H5" s="22">
        <v>17632.7</v>
      </c>
      <c r="I5" s="22">
        <v>18421.4</v>
      </c>
      <c r="J5" s="22">
        <v>18724.5</v>
      </c>
      <c r="K5" s="22">
        <v>19106.9</v>
      </c>
      <c r="L5" s="22">
        <v>20469.7</v>
      </c>
      <c r="M5" s="22">
        <v>20579.9</v>
      </c>
      <c r="N5" s="22">
        <v>19939.1</v>
      </c>
    </row>
    <row r="7">
      <c r="B7" s="35">
        <v>2018.0</v>
      </c>
      <c r="C7" s="22">
        <v>19327.7</v>
      </c>
      <c r="D7" s="11">
        <f t="shared" ref="D7:D19" si="1">C7*1000</f>
        <v>19327700</v>
      </c>
    </row>
    <row r="8">
      <c r="B8" s="35">
        <v>2017.0</v>
      </c>
      <c r="C8" s="22">
        <v>18824.8</v>
      </c>
      <c r="D8" s="11">
        <f t="shared" si="1"/>
        <v>18824800</v>
      </c>
    </row>
    <row r="9">
      <c r="B9" s="35">
        <v>2016.0</v>
      </c>
      <c r="C9" s="22">
        <v>18341.5</v>
      </c>
      <c r="D9" s="11">
        <f t="shared" si="1"/>
        <v>18341500</v>
      </c>
    </row>
    <row r="10">
      <c r="B10" s="35">
        <v>2015.0</v>
      </c>
      <c r="C10" s="22">
        <v>17866.0</v>
      </c>
      <c r="D10" s="11">
        <f t="shared" si="1"/>
        <v>17866000</v>
      </c>
    </row>
    <row r="11">
      <c r="B11" s="35">
        <v>2014.0</v>
      </c>
      <c r="C11" s="22">
        <v>17344.2</v>
      </c>
      <c r="D11" s="11">
        <f t="shared" si="1"/>
        <v>17344200</v>
      </c>
    </row>
    <row r="12">
      <c r="B12" s="35">
        <v>2013.0</v>
      </c>
      <c r="C12" s="22">
        <v>17139.0</v>
      </c>
      <c r="D12" s="11">
        <f t="shared" si="1"/>
        <v>17139000</v>
      </c>
    </row>
    <row r="13">
      <c r="B13" s="35">
        <v>2012.0</v>
      </c>
      <c r="C13" s="22">
        <v>17632.7</v>
      </c>
      <c r="D13" s="11">
        <f t="shared" si="1"/>
        <v>17632700</v>
      </c>
    </row>
    <row r="14">
      <c r="B14" s="35">
        <v>2011.0</v>
      </c>
      <c r="C14" s="22">
        <v>18421.4</v>
      </c>
      <c r="D14" s="11">
        <f t="shared" si="1"/>
        <v>18421400</v>
      </c>
    </row>
    <row r="15">
      <c r="B15" s="35">
        <v>2010.0</v>
      </c>
      <c r="C15" s="22">
        <v>18724.5</v>
      </c>
      <c r="D15" s="11">
        <f t="shared" si="1"/>
        <v>18724500</v>
      </c>
    </row>
    <row r="16">
      <c r="B16" s="35">
        <v>2009.0</v>
      </c>
      <c r="C16" s="22">
        <v>19106.9</v>
      </c>
      <c r="D16" s="11">
        <f t="shared" si="1"/>
        <v>19106900</v>
      </c>
    </row>
    <row r="17">
      <c r="B17" s="35">
        <v>2008.0</v>
      </c>
      <c r="C17" s="22">
        <v>20469.7</v>
      </c>
      <c r="D17" s="11">
        <f t="shared" si="1"/>
        <v>20469700</v>
      </c>
    </row>
    <row r="18">
      <c r="B18" s="35">
        <v>2007.0</v>
      </c>
      <c r="C18" s="22">
        <v>20579.9</v>
      </c>
      <c r="D18" s="11">
        <f t="shared" si="1"/>
        <v>20579900</v>
      </c>
    </row>
    <row r="19">
      <c r="B19" s="35">
        <v>2006.0</v>
      </c>
      <c r="C19" s="22">
        <v>19939.1</v>
      </c>
      <c r="D19" s="11">
        <f t="shared" si="1"/>
        <v>19939100</v>
      </c>
    </row>
  </sheetData>
  <mergeCells count="3">
    <mergeCell ref="A2:A4"/>
    <mergeCell ref="B2:N2"/>
    <mergeCell ref="B3:N3"/>
  </mergeCells>
  <hyperlinks>
    <hyperlink r:id="rId1" location="tabs-grafico" ref="A1"/>
  </hyperlin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1.0"/>
    <col customWidth="1" min="3" max="3" width="13.63"/>
    <col customWidth="1" min="4" max="4" width="16.0"/>
    <col customWidth="1" min="5" max="5" width="9.5"/>
    <col customWidth="1" min="6" max="6" width="11.63"/>
    <col customWidth="1" min="7" max="7" width="11.75"/>
    <col customWidth="1" min="14" max="14" width="15.63"/>
  </cols>
  <sheetData>
    <row r="1">
      <c r="A1" s="63"/>
      <c r="B1" s="27" t="s">
        <v>119</v>
      </c>
      <c r="C1" s="28" t="s">
        <v>42</v>
      </c>
      <c r="D1" s="28" t="s">
        <v>43</v>
      </c>
      <c r="E1" s="28" t="s">
        <v>44</v>
      </c>
      <c r="F1" s="28" t="s">
        <v>45</v>
      </c>
      <c r="G1" s="28" t="s">
        <v>46</v>
      </c>
      <c r="H1" s="27" t="s">
        <v>120</v>
      </c>
      <c r="I1" s="28" t="s">
        <v>37</v>
      </c>
      <c r="J1" s="27" t="s">
        <v>121</v>
      </c>
      <c r="K1" s="28" t="s">
        <v>36</v>
      </c>
      <c r="L1" s="28" t="s">
        <v>38</v>
      </c>
      <c r="M1" s="28" t="s">
        <v>49</v>
      </c>
      <c r="N1" s="27" t="s">
        <v>122</v>
      </c>
      <c r="O1" s="27" t="s">
        <v>123</v>
      </c>
      <c r="P1" s="28" t="s">
        <v>51</v>
      </c>
    </row>
    <row r="2">
      <c r="A2" s="78" t="s">
        <v>157</v>
      </c>
      <c r="B2" s="65">
        <v>40712.0</v>
      </c>
      <c r="C2" s="68">
        <v>7.837526E9</v>
      </c>
      <c r="D2" s="68">
        <f>2665743000-278806</f>
        <v>2665464194</v>
      </c>
      <c r="E2" s="65">
        <v>6513000.0</v>
      </c>
      <c r="F2" s="65">
        <v>2.0916244E10</v>
      </c>
      <c r="G2" s="67">
        <f t="shared" ref="G2:G7" si="1">C2+D2+E2</f>
        <v>10509503194</v>
      </c>
      <c r="H2" s="65">
        <v>5.3676394E10</v>
      </c>
      <c r="I2" s="67">
        <f t="shared" ref="I2:I7" si="2">H2-F2-G2-E2</f>
        <v>22244133806</v>
      </c>
      <c r="J2" s="68">
        <f t="shared" ref="J2:J7" si="3">1+M2+L2</f>
        <v>2.565942576</v>
      </c>
      <c r="K2" s="68">
        <f t="shared" ref="K2:K7" si="4">I2/(F2+G2)</f>
        <v>0.707831501</v>
      </c>
      <c r="L2" s="68">
        <f t="shared" ref="L2:L7" si="5">I2/F2</f>
        <v>1.063486054</v>
      </c>
      <c r="M2" s="68">
        <f t="shared" ref="M2:M7" si="6">G2/F2</f>
        <v>0.5024565211</v>
      </c>
      <c r="N2" s="67">
        <f t="shared" ref="N2:N7" si="7">I2+G2+F2</f>
        <v>53669881000</v>
      </c>
      <c r="O2" s="77">
        <f t="shared" ref="O2:O7" si="8">((((I2*7.51)/60)/12)/24)/365</f>
        <v>26486.14994</v>
      </c>
      <c r="P2" s="69">
        <f t="shared" ref="P2:P7" si="9">N2/H2</f>
        <v>0.9998786617</v>
      </c>
      <c r="Q2" s="25">
        <f t="shared" ref="Q2:Q7" si="10">G2+F2</f>
        <v>31425747194</v>
      </c>
      <c r="R2" s="11">
        <f t="shared" ref="R2:R7" si="11">Q2/H2</f>
        <v>0.5854668105</v>
      </c>
    </row>
    <row r="3">
      <c r="A3" s="78" t="s">
        <v>158</v>
      </c>
      <c r="B3" s="65">
        <v>23876.0</v>
      </c>
      <c r="C3" s="65">
        <v>8.899902E9</v>
      </c>
      <c r="D3" s="68">
        <f>475826000+47833000</f>
        <v>523659000</v>
      </c>
      <c r="E3" s="65">
        <v>2.1847E7</v>
      </c>
      <c r="F3" s="65">
        <v>3.037798E9</v>
      </c>
      <c r="G3" s="67">
        <f t="shared" si="1"/>
        <v>9445408000</v>
      </c>
      <c r="H3" s="65">
        <v>1.65338E10</v>
      </c>
      <c r="I3" s="67">
        <f t="shared" si="2"/>
        <v>4028747000</v>
      </c>
      <c r="J3" s="68">
        <f t="shared" si="3"/>
        <v>5.435500649</v>
      </c>
      <c r="K3" s="68">
        <f t="shared" si="4"/>
        <v>0.3227333587</v>
      </c>
      <c r="L3" s="68">
        <f t="shared" si="5"/>
        <v>1.326206351</v>
      </c>
      <c r="M3" s="68">
        <f t="shared" si="6"/>
        <v>3.109294298</v>
      </c>
      <c r="N3" s="67">
        <f t="shared" si="7"/>
        <v>16511953000</v>
      </c>
      <c r="O3" s="77">
        <f t="shared" si="8"/>
        <v>4797.039886</v>
      </c>
      <c r="P3" s="69">
        <f t="shared" si="9"/>
        <v>0.9986786462</v>
      </c>
      <c r="Q3" s="25">
        <f t="shared" si="10"/>
        <v>12483206000</v>
      </c>
      <c r="R3" s="11">
        <f t="shared" si="11"/>
        <v>0.7550113102</v>
      </c>
    </row>
    <row r="4">
      <c r="A4" s="78" t="s">
        <v>159</v>
      </c>
      <c r="B4" s="65">
        <v>27978.0</v>
      </c>
      <c r="C4" s="65">
        <v>4.7672986E10</v>
      </c>
      <c r="D4" s="68">
        <f>1005426000-24350000</f>
        <v>981076000</v>
      </c>
      <c r="E4" s="65">
        <v>1.06544E8</v>
      </c>
      <c r="F4" s="65">
        <v>6.324896E9</v>
      </c>
      <c r="G4" s="67">
        <f t="shared" si="1"/>
        <v>48760606000</v>
      </c>
      <c r="H4" s="65">
        <v>6.0535556E10</v>
      </c>
      <c r="I4" s="67">
        <f t="shared" si="2"/>
        <v>5343510000</v>
      </c>
      <c r="J4" s="68">
        <f t="shared" si="3"/>
        <v>9.554151088</v>
      </c>
      <c r="K4" s="68">
        <f t="shared" si="4"/>
        <v>0.09700392673</v>
      </c>
      <c r="L4" s="68">
        <f t="shared" si="5"/>
        <v>0.8448376068</v>
      </c>
      <c r="M4" s="68">
        <f t="shared" si="6"/>
        <v>7.709313481</v>
      </c>
      <c r="N4" s="67">
        <f t="shared" si="7"/>
        <v>60429012000</v>
      </c>
      <c r="O4" s="77">
        <f t="shared" si="8"/>
        <v>6362.531726</v>
      </c>
      <c r="P4" s="69">
        <f t="shared" si="9"/>
        <v>0.9982399765</v>
      </c>
      <c r="Q4" s="25">
        <f t="shared" si="10"/>
        <v>55085502000</v>
      </c>
      <c r="R4" s="11">
        <f t="shared" si="11"/>
        <v>0.909969374</v>
      </c>
    </row>
    <row r="5">
      <c r="A5" s="78" t="s">
        <v>77</v>
      </c>
      <c r="B5" s="65">
        <v>24565.0</v>
      </c>
      <c r="C5" s="65">
        <v>9.33297164E11</v>
      </c>
      <c r="D5" s="68">
        <f>52948924000-17209771000</f>
        <v>35739153000</v>
      </c>
      <c r="E5" s="65">
        <v>1.4981922E10</v>
      </c>
      <c r="F5" s="65">
        <v>1.93568111E11</v>
      </c>
      <c r="G5" s="67">
        <f t="shared" si="1"/>
        <v>984018239000</v>
      </c>
      <c r="H5" s="65">
        <v>1.542530394E12</v>
      </c>
      <c r="I5" s="67">
        <f t="shared" si="2"/>
        <v>349962122000</v>
      </c>
      <c r="J5" s="68">
        <f t="shared" si="3"/>
        <v>7.891529571</v>
      </c>
      <c r="K5" s="68">
        <f t="shared" si="4"/>
        <v>0.2971859533</v>
      </c>
      <c r="L5" s="68">
        <f t="shared" si="5"/>
        <v>1.807953388</v>
      </c>
      <c r="M5" s="68">
        <f t="shared" si="6"/>
        <v>5.083576184</v>
      </c>
      <c r="N5" s="67">
        <f t="shared" si="7"/>
        <v>1527548472000</v>
      </c>
      <c r="O5" s="77">
        <f t="shared" si="8"/>
        <v>416700.8397</v>
      </c>
      <c r="P5" s="69">
        <f t="shared" si="9"/>
        <v>0.9902874381</v>
      </c>
      <c r="Q5" s="25">
        <f t="shared" si="10"/>
        <v>1177586350000</v>
      </c>
      <c r="R5" s="11">
        <f t="shared" si="11"/>
        <v>0.7634120887</v>
      </c>
    </row>
    <row r="6">
      <c r="A6" s="64" t="s">
        <v>160</v>
      </c>
      <c r="B6" s="65">
        <v>1289769.0</v>
      </c>
      <c r="C6" s="65">
        <v>2.4848992E11</v>
      </c>
      <c r="D6" s="68">
        <f>-14475153000-1854922000</f>
        <v>-16330075000</v>
      </c>
      <c r="E6" s="65">
        <v>6.38719E9</v>
      </c>
      <c r="F6" s="65">
        <v>1.22635107E11</v>
      </c>
      <c r="G6" s="67">
        <f t="shared" si="1"/>
        <v>238547035000</v>
      </c>
      <c r="H6" s="65">
        <v>5.0152832E11</v>
      </c>
      <c r="I6" s="67">
        <f t="shared" si="2"/>
        <v>133958988000</v>
      </c>
      <c r="J6" s="68">
        <f t="shared" si="3"/>
        <v>4.037515375</v>
      </c>
      <c r="K6" s="68">
        <f t="shared" si="4"/>
        <v>0.3708903969</v>
      </c>
      <c r="L6" s="68">
        <f t="shared" si="5"/>
        <v>1.092338004</v>
      </c>
      <c r="M6" s="68">
        <f t="shared" si="6"/>
        <v>1.945177371</v>
      </c>
      <c r="N6" s="67">
        <f t="shared" si="7"/>
        <v>495141130000</v>
      </c>
      <c r="O6" s="77">
        <f t="shared" si="8"/>
        <v>159505.3272</v>
      </c>
      <c r="P6" s="69">
        <f t="shared" si="9"/>
        <v>0.9872645477</v>
      </c>
      <c r="Q6" s="25">
        <f t="shared" si="10"/>
        <v>361182142000</v>
      </c>
      <c r="R6" s="11">
        <f t="shared" si="11"/>
        <v>0.720163005</v>
      </c>
    </row>
    <row r="7">
      <c r="A7" s="79" t="s">
        <v>161</v>
      </c>
      <c r="B7" s="80">
        <f t="shared" ref="B7:F7" si="12">SUM(B2:B6)</f>
        <v>1406900</v>
      </c>
      <c r="C7" s="83">
        <f t="shared" si="12"/>
        <v>1246197498000</v>
      </c>
      <c r="D7" s="83">
        <f t="shared" si="12"/>
        <v>23579277194</v>
      </c>
      <c r="E7" s="80">
        <f t="shared" si="12"/>
        <v>21504016000</v>
      </c>
      <c r="F7" s="80">
        <f t="shared" si="12"/>
        <v>346482156000</v>
      </c>
      <c r="G7" s="80">
        <f t="shared" si="1"/>
        <v>1291280791194</v>
      </c>
      <c r="H7" s="82">
        <f>SUM(H2:H6)</f>
        <v>2174804464000</v>
      </c>
      <c r="I7" s="80">
        <f t="shared" si="2"/>
        <v>515537500806</v>
      </c>
      <c r="J7" s="83">
        <f t="shared" si="3"/>
        <v>6.214751354</v>
      </c>
      <c r="K7" s="83">
        <f t="shared" si="4"/>
        <v>0.3147815144</v>
      </c>
      <c r="L7" s="83">
        <f t="shared" si="5"/>
        <v>1.48791934</v>
      </c>
      <c r="M7" s="83">
        <f t="shared" si="6"/>
        <v>3.726832014</v>
      </c>
      <c r="N7" s="80">
        <f t="shared" si="7"/>
        <v>2153300448000</v>
      </c>
      <c r="O7" s="81">
        <f t="shared" si="8"/>
        <v>613851.8885</v>
      </c>
      <c r="P7" s="84">
        <f t="shared" si="9"/>
        <v>0.9901122072</v>
      </c>
      <c r="Q7" s="25">
        <f t="shared" si="10"/>
        <v>1637762947194</v>
      </c>
      <c r="R7" s="11">
        <f t="shared" si="11"/>
        <v>0.75306216</v>
      </c>
    </row>
    <row r="8">
      <c r="A8" s="71" t="s">
        <v>162</v>
      </c>
      <c r="B8" s="68"/>
      <c r="C8" s="68"/>
      <c r="D8" s="68"/>
      <c r="E8" s="68"/>
      <c r="F8" s="68"/>
      <c r="G8" s="68"/>
      <c r="H8" s="65"/>
      <c r="I8" s="68"/>
      <c r="J8" s="68"/>
      <c r="K8" s="68"/>
      <c r="L8" s="68"/>
      <c r="M8" s="68"/>
      <c r="N8" s="68"/>
      <c r="O8" s="77">
        <f>((((I7*10.12)*1000)/(H119*1000))/60)/24</f>
        <v>223176.2927</v>
      </c>
      <c r="P8" s="69"/>
    </row>
    <row r="9">
      <c r="A9" s="68"/>
      <c r="B9" s="68"/>
      <c r="C9" s="68"/>
      <c r="D9" s="68"/>
      <c r="E9" s="68"/>
      <c r="F9" s="68"/>
      <c r="G9" s="68"/>
      <c r="H9" s="65"/>
      <c r="I9" s="16">
        <f>(I7*1000)/1000000</f>
        <v>515537500.8</v>
      </c>
      <c r="J9" s="68">
        <v>906428.57</v>
      </c>
      <c r="K9" s="68"/>
      <c r="L9" s="68"/>
      <c r="M9" s="68"/>
      <c r="N9" s="68"/>
      <c r="O9" s="14" t="s">
        <v>163</v>
      </c>
      <c r="P9" s="69"/>
    </row>
    <row r="10">
      <c r="A10" s="68"/>
      <c r="B10" s="68"/>
      <c r="C10" s="68"/>
      <c r="D10" s="68"/>
      <c r="E10" s="68"/>
      <c r="F10" s="68"/>
      <c r="G10" s="68"/>
      <c r="H10" s="65"/>
      <c r="I10" s="68"/>
      <c r="J10" s="68"/>
      <c r="K10" s="68"/>
      <c r="L10" s="68"/>
      <c r="M10" s="68"/>
      <c r="N10" s="68"/>
      <c r="O10" s="69"/>
      <c r="P10" s="69"/>
    </row>
    <row r="11">
      <c r="A11" s="68"/>
      <c r="B11" s="70"/>
      <c r="C11" s="70"/>
      <c r="D11" s="70"/>
      <c r="E11" s="70" t="s">
        <v>372</v>
      </c>
      <c r="F11" s="68"/>
      <c r="G11" s="68"/>
      <c r="H11" s="68"/>
      <c r="I11" s="70"/>
      <c r="J11" s="70"/>
      <c r="K11" s="70"/>
      <c r="L11" s="70"/>
      <c r="M11" s="68"/>
      <c r="N11" s="14"/>
    </row>
    <row r="12">
      <c r="A12" s="70" t="s">
        <v>37</v>
      </c>
      <c r="B12" s="16">
        <v>5.15537500806E11</v>
      </c>
      <c r="D12" s="68"/>
      <c r="E12" s="70" t="s">
        <v>37</v>
      </c>
      <c r="F12" s="69">
        <f t="shared" ref="F12:F15" si="13">B12/$B$16</f>
        <v>0.4131879053</v>
      </c>
      <c r="G12" s="68"/>
      <c r="H12" s="70"/>
      <c r="I12" s="68"/>
      <c r="J12" s="68"/>
      <c r="K12" s="68"/>
      <c r="L12" s="68"/>
      <c r="M12" s="68"/>
      <c r="N12" s="68"/>
    </row>
    <row r="13">
      <c r="A13" s="70" t="s">
        <v>120</v>
      </c>
      <c r="B13" s="16">
        <v>2.174804464E12</v>
      </c>
      <c r="D13" s="68"/>
      <c r="E13" s="70" t="s">
        <v>120</v>
      </c>
      <c r="F13" s="69">
        <f t="shared" si="13"/>
        <v>1.743040806</v>
      </c>
      <c r="G13" s="68"/>
      <c r="H13" s="70"/>
      <c r="I13" s="14"/>
      <c r="J13" s="68"/>
      <c r="K13" s="68"/>
      <c r="L13" s="68"/>
      <c r="M13" s="68"/>
      <c r="N13" s="68"/>
      <c r="O13" s="68"/>
      <c r="P13" s="68"/>
    </row>
    <row r="14">
      <c r="A14" s="70" t="s">
        <v>373</v>
      </c>
      <c r="B14" s="16">
        <v>5.24037E11</v>
      </c>
      <c r="D14" s="14"/>
      <c r="E14" s="70" t="s">
        <v>373</v>
      </c>
      <c r="F14" s="69">
        <f t="shared" si="13"/>
        <v>0.42</v>
      </c>
      <c r="G14" s="68"/>
      <c r="H14" s="70"/>
      <c r="I14" s="14"/>
      <c r="J14" s="14"/>
      <c r="K14" s="68"/>
      <c r="L14" s="68"/>
      <c r="M14" s="68"/>
      <c r="N14" s="68"/>
      <c r="O14" s="68"/>
      <c r="P14" s="68"/>
    </row>
    <row r="15">
      <c r="A15" s="70" t="s">
        <v>374</v>
      </c>
      <c r="B15" s="16">
        <f>B14-B12</f>
        <v>8499499194</v>
      </c>
      <c r="D15" s="68"/>
      <c r="E15" s="70" t="s">
        <v>374</v>
      </c>
      <c r="F15" s="69">
        <f t="shared" si="13"/>
        <v>0.006812094683</v>
      </c>
      <c r="H15" s="70"/>
      <c r="I15" s="14"/>
      <c r="J15" s="14"/>
      <c r="K15" s="14"/>
      <c r="L15" s="68"/>
    </row>
    <row r="16">
      <c r="A16" s="70" t="s">
        <v>375</v>
      </c>
      <c r="B16" s="16">
        <f>B14/0.42</f>
        <v>1247707142857</v>
      </c>
      <c r="D16" s="35"/>
      <c r="E16" s="35"/>
      <c r="H16" s="35"/>
    </row>
    <row r="19">
      <c r="N19" s="87"/>
    </row>
    <row r="29">
      <c r="A29" s="14" t="s">
        <v>182</v>
      </c>
      <c r="B29" s="14" t="s">
        <v>183</v>
      </c>
      <c r="C29" s="14" t="s">
        <v>147</v>
      </c>
      <c r="D29" s="14" t="s">
        <v>184</v>
      </c>
      <c r="E29" s="14" t="s">
        <v>185</v>
      </c>
    </row>
    <row r="30">
      <c r="A30" s="14">
        <v>1571.0</v>
      </c>
      <c r="B30" s="4">
        <v>2102.0</v>
      </c>
      <c r="C30" s="68">
        <f>0.1</f>
        <v>0.1</v>
      </c>
      <c r="D30" s="14">
        <v>80.0</v>
      </c>
      <c r="E30" s="14">
        <v>90.0</v>
      </c>
    </row>
    <row r="31">
      <c r="A31" s="14">
        <v>393.0</v>
      </c>
      <c r="B31" s="4">
        <v>526.0</v>
      </c>
      <c r="C31" s="68">
        <f t="shared" ref="C31:C39" si="14">C30+0.1</f>
        <v>0.2</v>
      </c>
      <c r="D31" s="14">
        <v>80.0</v>
      </c>
      <c r="E31" s="14">
        <v>90.0</v>
      </c>
    </row>
    <row r="32">
      <c r="A32" s="14">
        <v>175.0</v>
      </c>
      <c r="B32" s="4">
        <v>234.0</v>
      </c>
      <c r="C32" s="68">
        <f t="shared" si="14"/>
        <v>0.3</v>
      </c>
      <c r="D32" s="14">
        <v>80.0</v>
      </c>
      <c r="E32" s="14">
        <v>90.0</v>
      </c>
    </row>
    <row r="33">
      <c r="A33" s="14">
        <v>99.0</v>
      </c>
      <c r="B33" s="4">
        <v>132.0</v>
      </c>
      <c r="C33" s="68">
        <f t="shared" si="14"/>
        <v>0.4</v>
      </c>
      <c r="D33" s="14">
        <v>80.0</v>
      </c>
      <c r="E33" s="14">
        <v>90.0</v>
      </c>
    </row>
    <row r="34">
      <c r="A34" s="14">
        <v>63.0</v>
      </c>
      <c r="B34" s="4">
        <v>85.0</v>
      </c>
      <c r="C34" s="68">
        <f t="shared" si="14"/>
        <v>0.5</v>
      </c>
      <c r="D34" s="14">
        <v>80.0</v>
      </c>
      <c r="E34" s="14">
        <v>90.0</v>
      </c>
    </row>
    <row r="35">
      <c r="A35" s="14">
        <v>44.0</v>
      </c>
      <c r="B35" s="4">
        <v>59.0</v>
      </c>
      <c r="C35" s="68">
        <f t="shared" si="14"/>
        <v>0.6</v>
      </c>
      <c r="D35" s="14">
        <v>80.0</v>
      </c>
      <c r="E35" s="14">
        <v>90.0</v>
      </c>
    </row>
    <row r="36">
      <c r="A36" s="14">
        <v>33.0</v>
      </c>
      <c r="B36" s="4">
        <v>44.0</v>
      </c>
      <c r="C36" s="68">
        <f t="shared" si="14"/>
        <v>0.7</v>
      </c>
      <c r="D36" s="14">
        <v>80.0</v>
      </c>
      <c r="E36" s="14">
        <v>90.0</v>
      </c>
    </row>
    <row r="37">
      <c r="A37" s="14">
        <v>25.0</v>
      </c>
      <c r="B37" s="4">
        <v>34.0</v>
      </c>
      <c r="C37" s="68">
        <f t="shared" si="14"/>
        <v>0.8</v>
      </c>
      <c r="D37" s="14">
        <v>80.0</v>
      </c>
      <c r="E37" s="14">
        <v>90.0</v>
      </c>
    </row>
    <row r="38">
      <c r="A38" s="14">
        <v>20.0</v>
      </c>
      <c r="B38" s="4">
        <v>27.0</v>
      </c>
      <c r="C38" s="68">
        <f t="shared" si="14"/>
        <v>0.9</v>
      </c>
      <c r="D38" s="14">
        <v>80.0</v>
      </c>
      <c r="E38" s="14">
        <v>90.0</v>
      </c>
    </row>
    <row r="39">
      <c r="A39" s="14">
        <v>16.0</v>
      </c>
      <c r="B39" s="4">
        <v>22.0</v>
      </c>
      <c r="C39" s="68">
        <f t="shared" si="14"/>
        <v>1</v>
      </c>
      <c r="D39" s="14">
        <v>80.0</v>
      </c>
      <c r="E39" s="14">
        <v>90.0</v>
      </c>
    </row>
    <row r="40">
      <c r="A40" s="68"/>
      <c r="C40" s="68"/>
      <c r="D40" s="14"/>
      <c r="E40" s="14"/>
    </row>
    <row r="41">
      <c r="A41" s="68"/>
      <c r="C41" s="68"/>
      <c r="D41" s="14"/>
      <c r="E41" s="14"/>
    </row>
    <row r="42">
      <c r="A42" s="35" t="s">
        <v>186</v>
      </c>
      <c r="B42" s="35" t="s">
        <v>187</v>
      </c>
      <c r="C42" s="35" t="s">
        <v>188</v>
      </c>
      <c r="D42" s="14"/>
      <c r="E42" s="14"/>
    </row>
    <row r="43">
      <c r="A43" s="14">
        <v>5.0</v>
      </c>
      <c r="B43" s="14">
        <v>2.02</v>
      </c>
      <c r="C43" s="14">
        <v>2.347</v>
      </c>
      <c r="D43" s="14"/>
      <c r="E43" s="14"/>
    </row>
    <row r="44">
      <c r="A44" s="14">
        <f t="shared" ref="A44:A62" si="15">A43+5</f>
        <v>10</v>
      </c>
      <c r="B44" s="14">
        <v>1.32</v>
      </c>
      <c r="C44" s="14">
        <v>1.533</v>
      </c>
      <c r="D44" s="14"/>
      <c r="E44" s="14"/>
    </row>
    <row r="45">
      <c r="A45" s="14">
        <f t="shared" si="15"/>
        <v>15</v>
      </c>
      <c r="B45" s="14">
        <v>1.05</v>
      </c>
      <c r="C45" s="14">
        <v>1.22</v>
      </c>
      <c r="D45" s="14"/>
      <c r="E45" s="14"/>
    </row>
    <row r="46">
      <c r="A46" s="14">
        <f t="shared" si="15"/>
        <v>20</v>
      </c>
      <c r="B46" s="14">
        <v>0.909</v>
      </c>
      <c r="C46" s="14">
        <v>1.051</v>
      </c>
      <c r="D46" s="14"/>
      <c r="E46" s="14"/>
    </row>
    <row r="47">
      <c r="A47" s="14">
        <f t="shared" si="15"/>
        <v>25</v>
      </c>
      <c r="B47" s="14">
        <v>0.808</v>
      </c>
      <c r="C47" s="14">
        <v>0.935</v>
      </c>
      <c r="D47" s="14"/>
      <c r="E47" s="14"/>
    </row>
    <row r="48">
      <c r="A48" s="14">
        <f t="shared" si="15"/>
        <v>30</v>
      </c>
      <c r="B48" s="14">
        <v>0.735</v>
      </c>
      <c r="C48" s="14">
        <v>0.851</v>
      </c>
      <c r="D48" s="14"/>
      <c r="E48" s="14"/>
    </row>
    <row r="49">
      <c r="A49" s="14">
        <f t="shared" si="15"/>
        <v>35</v>
      </c>
      <c r="B49" s="14">
        <v>0.679</v>
      </c>
      <c r="C49" s="14">
        <v>0.786</v>
      </c>
      <c r="D49" s="14"/>
      <c r="E49" s="14"/>
    </row>
    <row r="50">
      <c r="A50" s="14">
        <f t="shared" si="15"/>
        <v>40</v>
      </c>
      <c r="B50" s="14">
        <v>0.634</v>
      </c>
      <c r="C50" s="14">
        <v>0.733</v>
      </c>
      <c r="D50" s="14"/>
      <c r="E50" s="14"/>
    </row>
    <row r="51">
      <c r="A51" s="14">
        <f t="shared" si="15"/>
        <v>45</v>
      </c>
      <c r="B51" s="14">
        <v>0.597</v>
      </c>
      <c r="C51" s="14">
        <v>0.69</v>
      </c>
      <c r="D51" s="14"/>
      <c r="E51" s="14"/>
    </row>
    <row r="52">
      <c r="A52" s="14">
        <f t="shared" si="15"/>
        <v>50</v>
      </c>
      <c r="B52" s="14">
        <v>0.565</v>
      </c>
      <c r="C52" s="14">
        <v>0.654</v>
      </c>
      <c r="D52" s="14"/>
      <c r="E52" s="14"/>
    </row>
    <row r="53">
      <c r="A53" s="14">
        <f t="shared" si="15"/>
        <v>55</v>
      </c>
      <c r="B53" s="14">
        <v>0.539</v>
      </c>
      <c r="C53" s="14">
        <v>0.623</v>
      </c>
      <c r="D53" s="14"/>
      <c r="E53" s="14"/>
    </row>
    <row r="54">
      <c r="A54" s="14">
        <f t="shared" si="15"/>
        <v>60</v>
      </c>
      <c r="B54" s="14">
        <v>0.515</v>
      </c>
      <c r="C54" s="14">
        <v>0.596</v>
      </c>
      <c r="D54" s="14"/>
      <c r="E54" s="14"/>
    </row>
    <row r="55">
      <c r="A55" s="14">
        <f t="shared" si="15"/>
        <v>65</v>
      </c>
      <c r="B55" s="14">
        <v>0.495</v>
      </c>
      <c r="C55" s="14">
        <v>0.572</v>
      </c>
      <c r="D55" s="14"/>
      <c r="E55" s="14"/>
    </row>
    <row r="56">
      <c r="A56" s="14">
        <f t="shared" si="15"/>
        <v>70</v>
      </c>
      <c r="B56" s="14">
        <v>0.476</v>
      </c>
      <c r="C56" s="14">
        <v>0.551</v>
      </c>
      <c r="D56" s="14"/>
      <c r="E56" s="14"/>
    </row>
    <row r="57">
      <c r="A57" s="14">
        <f t="shared" si="15"/>
        <v>75</v>
      </c>
      <c r="B57" s="14">
        <v>0.46</v>
      </c>
      <c r="C57" s="14">
        <v>0.532</v>
      </c>
      <c r="D57" s="14"/>
      <c r="E57" s="14"/>
    </row>
    <row r="58">
      <c r="A58" s="14">
        <f t="shared" si="15"/>
        <v>80</v>
      </c>
      <c r="B58" s="14">
        <v>0.44</v>
      </c>
      <c r="C58" s="14">
        <v>0.515</v>
      </c>
      <c r="D58" s="14"/>
      <c r="E58" s="14"/>
    </row>
    <row r="59">
      <c r="A59" s="14">
        <f t="shared" si="15"/>
        <v>85</v>
      </c>
      <c r="B59" s="14">
        <v>0.432</v>
      </c>
      <c r="C59" s="14">
        <v>0.5</v>
      </c>
      <c r="D59" s="14"/>
      <c r="E59" s="14"/>
    </row>
    <row r="60">
      <c r="A60" s="14">
        <f t="shared" si="15"/>
        <v>90</v>
      </c>
      <c r="B60" s="14">
        <v>0.419</v>
      </c>
      <c r="C60" s="14">
        <v>0.485</v>
      </c>
      <c r="D60" s="14"/>
      <c r="E60" s="14"/>
    </row>
    <row r="61">
      <c r="A61" s="14">
        <f t="shared" si="15"/>
        <v>95</v>
      </c>
      <c r="B61" s="14">
        <v>0.408</v>
      </c>
      <c r="C61" s="14">
        <v>0.472</v>
      </c>
      <c r="D61" s="14"/>
      <c r="E61" s="14"/>
    </row>
    <row r="62">
      <c r="A62" s="14">
        <f t="shared" si="15"/>
        <v>100</v>
      </c>
      <c r="B62" s="14">
        <v>0.398</v>
      </c>
      <c r="C62" s="14">
        <v>0.46</v>
      </c>
      <c r="D62" s="14"/>
      <c r="E62" s="14"/>
    </row>
    <row r="63">
      <c r="A63" s="68"/>
      <c r="C63" s="68"/>
      <c r="D63" s="14"/>
      <c r="E63" s="14"/>
    </row>
    <row r="64">
      <c r="A64" s="68"/>
      <c r="C64" s="68"/>
      <c r="D64" s="14"/>
      <c r="E64" s="14"/>
    </row>
    <row r="65">
      <c r="A65" s="68"/>
      <c r="C65" s="68"/>
      <c r="D65" s="14"/>
      <c r="E65" s="14"/>
    </row>
    <row r="66">
      <c r="A66" s="68"/>
      <c r="C66" s="68"/>
      <c r="D66" s="14"/>
      <c r="E66" s="14"/>
    </row>
    <row r="67">
      <c r="A67" s="68"/>
      <c r="C67" s="68"/>
      <c r="D67" s="14"/>
      <c r="E67" s="14"/>
    </row>
    <row r="68">
      <c r="A68" s="35"/>
      <c r="B68" s="35" t="s">
        <v>186</v>
      </c>
      <c r="C68" s="35" t="s">
        <v>189</v>
      </c>
      <c r="D68" s="35" t="s">
        <v>190</v>
      </c>
      <c r="E68" s="35" t="s">
        <v>191</v>
      </c>
      <c r="F68" s="68"/>
      <c r="G68" s="68"/>
      <c r="H68" s="68"/>
      <c r="I68" s="68"/>
      <c r="J68" s="68"/>
      <c r="K68" s="68"/>
      <c r="L68" s="68"/>
    </row>
    <row r="69">
      <c r="A69" s="14"/>
      <c r="B69" s="14">
        <v>5.0</v>
      </c>
      <c r="C69" s="14">
        <v>0.051</v>
      </c>
      <c r="D69" s="14">
        <v>0.098</v>
      </c>
      <c r="E69" s="14">
        <v>0.183</v>
      </c>
    </row>
    <row r="70">
      <c r="A70" s="68"/>
      <c r="B70" s="14">
        <f t="shared" ref="B70:B88" si="16">B69+5</f>
        <v>10</v>
      </c>
      <c r="C70" s="14">
        <v>0.067</v>
      </c>
      <c r="D70" s="14">
        <v>0.182</v>
      </c>
      <c r="E70" s="14">
        <v>0.39</v>
      </c>
    </row>
    <row r="71">
      <c r="A71" s="68"/>
      <c r="B71" s="14">
        <f t="shared" si="16"/>
        <v>15</v>
      </c>
      <c r="C71" s="14">
        <v>0.082</v>
      </c>
      <c r="D71" s="14">
        <v>0.259</v>
      </c>
      <c r="E71" s="14">
        <v>0.56</v>
      </c>
    </row>
    <row r="72">
      <c r="A72" s="68"/>
      <c r="B72" s="14">
        <f t="shared" si="16"/>
        <v>20</v>
      </c>
      <c r="C72" s="14">
        <v>0.094</v>
      </c>
      <c r="D72" s="14">
        <v>0.338</v>
      </c>
      <c r="E72" s="14">
        <v>0.693</v>
      </c>
    </row>
    <row r="73">
      <c r="A73" s="68"/>
      <c r="B73" s="14">
        <f t="shared" si="16"/>
        <v>25</v>
      </c>
      <c r="C73" s="14">
        <v>0.107</v>
      </c>
      <c r="D73" s="14">
        <v>0.41</v>
      </c>
      <c r="E73" s="14">
        <v>0.79</v>
      </c>
    </row>
    <row r="74">
      <c r="A74" s="68"/>
      <c r="B74" s="14">
        <f t="shared" si="16"/>
        <v>30</v>
      </c>
      <c r="C74" s="14">
        <v>0.119</v>
      </c>
      <c r="D74" s="14">
        <v>0.477</v>
      </c>
      <c r="E74" s="14">
        <v>0.858</v>
      </c>
    </row>
    <row r="75">
      <c r="A75" s="68"/>
      <c r="B75" s="14">
        <f t="shared" si="16"/>
        <v>35</v>
      </c>
      <c r="C75" s="14">
        <v>0.13</v>
      </c>
      <c r="D75" s="14">
        <v>0.542</v>
      </c>
      <c r="E75" s="14">
        <v>0.909</v>
      </c>
    </row>
    <row r="76">
      <c r="A76" s="68"/>
      <c r="B76" s="14">
        <f t="shared" si="16"/>
        <v>40</v>
      </c>
      <c r="C76" s="14">
        <v>0.142</v>
      </c>
      <c r="D76" s="14">
        <v>0.6</v>
      </c>
      <c r="E76" s="14">
        <v>0.942</v>
      </c>
    </row>
    <row r="77">
      <c r="A77" s="68"/>
      <c r="B77" s="14">
        <f t="shared" si="16"/>
        <v>45</v>
      </c>
      <c r="C77" s="14">
        <v>0.159</v>
      </c>
      <c r="D77" s="14">
        <v>0.651</v>
      </c>
      <c r="E77" s="14">
        <v>0.963</v>
      </c>
    </row>
    <row r="78">
      <c r="A78" s="68"/>
      <c r="B78" s="14">
        <f t="shared" si="16"/>
        <v>50</v>
      </c>
      <c r="C78" s="14">
        <v>0.174</v>
      </c>
      <c r="D78" s="14">
        <v>0.69</v>
      </c>
      <c r="E78" s="14">
        <v>0.979</v>
      </c>
    </row>
    <row r="79">
      <c r="A79" s="68"/>
      <c r="B79" s="14">
        <f t="shared" si="16"/>
        <v>55</v>
      </c>
      <c r="C79" s="14">
        <v>0.179</v>
      </c>
      <c r="D79" s="14">
        <v>0.738</v>
      </c>
      <c r="E79" s="14">
        <v>0.986</v>
      </c>
    </row>
    <row r="80">
      <c r="A80" s="68"/>
      <c r="B80" s="14">
        <f t="shared" si="16"/>
        <v>60</v>
      </c>
      <c r="C80" s="14">
        <v>0.183</v>
      </c>
      <c r="D80" s="14">
        <v>0.774</v>
      </c>
      <c r="E80" s="14">
        <v>0.991</v>
      </c>
    </row>
    <row r="81">
      <c r="A81" s="68"/>
      <c r="B81" s="14">
        <f t="shared" si="16"/>
        <v>65</v>
      </c>
      <c r="C81" s="14">
        <v>0.2</v>
      </c>
      <c r="D81" s="14">
        <v>0.801</v>
      </c>
      <c r="E81" s="14">
        <v>0.995</v>
      </c>
    </row>
    <row r="82">
      <c r="A82" s="68"/>
      <c r="B82" s="14">
        <f t="shared" si="16"/>
        <v>70</v>
      </c>
      <c r="C82" s="14">
        <v>0.211</v>
      </c>
      <c r="D82" s="14">
        <v>0.845</v>
      </c>
      <c r="E82" s="14">
        <v>0.997</v>
      </c>
    </row>
    <row r="83">
      <c r="A83" s="68"/>
      <c r="B83" s="14">
        <f t="shared" si="16"/>
        <v>75</v>
      </c>
      <c r="C83" s="14">
        <v>0.231</v>
      </c>
      <c r="D83" s="14">
        <v>0.865</v>
      </c>
      <c r="E83" s="14">
        <v>0.998</v>
      </c>
    </row>
    <row r="84">
      <c r="A84" s="68"/>
      <c r="B84" s="14">
        <f t="shared" si="16"/>
        <v>80</v>
      </c>
      <c r="C84" s="14">
        <v>0.24</v>
      </c>
      <c r="D84" s="14">
        <v>0.882</v>
      </c>
      <c r="E84" s="14">
        <v>0.999</v>
      </c>
    </row>
    <row r="85">
      <c r="A85" s="68"/>
      <c r="B85" s="14">
        <f t="shared" si="16"/>
        <v>85</v>
      </c>
      <c r="C85" s="14">
        <v>0.251</v>
      </c>
      <c r="D85" s="14">
        <v>0.898</v>
      </c>
      <c r="E85" s="14">
        <v>0.999</v>
      </c>
    </row>
    <row r="86">
      <c r="A86" s="68"/>
      <c r="B86" s="14">
        <f t="shared" si="16"/>
        <v>90</v>
      </c>
      <c r="C86" s="14">
        <v>0.27</v>
      </c>
      <c r="D86" s="14">
        <v>0.918</v>
      </c>
      <c r="E86" s="14">
        <v>1.0</v>
      </c>
    </row>
    <row r="87">
      <c r="A87" s="68"/>
      <c r="B87" s="14">
        <f t="shared" si="16"/>
        <v>95</v>
      </c>
      <c r="C87" s="14">
        <v>0.274</v>
      </c>
      <c r="D87" s="14">
        <v>0.932</v>
      </c>
      <c r="E87" s="14">
        <v>1.0</v>
      </c>
    </row>
    <row r="88">
      <c r="A88" s="68"/>
      <c r="B88" s="14">
        <f t="shared" si="16"/>
        <v>100</v>
      </c>
      <c r="C88" s="14">
        <v>0.292</v>
      </c>
      <c r="D88" s="14">
        <v>0.943</v>
      </c>
      <c r="E88" s="14">
        <v>1.0</v>
      </c>
    </row>
    <row r="89">
      <c r="A89" s="68"/>
      <c r="C89" s="68"/>
      <c r="D89" s="14"/>
      <c r="E89" s="14"/>
    </row>
    <row r="90">
      <c r="A90" s="68"/>
      <c r="C90" s="68"/>
      <c r="D90" s="14"/>
      <c r="E90" s="14"/>
    </row>
    <row r="91">
      <c r="A91" s="68"/>
      <c r="C91" s="68"/>
      <c r="D91" s="14"/>
      <c r="E91" s="14"/>
    </row>
    <row r="92">
      <c r="A92" s="68"/>
      <c r="C92" s="68"/>
      <c r="D92" s="14"/>
      <c r="E92" s="14"/>
    </row>
    <row r="93">
      <c r="A93" s="68"/>
      <c r="C93" s="68"/>
      <c r="D93" s="14"/>
      <c r="E93" s="14"/>
    </row>
    <row r="94">
      <c r="A94" s="68"/>
      <c r="C94" s="68"/>
      <c r="D94" s="14"/>
      <c r="E94" s="14"/>
    </row>
    <row r="95">
      <c r="A95" s="68"/>
      <c r="C95" s="68"/>
      <c r="D95" s="14"/>
      <c r="E95" s="14"/>
    </row>
    <row r="96">
      <c r="A96" s="68"/>
      <c r="C96" s="68"/>
      <c r="D96" s="14"/>
      <c r="E96" s="14"/>
    </row>
    <row r="97">
      <c r="A97" s="68"/>
      <c r="C97" s="68"/>
      <c r="D97" s="14"/>
      <c r="E97" s="14"/>
    </row>
    <row r="98">
      <c r="A98" s="68"/>
      <c r="C98" s="68"/>
      <c r="D98" s="14"/>
      <c r="E98" s="14"/>
    </row>
    <row r="99">
      <c r="A99" s="68"/>
      <c r="B99" s="72" t="s">
        <v>164</v>
      </c>
      <c r="C99" s="73"/>
      <c r="D99" s="73"/>
      <c r="E99" s="74"/>
    </row>
    <row r="100">
      <c r="A100" s="68"/>
      <c r="B100" s="75">
        <f>P7</f>
        <v>0.9901122072</v>
      </c>
      <c r="C100" s="73"/>
      <c r="D100" s="73"/>
      <c r="E100" s="74"/>
    </row>
    <row r="101">
      <c r="A101" s="68"/>
      <c r="C101" s="68"/>
      <c r="D101" s="14"/>
      <c r="E101" s="14"/>
    </row>
    <row r="102">
      <c r="A102" s="68"/>
      <c r="B102" s="76" t="s">
        <v>192</v>
      </c>
      <c r="C102" s="73"/>
      <c r="D102" s="73"/>
      <c r="E102" s="74"/>
    </row>
    <row r="103">
      <c r="A103" s="68"/>
      <c r="B103" s="75">
        <f>L7</f>
        <v>1.48791934</v>
      </c>
      <c r="C103" s="73"/>
      <c r="D103" s="73"/>
      <c r="E103" s="74"/>
    </row>
    <row r="104">
      <c r="A104" s="68"/>
      <c r="C104" s="68"/>
      <c r="D104" s="14"/>
      <c r="E104" s="14"/>
    </row>
    <row r="105">
      <c r="A105" s="68"/>
      <c r="B105" s="76" t="s">
        <v>193</v>
      </c>
      <c r="C105" s="73"/>
      <c r="D105" s="73"/>
      <c r="E105" s="74"/>
    </row>
    <row r="106">
      <c r="A106" s="68"/>
      <c r="B106" s="75">
        <f>K7</f>
        <v>0.3147815144</v>
      </c>
      <c r="C106" s="73"/>
      <c r="D106" s="73"/>
      <c r="E106" s="74"/>
    </row>
    <row r="107">
      <c r="A107" s="68"/>
      <c r="C107" s="68"/>
      <c r="D107" s="14"/>
      <c r="E107" s="14"/>
    </row>
    <row r="108">
      <c r="A108" s="68"/>
      <c r="C108" s="68"/>
      <c r="D108" s="14"/>
      <c r="E108" s="14"/>
    </row>
    <row r="109">
      <c r="A109" s="68"/>
      <c r="C109" s="68"/>
      <c r="D109" s="14"/>
      <c r="E109" s="14"/>
    </row>
    <row r="114">
      <c r="C114" s="71" t="s">
        <v>195</v>
      </c>
    </row>
    <row r="115">
      <c r="D115" s="35" t="s">
        <v>196</v>
      </c>
    </row>
    <row r="116">
      <c r="D116" s="35" t="s">
        <v>197</v>
      </c>
    </row>
    <row r="117">
      <c r="D117" s="35" t="s">
        <v>198</v>
      </c>
      <c r="E117" s="35" t="s">
        <v>199</v>
      </c>
      <c r="F117" s="35" t="s">
        <v>200</v>
      </c>
      <c r="G117" s="35" t="s">
        <v>201</v>
      </c>
    </row>
    <row r="118">
      <c r="C118" s="35" t="s">
        <v>202</v>
      </c>
    </row>
    <row r="119">
      <c r="C119" s="35" t="s">
        <v>203</v>
      </c>
      <c r="D119" s="22">
        <v>16453.6</v>
      </c>
      <c r="E119" s="22">
        <v>16433.6</v>
      </c>
      <c r="F119" s="22">
        <v>16257.3</v>
      </c>
      <c r="G119" s="22">
        <v>15792.2</v>
      </c>
      <c r="H119" s="12">
        <f>AVERAGE(D119:G119)</f>
        <v>16234.175</v>
      </c>
    </row>
  </sheetData>
  <mergeCells count="18">
    <mergeCell ref="N11:R11"/>
    <mergeCell ref="B12:C12"/>
    <mergeCell ref="N12:R12"/>
    <mergeCell ref="B13:C13"/>
    <mergeCell ref="B14:C14"/>
    <mergeCell ref="B15:C15"/>
    <mergeCell ref="H16:L16"/>
    <mergeCell ref="C115:C117"/>
    <mergeCell ref="D115:G115"/>
    <mergeCell ref="D116:G116"/>
    <mergeCell ref="C118:G118"/>
    <mergeCell ref="B16:C16"/>
    <mergeCell ref="B99:E99"/>
    <mergeCell ref="B100:E100"/>
    <mergeCell ref="B102:E102"/>
    <mergeCell ref="B103:E103"/>
    <mergeCell ref="B105:E105"/>
    <mergeCell ref="B106:E106"/>
  </mergeCells>
  <hyperlinks>
    <hyperlink r:id="rId1" ref="A8"/>
    <hyperlink r:id="rId2" location="tabs-mapa" ref="C11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  <row r="2">
      <c r="A2" s="4">
        <v>1.0</v>
      </c>
      <c r="B2" s="4">
        <v>0.5</v>
      </c>
      <c r="C2" s="11">
        <f t="shared" ref="C2:C52" si="1">(A2+B2)/(A2^2 + B2^2 + 2*A2*B2)</f>
        <v>0.6666666667</v>
      </c>
      <c r="D2" s="4">
        <v>10.0</v>
      </c>
      <c r="E2" s="11">
        <f t="shared" ref="E2:E52" si="2">D2/B2^2</f>
        <v>40</v>
      </c>
    </row>
    <row r="3">
      <c r="A3" s="4">
        <v>2.0</v>
      </c>
      <c r="B3" s="4">
        <v>1.0</v>
      </c>
      <c r="C3" s="11">
        <f t="shared" si="1"/>
        <v>0.3333333333</v>
      </c>
      <c r="D3" s="4">
        <v>15.0</v>
      </c>
      <c r="E3" s="11">
        <f t="shared" si="2"/>
        <v>15</v>
      </c>
    </row>
    <row r="4">
      <c r="A4" s="4">
        <v>3.0</v>
      </c>
      <c r="B4" s="4">
        <v>1.5</v>
      </c>
      <c r="C4" s="11">
        <f t="shared" si="1"/>
        <v>0.2222222222</v>
      </c>
      <c r="D4" s="4">
        <v>20.0</v>
      </c>
      <c r="E4" s="11">
        <f t="shared" si="2"/>
        <v>8.888888889</v>
      </c>
    </row>
    <row r="5">
      <c r="A5" s="4">
        <v>4.0</v>
      </c>
      <c r="B5" s="4">
        <v>2.0</v>
      </c>
      <c r="C5" s="11">
        <f t="shared" si="1"/>
        <v>0.1666666667</v>
      </c>
      <c r="D5" s="4">
        <v>25.0</v>
      </c>
      <c r="E5" s="11">
        <f t="shared" si="2"/>
        <v>6.25</v>
      </c>
    </row>
    <row r="6">
      <c r="A6" s="4">
        <v>5.0</v>
      </c>
      <c r="B6" s="4">
        <v>2.5</v>
      </c>
      <c r="C6" s="11">
        <f t="shared" si="1"/>
        <v>0.1333333333</v>
      </c>
      <c r="D6" s="4">
        <v>30.0</v>
      </c>
      <c r="E6" s="11">
        <f t="shared" si="2"/>
        <v>4.8</v>
      </c>
    </row>
    <row r="7">
      <c r="A7" s="4">
        <v>6.0</v>
      </c>
      <c r="B7" s="4">
        <v>3.0</v>
      </c>
      <c r="C7" s="11">
        <f t="shared" si="1"/>
        <v>0.1111111111</v>
      </c>
      <c r="D7" s="4">
        <v>35.0</v>
      </c>
      <c r="E7" s="11">
        <f t="shared" si="2"/>
        <v>3.888888889</v>
      </c>
    </row>
    <row r="8">
      <c r="A8" s="4">
        <v>7.0</v>
      </c>
      <c r="B8" s="4">
        <v>3.5</v>
      </c>
      <c r="C8" s="11">
        <f t="shared" si="1"/>
        <v>0.09523809524</v>
      </c>
      <c r="D8" s="4">
        <v>40.0</v>
      </c>
      <c r="E8" s="11">
        <f t="shared" si="2"/>
        <v>3.265306122</v>
      </c>
    </row>
    <row r="9">
      <c r="A9" s="4">
        <v>8.0</v>
      </c>
      <c r="B9" s="4">
        <v>4.0</v>
      </c>
      <c r="C9" s="11">
        <f t="shared" si="1"/>
        <v>0.08333333333</v>
      </c>
      <c r="D9" s="4">
        <v>45.0</v>
      </c>
      <c r="E9" s="11">
        <f t="shared" si="2"/>
        <v>2.8125</v>
      </c>
    </row>
    <row r="10">
      <c r="A10" s="4">
        <v>9.0</v>
      </c>
      <c r="B10" s="4">
        <v>4.5</v>
      </c>
      <c r="C10" s="11">
        <f t="shared" si="1"/>
        <v>0.07407407407</v>
      </c>
      <c r="D10" s="4">
        <v>50.0</v>
      </c>
      <c r="E10" s="11">
        <f t="shared" si="2"/>
        <v>2.469135802</v>
      </c>
    </row>
    <row r="11">
      <c r="A11" s="4">
        <v>10.0</v>
      </c>
      <c r="B11" s="4">
        <v>5.0</v>
      </c>
      <c r="C11" s="11">
        <f t="shared" si="1"/>
        <v>0.06666666667</v>
      </c>
      <c r="D11" s="4">
        <v>55.0</v>
      </c>
      <c r="E11" s="11">
        <f t="shared" si="2"/>
        <v>2.2</v>
      </c>
    </row>
    <row r="12">
      <c r="A12" s="4">
        <v>11.0</v>
      </c>
      <c r="B12" s="4">
        <v>5.5</v>
      </c>
      <c r="C12" s="11">
        <f t="shared" si="1"/>
        <v>0.06060606061</v>
      </c>
      <c r="D12" s="4">
        <v>60.0</v>
      </c>
      <c r="E12" s="11">
        <f t="shared" si="2"/>
        <v>1.983471074</v>
      </c>
    </row>
    <row r="13">
      <c r="A13" s="4">
        <v>12.0</v>
      </c>
      <c r="B13" s="4">
        <v>6.0</v>
      </c>
      <c r="C13" s="11">
        <f t="shared" si="1"/>
        <v>0.05555555556</v>
      </c>
      <c r="D13" s="4">
        <v>65.0</v>
      </c>
      <c r="E13" s="11">
        <f t="shared" si="2"/>
        <v>1.805555556</v>
      </c>
    </row>
    <row r="14">
      <c r="A14" s="4">
        <v>13.0</v>
      </c>
      <c r="B14" s="4">
        <v>6.5</v>
      </c>
      <c r="C14" s="11">
        <f t="shared" si="1"/>
        <v>0.05128205128</v>
      </c>
      <c r="D14" s="4">
        <v>70.0</v>
      </c>
      <c r="E14" s="11">
        <f t="shared" si="2"/>
        <v>1.656804734</v>
      </c>
    </row>
    <row r="15">
      <c r="A15" s="4">
        <v>14.0</v>
      </c>
      <c r="B15" s="4">
        <v>7.0</v>
      </c>
      <c r="C15" s="11">
        <f t="shared" si="1"/>
        <v>0.04761904762</v>
      </c>
      <c r="D15" s="4">
        <v>75.0</v>
      </c>
      <c r="E15" s="11">
        <f t="shared" si="2"/>
        <v>1.530612245</v>
      </c>
    </row>
    <row r="16">
      <c r="A16" s="4">
        <v>15.0</v>
      </c>
      <c r="B16" s="4">
        <v>7.5</v>
      </c>
      <c r="C16" s="11">
        <f t="shared" si="1"/>
        <v>0.04444444444</v>
      </c>
      <c r="D16" s="4">
        <v>80.0</v>
      </c>
      <c r="E16" s="11">
        <f t="shared" si="2"/>
        <v>1.422222222</v>
      </c>
    </row>
    <row r="17">
      <c r="A17" s="4">
        <v>16.0</v>
      </c>
      <c r="B17" s="4">
        <v>8.0</v>
      </c>
      <c r="C17" s="11">
        <f t="shared" si="1"/>
        <v>0.04166666667</v>
      </c>
      <c r="D17" s="4">
        <v>85.0</v>
      </c>
      <c r="E17" s="11">
        <f t="shared" si="2"/>
        <v>1.328125</v>
      </c>
    </row>
    <row r="18">
      <c r="A18" s="4">
        <v>17.0</v>
      </c>
      <c r="B18" s="4">
        <v>8.5</v>
      </c>
      <c r="C18" s="11">
        <f t="shared" si="1"/>
        <v>0.03921568627</v>
      </c>
      <c r="D18" s="4">
        <v>90.0</v>
      </c>
      <c r="E18" s="11">
        <f t="shared" si="2"/>
        <v>1.24567474</v>
      </c>
    </row>
    <row r="19">
      <c r="A19" s="4">
        <v>18.0</v>
      </c>
      <c r="B19" s="4">
        <v>9.0</v>
      </c>
      <c r="C19" s="11">
        <f t="shared" si="1"/>
        <v>0.03703703704</v>
      </c>
      <c r="D19" s="4">
        <v>95.0</v>
      </c>
      <c r="E19" s="11">
        <f t="shared" si="2"/>
        <v>1.172839506</v>
      </c>
    </row>
    <row r="20">
      <c r="A20" s="4">
        <v>19.0</v>
      </c>
      <c r="B20" s="4">
        <v>9.5</v>
      </c>
      <c r="C20" s="11">
        <f t="shared" si="1"/>
        <v>0.0350877193</v>
      </c>
      <c r="D20" s="4">
        <v>100.0</v>
      </c>
      <c r="E20" s="11">
        <f t="shared" si="2"/>
        <v>1.108033241</v>
      </c>
    </row>
    <row r="21">
      <c r="A21" s="4">
        <v>20.0</v>
      </c>
      <c r="B21" s="4">
        <v>10.0</v>
      </c>
      <c r="C21" s="11">
        <f t="shared" si="1"/>
        <v>0.03333333333</v>
      </c>
      <c r="D21" s="4">
        <v>105.0</v>
      </c>
      <c r="E21" s="11">
        <f t="shared" si="2"/>
        <v>1.05</v>
      </c>
    </row>
    <row r="22">
      <c r="A22" s="4">
        <v>21.0</v>
      </c>
      <c r="B22" s="4">
        <v>10.5</v>
      </c>
      <c r="C22" s="11">
        <f t="shared" si="1"/>
        <v>0.03174603175</v>
      </c>
      <c r="D22" s="4">
        <v>110.0</v>
      </c>
      <c r="E22" s="11">
        <f t="shared" si="2"/>
        <v>0.9977324263</v>
      </c>
    </row>
    <row r="23">
      <c r="A23" s="4">
        <v>22.0</v>
      </c>
      <c r="B23" s="4">
        <v>11.0</v>
      </c>
      <c r="C23" s="11">
        <f t="shared" si="1"/>
        <v>0.0303030303</v>
      </c>
      <c r="D23" s="4">
        <v>115.0</v>
      </c>
      <c r="E23" s="11">
        <f t="shared" si="2"/>
        <v>0.9504132231</v>
      </c>
    </row>
    <row r="24">
      <c r="A24" s="4">
        <v>23.0</v>
      </c>
      <c r="B24" s="4">
        <v>11.5</v>
      </c>
      <c r="C24" s="11">
        <f t="shared" si="1"/>
        <v>0.02898550725</v>
      </c>
      <c r="D24" s="4">
        <v>120.0</v>
      </c>
      <c r="E24" s="11">
        <f t="shared" si="2"/>
        <v>0.9073724008</v>
      </c>
    </row>
    <row r="25">
      <c r="A25" s="4">
        <v>24.0</v>
      </c>
      <c r="B25" s="4">
        <v>12.0</v>
      </c>
      <c r="C25" s="11">
        <f t="shared" si="1"/>
        <v>0.02777777778</v>
      </c>
      <c r="D25" s="4">
        <v>125.0</v>
      </c>
      <c r="E25" s="11">
        <f t="shared" si="2"/>
        <v>0.8680555556</v>
      </c>
    </row>
    <row r="26">
      <c r="A26" s="4">
        <v>25.0</v>
      </c>
      <c r="B26" s="4">
        <v>12.5</v>
      </c>
      <c r="C26" s="11">
        <f t="shared" si="1"/>
        <v>0.02666666667</v>
      </c>
      <c r="D26" s="4">
        <v>130.0</v>
      </c>
      <c r="E26" s="11">
        <f t="shared" si="2"/>
        <v>0.832</v>
      </c>
    </row>
    <row r="27">
      <c r="A27" s="4">
        <v>26.0</v>
      </c>
      <c r="B27" s="4">
        <v>13.0</v>
      </c>
      <c r="C27" s="11">
        <f t="shared" si="1"/>
        <v>0.02564102564</v>
      </c>
      <c r="D27" s="4">
        <v>135.0</v>
      </c>
      <c r="E27" s="11">
        <f t="shared" si="2"/>
        <v>0.798816568</v>
      </c>
    </row>
    <row r="28">
      <c r="A28" s="4">
        <v>27.0</v>
      </c>
      <c r="B28" s="4">
        <v>13.5</v>
      </c>
      <c r="C28" s="11">
        <f t="shared" si="1"/>
        <v>0.02469135802</v>
      </c>
      <c r="D28" s="4">
        <v>140.0</v>
      </c>
      <c r="E28" s="11">
        <f t="shared" si="2"/>
        <v>0.768175583</v>
      </c>
    </row>
    <row r="29">
      <c r="A29" s="4">
        <v>28.0</v>
      </c>
      <c r="B29" s="4">
        <v>14.0</v>
      </c>
      <c r="C29" s="11">
        <f t="shared" si="1"/>
        <v>0.02380952381</v>
      </c>
      <c r="D29" s="4">
        <v>145.0</v>
      </c>
      <c r="E29" s="11">
        <f t="shared" si="2"/>
        <v>0.7397959184</v>
      </c>
    </row>
    <row r="30">
      <c r="A30" s="4">
        <v>29.0</v>
      </c>
      <c r="B30" s="4">
        <v>14.5</v>
      </c>
      <c r="C30" s="11">
        <f t="shared" si="1"/>
        <v>0.02298850575</v>
      </c>
      <c r="D30" s="4">
        <v>150.0</v>
      </c>
      <c r="E30" s="11">
        <f t="shared" si="2"/>
        <v>0.7134363853</v>
      </c>
    </row>
    <row r="31">
      <c r="A31" s="4">
        <v>30.0</v>
      </c>
      <c r="B31" s="4">
        <v>15.0</v>
      </c>
      <c r="C31" s="11">
        <f t="shared" si="1"/>
        <v>0.02222222222</v>
      </c>
      <c r="D31" s="4">
        <v>155.0</v>
      </c>
      <c r="E31" s="11">
        <f t="shared" si="2"/>
        <v>0.6888888889</v>
      </c>
    </row>
    <row r="32">
      <c r="A32" s="4">
        <v>31.0</v>
      </c>
      <c r="B32" s="4">
        <v>15.5</v>
      </c>
      <c r="C32" s="11">
        <f t="shared" si="1"/>
        <v>0.02150537634</v>
      </c>
      <c r="D32" s="4">
        <v>160.0</v>
      </c>
      <c r="E32" s="11">
        <f t="shared" si="2"/>
        <v>0.6659729448</v>
      </c>
    </row>
    <row r="33">
      <c r="A33" s="4">
        <v>32.0</v>
      </c>
      <c r="B33" s="4">
        <v>16.0</v>
      </c>
      <c r="C33" s="11">
        <f t="shared" si="1"/>
        <v>0.02083333333</v>
      </c>
      <c r="D33" s="4">
        <v>165.0</v>
      </c>
      <c r="E33" s="11">
        <f t="shared" si="2"/>
        <v>0.64453125</v>
      </c>
    </row>
    <row r="34">
      <c r="A34" s="4">
        <v>33.0</v>
      </c>
      <c r="B34" s="4">
        <v>16.5</v>
      </c>
      <c r="C34" s="11">
        <f t="shared" si="1"/>
        <v>0.0202020202</v>
      </c>
      <c r="D34" s="4">
        <v>170.0</v>
      </c>
      <c r="E34" s="11">
        <f t="shared" si="2"/>
        <v>0.624426079</v>
      </c>
    </row>
    <row r="35">
      <c r="A35" s="4">
        <v>34.0</v>
      </c>
      <c r="B35" s="4">
        <v>17.0</v>
      </c>
      <c r="C35" s="11">
        <f t="shared" si="1"/>
        <v>0.01960784314</v>
      </c>
      <c r="D35" s="4">
        <v>175.0</v>
      </c>
      <c r="E35" s="11">
        <f t="shared" si="2"/>
        <v>0.6055363322</v>
      </c>
    </row>
    <row r="36">
      <c r="A36" s="4">
        <v>35.0</v>
      </c>
      <c r="B36" s="4">
        <v>17.5</v>
      </c>
      <c r="C36" s="11">
        <f t="shared" si="1"/>
        <v>0.01904761905</v>
      </c>
      <c r="D36" s="4">
        <v>180.0</v>
      </c>
      <c r="E36" s="11">
        <f t="shared" si="2"/>
        <v>0.587755102</v>
      </c>
    </row>
    <row r="37">
      <c r="A37" s="4">
        <v>36.0</v>
      </c>
      <c r="B37" s="4">
        <v>18.0</v>
      </c>
      <c r="C37" s="11">
        <f t="shared" si="1"/>
        <v>0.01851851852</v>
      </c>
      <c r="D37" s="4">
        <v>185.0</v>
      </c>
      <c r="E37" s="11">
        <f t="shared" si="2"/>
        <v>0.5709876543</v>
      </c>
    </row>
    <row r="38">
      <c r="A38" s="4">
        <v>37.0</v>
      </c>
      <c r="B38" s="4">
        <v>18.5</v>
      </c>
      <c r="C38" s="11">
        <f t="shared" si="1"/>
        <v>0.01801801802</v>
      </c>
      <c r="D38" s="4">
        <v>190.0</v>
      </c>
      <c r="E38" s="11">
        <f t="shared" si="2"/>
        <v>0.5551497443</v>
      </c>
    </row>
    <row r="39">
      <c r="A39" s="4">
        <v>38.0</v>
      </c>
      <c r="B39" s="4">
        <v>19.0</v>
      </c>
      <c r="C39" s="11">
        <f t="shared" si="1"/>
        <v>0.01754385965</v>
      </c>
      <c r="D39" s="4">
        <v>195.0</v>
      </c>
      <c r="E39" s="11">
        <f t="shared" si="2"/>
        <v>0.540166205</v>
      </c>
    </row>
    <row r="40">
      <c r="A40" s="4">
        <v>39.0</v>
      </c>
      <c r="B40" s="4">
        <v>19.5</v>
      </c>
      <c r="C40" s="11">
        <f t="shared" si="1"/>
        <v>0.01709401709</v>
      </c>
      <c r="D40" s="4">
        <v>200.0</v>
      </c>
      <c r="E40" s="11">
        <f t="shared" si="2"/>
        <v>0.5259697567</v>
      </c>
    </row>
    <row r="41">
      <c r="A41" s="4">
        <v>40.0</v>
      </c>
      <c r="B41" s="4">
        <v>20.0</v>
      </c>
      <c r="C41" s="11">
        <f t="shared" si="1"/>
        <v>0.01666666667</v>
      </c>
      <c r="D41" s="4">
        <v>205.0</v>
      </c>
      <c r="E41" s="11">
        <f t="shared" si="2"/>
        <v>0.5125</v>
      </c>
    </row>
    <row r="42">
      <c r="A42" s="4">
        <v>41.0</v>
      </c>
      <c r="B42" s="4">
        <v>20.5</v>
      </c>
      <c r="C42" s="11">
        <f t="shared" si="1"/>
        <v>0.0162601626</v>
      </c>
      <c r="D42" s="4">
        <v>210.0</v>
      </c>
      <c r="E42" s="11">
        <f t="shared" si="2"/>
        <v>0.499702558</v>
      </c>
    </row>
    <row r="43">
      <c r="A43" s="4">
        <v>42.0</v>
      </c>
      <c r="B43" s="4">
        <v>21.0</v>
      </c>
      <c r="C43" s="11">
        <f t="shared" si="1"/>
        <v>0.01587301587</v>
      </c>
      <c r="D43" s="4">
        <v>215.0</v>
      </c>
      <c r="E43" s="11">
        <f t="shared" si="2"/>
        <v>0.4875283447</v>
      </c>
    </row>
    <row r="44">
      <c r="A44" s="4">
        <v>43.0</v>
      </c>
      <c r="B44" s="4">
        <v>21.5</v>
      </c>
      <c r="C44" s="11">
        <f t="shared" si="1"/>
        <v>0.01550387597</v>
      </c>
      <c r="D44" s="4">
        <v>220.0</v>
      </c>
      <c r="E44" s="11">
        <f t="shared" si="2"/>
        <v>0.4759329367</v>
      </c>
    </row>
    <row r="45">
      <c r="A45" s="4">
        <v>44.0</v>
      </c>
      <c r="B45" s="4">
        <v>22.0</v>
      </c>
      <c r="C45" s="11">
        <f t="shared" si="1"/>
        <v>0.01515151515</v>
      </c>
      <c r="D45" s="4">
        <v>225.0</v>
      </c>
      <c r="E45" s="11">
        <f t="shared" si="2"/>
        <v>0.4648760331</v>
      </c>
    </row>
    <row r="46">
      <c r="A46" s="4">
        <v>45.0</v>
      </c>
      <c r="B46" s="4">
        <v>22.5</v>
      </c>
      <c r="C46" s="11">
        <f t="shared" si="1"/>
        <v>0.01481481481</v>
      </c>
      <c r="D46" s="4">
        <v>230.0</v>
      </c>
      <c r="E46" s="11">
        <f t="shared" si="2"/>
        <v>0.4543209877</v>
      </c>
    </row>
    <row r="47">
      <c r="A47" s="4">
        <v>46.0</v>
      </c>
      <c r="B47" s="4">
        <v>23.0</v>
      </c>
      <c r="C47" s="11">
        <f t="shared" si="1"/>
        <v>0.01449275362</v>
      </c>
      <c r="D47" s="4">
        <v>235.0</v>
      </c>
      <c r="E47" s="11">
        <f t="shared" si="2"/>
        <v>0.4442344045</v>
      </c>
    </row>
    <row r="48">
      <c r="A48" s="4">
        <v>47.0</v>
      </c>
      <c r="B48" s="4">
        <v>23.5</v>
      </c>
      <c r="C48" s="11">
        <f t="shared" si="1"/>
        <v>0.01418439716</v>
      </c>
      <c r="D48" s="4">
        <v>240.0</v>
      </c>
      <c r="E48" s="11">
        <f t="shared" si="2"/>
        <v>0.4345857854</v>
      </c>
    </row>
    <row r="49">
      <c r="A49" s="4">
        <v>48.0</v>
      </c>
      <c r="B49" s="4">
        <v>24.0</v>
      </c>
      <c r="C49" s="11">
        <f t="shared" si="1"/>
        <v>0.01388888889</v>
      </c>
      <c r="D49" s="4">
        <v>245.0</v>
      </c>
      <c r="E49" s="11">
        <f t="shared" si="2"/>
        <v>0.4253472222</v>
      </c>
    </row>
    <row r="50">
      <c r="A50" s="4">
        <v>49.0</v>
      </c>
      <c r="B50" s="4">
        <v>24.5</v>
      </c>
      <c r="C50" s="11">
        <f t="shared" si="1"/>
        <v>0.01360544218</v>
      </c>
      <c r="D50" s="4">
        <v>250.0</v>
      </c>
      <c r="E50" s="11">
        <f t="shared" si="2"/>
        <v>0.4164931279</v>
      </c>
    </row>
    <row r="51">
      <c r="A51" s="4">
        <v>50.0</v>
      </c>
      <c r="B51" s="4">
        <v>25.0</v>
      </c>
      <c r="C51" s="11">
        <f t="shared" si="1"/>
        <v>0.01333333333</v>
      </c>
      <c r="D51" s="4">
        <v>255.0</v>
      </c>
      <c r="E51" s="11">
        <f t="shared" si="2"/>
        <v>0.408</v>
      </c>
    </row>
    <row r="52">
      <c r="A52" s="4">
        <v>51.0</v>
      </c>
      <c r="B52" s="4">
        <v>25.5</v>
      </c>
      <c r="C52" s="11">
        <f t="shared" si="1"/>
        <v>0.01307189542</v>
      </c>
      <c r="D52" s="4">
        <v>260.0</v>
      </c>
      <c r="E52" s="11">
        <f t="shared" si="2"/>
        <v>0.399846213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1.0"/>
    <col customWidth="1" min="3" max="3" width="13.63"/>
    <col customWidth="1" min="4" max="4" width="16.0"/>
    <col customWidth="1" min="5" max="5" width="9.5"/>
    <col customWidth="1" min="6" max="6" width="11.63"/>
    <col customWidth="1" min="7" max="7" width="11.75"/>
    <col customWidth="1" min="14" max="14" width="15.63"/>
  </cols>
  <sheetData>
    <row r="1">
      <c r="A1" s="126" t="s">
        <v>376</v>
      </c>
      <c r="B1" s="127">
        <f>19327.7*1000</f>
        <v>19327700</v>
      </c>
      <c r="C1" s="17"/>
      <c r="D1" s="17"/>
      <c r="E1" s="17"/>
      <c r="F1" s="17"/>
      <c r="G1" s="17"/>
      <c r="H1" s="128"/>
      <c r="I1" s="17"/>
      <c r="J1" s="128"/>
      <c r="K1" s="17"/>
      <c r="L1" s="17"/>
      <c r="M1" s="17"/>
      <c r="N1" s="128"/>
      <c r="O1" s="128"/>
      <c r="P1" s="17"/>
    </row>
    <row r="2">
      <c r="A2" s="88" t="s">
        <v>377</v>
      </c>
      <c r="B2" s="65">
        <f>1000*'Replicación (controlada)'!I8</f>
        <v>906428570000</v>
      </c>
      <c r="C2" s="65"/>
      <c r="D2" s="77"/>
      <c r="E2" s="65"/>
      <c r="F2" s="65"/>
      <c r="G2" s="68"/>
      <c r="H2" s="65"/>
      <c r="I2" s="68"/>
      <c r="J2" s="68"/>
      <c r="K2" s="68"/>
      <c r="L2" s="68"/>
      <c r="M2" s="68"/>
      <c r="N2" s="68"/>
      <c r="O2" s="77"/>
      <c r="P2" s="69"/>
    </row>
    <row r="3">
      <c r="A3" s="88" t="s">
        <v>206</v>
      </c>
      <c r="B3" s="66">
        <f>B2/B1</f>
        <v>46897.90146</v>
      </c>
      <c r="C3" s="65"/>
      <c r="D3" s="68"/>
      <c r="E3" s="65"/>
      <c r="F3" s="65"/>
      <c r="G3" s="68"/>
      <c r="H3" s="65"/>
      <c r="I3" s="68"/>
      <c r="J3" s="68"/>
      <c r="K3" s="68"/>
      <c r="L3" s="68"/>
      <c r="M3" s="68"/>
      <c r="N3" s="68"/>
      <c r="O3" s="77"/>
      <c r="P3" s="69"/>
    </row>
    <row r="4">
      <c r="A4" s="88" t="s">
        <v>378</v>
      </c>
      <c r="B4" s="66">
        <v>11255.52</v>
      </c>
      <c r="C4" s="65"/>
      <c r="D4" s="68"/>
      <c r="E4" s="65"/>
      <c r="F4" s="65"/>
      <c r="G4" s="68"/>
      <c r="H4" s="65"/>
      <c r="I4" s="68"/>
      <c r="J4" s="68"/>
      <c r="K4" s="68"/>
      <c r="L4" s="68"/>
      <c r="M4" s="68"/>
      <c r="N4" s="68"/>
      <c r="O4" s="77"/>
      <c r="P4" s="69"/>
    </row>
    <row r="5">
      <c r="A5" s="70" t="s">
        <v>379</v>
      </c>
      <c r="B5" s="65">
        <f>B3-B4</f>
        <v>35642.38146</v>
      </c>
      <c r="C5" s="65"/>
      <c r="D5" s="68"/>
      <c r="E5" s="65"/>
      <c r="F5" s="65"/>
      <c r="G5" s="68"/>
      <c r="H5" s="65"/>
      <c r="I5" s="68"/>
      <c r="J5" s="68"/>
      <c r="K5" s="68"/>
      <c r="L5" s="68"/>
      <c r="M5" s="68"/>
      <c r="N5" s="68"/>
      <c r="O5" s="77"/>
      <c r="P5" s="69"/>
    </row>
    <row r="6">
      <c r="A6" s="70" t="s">
        <v>380</v>
      </c>
      <c r="B6" s="65">
        <f>B5/12</f>
        <v>2970.198455</v>
      </c>
      <c r="C6" s="65"/>
      <c r="D6" s="68"/>
      <c r="E6" s="65"/>
      <c r="F6" s="65"/>
      <c r="G6" s="68"/>
      <c r="H6" s="65"/>
      <c r="I6" s="68"/>
      <c r="J6" s="68"/>
      <c r="K6" s="68"/>
      <c r="L6" s="68"/>
      <c r="M6" s="68"/>
      <c r="N6" s="68"/>
      <c r="O6" s="77"/>
      <c r="P6" s="69"/>
    </row>
    <row r="7">
      <c r="A7" s="88" t="s">
        <v>381</v>
      </c>
      <c r="B7" s="66">
        <v>12018.94</v>
      </c>
      <c r="C7" s="65"/>
      <c r="D7" s="68"/>
      <c r="E7" s="65"/>
      <c r="F7" s="65"/>
      <c r="G7" s="68"/>
      <c r="H7" s="65"/>
      <c r="I7" s="68"/>
      <c r="J7" s="68"/>
      <c r="K7" s="68"/>
      <c r="L7" s="68"/>
      <c r="M7" s="68"/>
      <c r="N7" s="68"/>
      <c r="O7" s="77"/>
      <c r="P7" s="69"/>
    </row>
    <row r="8">
      <c r="A8" s="19" t="s">
        <v>382</v>
      </c>
      <c r="B8" s="129">
        <f>B5-B7</f>
        <v>23623.44146</v>
      </c>
      <c r="C8" s="130"/>
      <c r="D8" s="130"/>
      <c r="E8" s="130"/>
      <c r="F8" s="130"/>
      <c r="G8" s="130"/>
      <c r="H8" s="131"/>
      <c r="I8" s="130"/>
      <c r="J8" s="130"/>
      <c r="K8" s="130"/>
      <c r="L8" s="130"/>
      <c r="M8" s="130"/>
      <c r="N8" s="130"/>
      <c r="O8" s="132"/>
      <c r="P8" s="85"/>
    </row>
    <row r="9">
      <c r="A9" s="133" t="s">
        <v>383</v>
      </c>
      <c r="B9" s="16">
        <f>144*B46</f>
        <v>284832</v>
      </c>
      <c r="C9" s="68"/>
      <c r="D9" s="68"/>
      <c r="E9" s="68"/>
      <c r="F9" s="68"/>
      <c r="G9" s="68"/>
      <c r="H9" s="65"/>
      <c r="I9" s="68"/>
      <c r="J9" s="68"/>
      <c r="K9" s="68"/>
      <c r="L9" s="68"/>
      <c r="M9" s="68"/>
      <c r="N9" s="68"/>
      <c r="O9" s="77"/>
      <c r="P9" s="69"/>
    </row>
    <row r="10">
      <c r="A10" s="14" t="s">
        <v>384</v>
      </c>
      <c r="B10" s="68">
        <f>B9/B8</f>
        <v>12.05717636</v>
      </c>
      <c r="C10" s="68"/>
      <c r="D10" s="68"/>
      <c r="E10" s="68"/>
      <c r="F10" s="68"/>
      <c r="G10" s="68"/>
      <c r="H10" s="65"/>
      <c r="I10" s="16"/>
      <c r="J10" s="68"/>
      <c r="K10" s="68"/>
      <c r="L10" s="68"/>
      <c r="M10" s="68"/>
      <c r="N10" s="68"/>
      <c r="O10" s="14"/>
      <c r="P10" s="69"/>
    </row>
    <row r="11">
      <c r="A11" s="68"/>
      <c r="B11" s="68"/>
      <c r="C11" s="68"/>
      <c r="D11" s="68"/>
      <c r="E11" s="68"/>
      <c r="F11" s="68"/>
      <c r="G11" s="68"/>
      <c r="H11" s="65"/>
      <c r="I11" s="68"/>
      <c r="J11" s="68"/>
      <c r="K11" s="68"/>
      <c r="L11" s="68"/>
      <c r="M11" s="68"/>
      <c r="N11" s="68"/>
      <c r="O11" s="69"/>
      <c r="P11" s="69"/>
    </row>
    <row r="12">
      <c r="A12" s="35" t="s">
        <v>385</v>
      </c>
      <c r="B12" s="35" t="s">
        <v>386</v>
      </c>
      <c r="D12" s="35" t="s">
        <v>387</v>
      </c>
      <c r="I12" s="70"/>
      <c r="J12" s="70"/>
      <c r="K12" s="70"/>
      <c r="L12" s="70"/>
      <c r="M12" s="68"/>
      <c r="N12" s="14"/>
    </row>
    <row r="13">
      <c r="B13" s="35" t="s">
        <v>388</v>
      </c>
      <c r="C13" s="35" t="s">
        <v>389</v>
      </c>
      <c r="D13" s="35" t="s">
        <v>390</v>
      </c>
      <c r="F13" s="35" t="s">
        <v>391</v>
      </c>
      <c r="I13" s="68"/>
      <c r="J13" s="68"/>
      <c r="K13" s="68"/>
      <c r="L13" s="68"/>
      <c r="M13" s="68"/>
      <c r="N13" s="68"/>
    </row>
    <row r="14">
      <c r="D14" s="35" t="s">
        <v>392</v>
      </c>
      <c r="E14" s="35" t="s">
        <v>389</v>
      </c>
      <c r="F14" s="35" t="s">
        <v>393</v>
      </c>
      <c r="G14" s="35" t="s">
        <v>394</v>
      </c>
      <c r="H14" s="35" t="s">
        <v>395</v>
      </c>
      <c r="I14" s="14"/>
      <c r="J14" s="68"/>
      <c r="K14" s="68"/>
      <c r="L14" s="68"/>
      <c r="M14" s="68"/>
      <c r="N14" s="68"/>
      <c r="O14" s="68"/>
      <c r="P14" s="68"/>
    </row>
    <row r="15">
      <c r="A15" s="35" t="s">
        <v>396</v>
      </c>
      <c r="B15" s="23">
        <v>854255.0</v>
      </c>
      <c r="C15" s="4">
        <v>4.15</v>
      </c>
      <c r="D15" s="23">
        <v>637309.0</v>
      </c>
      <c r="E15" s="4">
        <v>3.22</v>
      </c>
      <c r="F15" s="23">
        <v>-1.34411539E8</v>
      </c>
      <c r="G15" s="4">
        <v>-10.82</v>
      </c>
      <c r="H15" s="4">
        <v>-211.0</v>
      </c>
      <c r="I15" s="14"/>
      <c r="J15" s="14"/>
      <c r="K15" s="68"/>
      <c r="L15" s="68"/>
      <c r="M15" s="68"/>
      <c r="N15" s="68"/>
      <c r="O15" s="68"/>
      <c r="P15" s="68"/>
    </row>
    <row r="16">
      <c r="A16" s="35" t="s">
        <v>397</v>
      </c>
      <c r="B16" s="23">
        <v>1442776.0</v>
      </c>
      <c r="C16" s="4">
        <v>7.0</v>
      </c>
      <c r="D16" s="23">
        <v>1295390.0</v>
      </c>
      <c r="E16" s="4">
        <v>6.54</v>
      </c>
      <c r="F16" s="23">
        <v>-2.75392097E8</v>
      </c>
      <c r="G16" s="4">
        <v>-22.17</v>
      </c>
      <c r="H16" s="4">
        <v>-213.0</v>
      </c>
      <c r="I16" s="14"/>
      <c r="J16" s="14"/>
      <c r="K16" s="14"/>
      <c r="L16" s="68"/>
    </row>
    <row r="17">
      <c r="A17" s="35" t="s">
        <v>398</v>
      </c>
      <c r="B17" s="23">
        <v>3076707.0</v>
      </c>
      <c r="C17" s="4">
        <v>14.93</v>
      </c>
      <c r="D17" s="23">
        <v>2739282.0</v>
      </c>
      <c r="E17" s="4">
        <v>13.84</v>
      </c>
      <c r="F17" s="23">
        <v>-1.038837293E9</v>
      </c>
      <c r="G17" s="4">
        <v>-83.65</v>
      </c>
      <c r="H17" s="4">
        <v>-379.0</v>
      </c>
      <c r="I17" s="35"/>
      <c r="J17" s="35"/>
      <c r="K17" s="35"/>
      <c r="L17" s="35"/>
    </row>
    <row r="18">
      <c r="A18" s="35" t="s">
        <v>399</v>
      </c>
      <c r="B18" s="23">
        <v>2646861.0</v>
      </c>
      <c r="C18" s="4">
        <v>12.84</v>
      </c>
      <c r="D18" s="23">
        <v>2555395.0</v>
      </c>
      <c r="E18" s="4">
        <v>12.91</v>
      </c>
      <c r="F18" s="23">
        <v>-1.219513249E9</v>
      </c>
      <c r="G18" s="4">
        <v>-98.2</v>
      </c>
      <c r="H18" s="4">
        <v>-477.0</v>
      </c>
    </row>
    <row r="19">
      <c r="A19" s="35" t="s">
        <v>400</v>
      </c>
      <c r="B19" s="23">
        <v>4641263.0</v>
      </c>
      <c r="C19" s="4">
        <v>22.52</v>
      </c>
      <c r="D19" s="23">
        <v>4620982.0</v>
      </c>
      <c r="E19" s="4">
        <v>23.35</v>
      </c>
      <c r="F19" s="23">
        <v>-1.63853911E9</v>
      </c>
      <c r="G19" s="4">
        <v>-131.94</v>
      </c>
      <c r="H19" s="4">
        <v>-355.0</v>
      </c>
    </row>
    <row r="20">
      <c r="A20" s="35" t="s">
        <v>401</v>
      </c>
      <c r="B20" s="23">
        <v>3392427.0</v>
      </c>
      <c r="C20" s="4">
        <v>16.46</v>
      </c>
      <c r="D20" s="23">
        <v>3391316.0</v>
      </c>
      <c r="E20" s="4">
        <v>17.13</v>
      </c>
      <c r="F20" s="23">
        <v>-9.56071153E8</v>
      </c>
      <c r="G20" s="4">
        <v>-76.98</v>
      </c>
      <c r="H20" s="4">
        <v>-282.0</v>
      </c>
      <c r="N20" s="87"/>
    </row>
    <row r="21">
      <c r="A21" s="134" t="s">
        <v>402</v>
      </c>
      <c r="B21" s="135">
        <v>3699249.0</v>
      </c>
      <c r="C21" s="136">
        <v>17.95</v>
      </c>
      <c r="D21" s="135">
        <v>3699054.0</v>
      </c>
      <c r="E21" s="136">
        <v>18.69</v>
      </c>
      <c r="F21" s="135">
        <v>1.3765245E7</v>
      </c>
      <c r="G21" s="136">
        <v>1.11</v>
      </c>
      <c r="H21" s="136">
        <v>4.0</v>
      </c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>
      <c r="A22" s="35" t="s">
        <v>403</v>
      </c>
      <c r="B22" s="23">
        <v>743265.0</v>
      </c>
      <c r="C22" s="4">
        <v>3.61</v>
      </c>
      <c r="D22" s="23">
        <v>743235.0</v>
      </c>
      <c r="E22" s="4">
        <v>3.75</v>
      </c>
      <c r="F22" s="23">
        <v>1.930868562E9</v>
      </c>
      <c r="G22" s="4">
        <v>155.47</v>
      </c>
      <c r="H22" s="23">
        <v>2598.0</v>
      </c>
    </row>
    <row r="23">
      <c r="A23" s="35" t="s">
        <v>404</v>
      </c>
      <c r="B23" s="23">
        <v>100561.0</v>
      </c>
      <c r="C23" s="4">
        <v>0.49</v>
      </c>
      <c r="D23" s="23">
        <v>100558.0</v>
      </c>
      <c r="E23" s="4">
        <v>0.51</v>
      </c>
      <c r="F23" s="23">
        <v>1.921374029E9</v>
      </c>
      <c r="G23" s="4">
        <v>154.71</v>
      </c>
      <c r="H23" s="23">
        <v>19107.0</v>
      </c>
    </row>
    <row r="24">
      <c r="A24" s="35" t="s">
        <v>405</v>
      </c>
      <c r="B24" s="23">
        <v>11367.0</v>
      </c>
      <c r="C24" s="4">
        <v>0.06</v>
      </c>
      <c r="D24" s="23">
        <v>11367.0</v>
      </c>
      <c r="E24" s="4">
        <v>0.06</v>
      </c>
      <c r="F24" s="23">
        <v>2.638684156E9</v>
      </c>
      <c r="G24" s="4">
        <v>212.47</v>
      </c>
      <c r="H24" s="23">
        <v>232135.0</v>
      </c>
    </row>
    <row r="25">
      <c r="A25" s="35" t="s">
        <v>196</v>
      </c>
      <c r="B25" s="23">
        <v>2.0608731E7</v>
      </c>
      <c r="C25" s="4">
        <v>100.0</v>
      </c>
      <c r="D25" s="23">
        <v>1.9793888E7</v>
      </c>
      <c r="E25" s="4">
        <v>100.0</v>
      </c>
      <c r="F25" s="23">
        <v>1.241927552E9</v>
      </c>
      <c r="G25" s="4">
        <v>100.0</v>
      </c>
      <c r="H25" s="4">
        <v>63.0</v>
      </c>
    </row>
    <row r="28">
      <c r="A28" s="4" t="s">
        <v>406</v>
      </c>
      <c r="B28" s="4" t="s">
        <v>407</v>
      </c>
    </row>
    <row r="29">
      <c r="A29" s="4" t="s">
        <v>408</v>
      </c>
      <c r="B29" s="4">
        <v>3992.0</v>
      </c>
    </row>
    <row r="30">
      <c r="A30" s="14" t="s">
        <v>409</v>
      </c>
      <c r="B30" s="14">
        <v>3682.0</v>
      </c>
      <c r="C30" s="14"/>
      <c r="D30" s="14"/>
      <c r="E30" s="14"/>
    </row>
    <row r="31">
      <c r="A31" s="14" t="s">
        <v>410</v>
      </c>
      <c r="B31" s="4">
        <v>2762.0</v>
      </c>
      <c r="C31" s="68"/>
      <c r="D31" s="14"/>
      <c r="E31" s="14"/>
    </row>
    <row r="32">
      <c r="A32" s="14" t="s">
        <v>411</v>
      </c>
      <c r="B32" s="4">
        <v>2176.0</v>
      </c>
      <c r="C32" s="68"/>
      <c r="D32" s="14"/>
      <c r="E32" s="14"/>
    </row>
    <row r="33">
      <c r="A33" s="14" t="s">
        <v>412</v>
      </c>
      <c r="B33" s="4">
        <v>1916.0</v>
      </c>
      <c r="C33" s="68"/>
      <c r="D33" s="14"/>
      <c r="E33" s="14"/>
    </row>
    <row r="34">
      <c r="A34" s="14" t="s">
        <v>413</v>
      </c>
      <c r="B34" s="4">
        <v>1895.0</v>
      </c>
      <c r="C34" s="68"/>
      <c r="D34" s="14"/>
      <c r="E34" s="14"/>
    </row>
    <row r="35">
      <c r="A35" s="14" t="s">
        <v>414</v>
      </c>
      <c r="B35" s="4">
        <v>1875.0</v>
      </c>
      <c r="C35" s="68"/>
      <c r="D35" s="14"/>
      <c r="E35" s="14"/>
    </row>
    <row r="36">
      <c r="A36" s="14" t="s">
        <v>415</v>
      </c>
      <c r="B36" s="4">
        <v>1753.0</v>
      </c>
      <c r="C36" s="68"/>
      <c r="D36" s="14"/>
      <c r="E36" s="14"/>
    </row>
    <row r="37">
      <c r="A37" s="14" t="s">
        <v>416</v>
      </c>
      <c r="B37" s="4">
        <v>1725.0</v>
      </c>
      <c r="C37" s="68"/>
      <c r="D37" s="14"/>
      <c r="E37" s="14"/>
    </row>
    <row r="38">
      <c r="A38" s="14" t="s">
        <v>417</v>
      </c>
      <c r="B38" s="4">
        <v>1635.0</v>
      </c>
      <c r="C38" s="68"/>
      <c r="D38" s="14"/>
      <c r="E38" s="14"/>
    </row>
    <row r="39">
      <c r="A39" s="14" t="s">
        <v>418</v>
      </c>
      <c r="B39" s="4">
        <v>1643.0</v>
      </c>
      <c r="C39" s="68"/>
      <c r="D39" s="14"/>
      <c r="E39" s="14"/>
    </row>
    <row r="40">
      <c r="A40" s="14" t="s">
        <v>419</v>
      </c>
      <c r="B40" s="4">
        <v>1602.0</v>
      </c>
      <c r="C40" s="68"/>
      <c r="D40" s="14"/>
      <c r="E40" s="14"/>
    </row>
    <row r="41">
      <c r="A41" s="14" t="s">
        <v>420</v>
      </c>
      <c r="B41" s="4">
        <v>1601.0</v>
      </c>
      <c r="C41" s="68"/>
      <c r="D41" s="14"/>
      <c r="E41" s="14"/>
    </row>
    <row r="42">
      <c r="A42" s="14" t="s">
        <v>421</v>
      </c>
      <c r="B42" s="4">
        <v>1451.0</v>
      </c>
      <c r="C42" s="68"/>
      <c r="D42" s="14"/>
      <c r="E42" s="14"/>
    </row>
    <row r="43">
      <c r="A43" s="14" t="s">
        <v>422</v>
      </c>
      <c r="B43" s="35">
        <v>1444.0</v>
      </c>
      <c r="C43" s="35"/>
      <c r="D43" s="14"/>
      <c r="E43" s="14"/>
    </row>
    <row r="44">
      <c r="A44" s="14" t="s">
        <v>423</v>
      </c>
      <c r="B44" s="14">
        <v>1265.0</v>
      </c>
      <c r="C44" s="14"/>
      <c r="D44" s="14"/>
      <c r="E44" s="14"/>
    </row>
    <row r="45">
      <c r="A45" s="14" t="s">
        <v>424</v>
      </c>
      <c r="B45" s="14">
        <v>1209.0</v>
      </c>
      <c r="C45" s="14"/>
      <c r="D45" s="14"/>
      <c r="E45" s="14"/>
    </row>
    <row r="46">
      <c r="A46" s="14"/>
      <c r="B46" s="14">
        <f>AVERAGE(B29:B45)</f>
        <v>1978</v>
      </c>
      <c r="C46" s="14"/>
      <c r="D46" s="14"/>
      <c r="E46" s="14"/>
    </row>
    <row r="47">
      <c r="A47" s="14"/>
      <c r="B47" s="14"/>
      <c r="C47" s="14"/>
      <c r="D47" s="14"/>
      <c r="E47" s="14"/>
    </row>
    <row r="48">
      <c r="A48" s="14"/>
      <c r="B48" s="14"/>
      <c r="C48" s="14"/>
      <c r="D48" s="14"/>
      <c r="E48" s="14"/>
    </row>
    <row r="49">
      <c r="A49" s="14"/>
      <c r="B49" s="14"/>
      <c r="C49" s="14"/>
      <c r="D49" s="14"/>
      <c r="E49" s="14"/>
    </row>
    <row r="50">
      <c r="A50" s="14"/>
      <c r="B50" s="14"/>
      <c r="C50" s="14"/>
      <c r="D50" s="14"/>
      <c r="E50" s="14"/>
    </row>
    <row r="51">
      <c r="A51" s="14"/>
      <c r="B51" s="14"/>
      <c r="C51" s="14"/>
      <c r="D51" s="14"/>
      <c r="E51" s="14"/>
    </row>
    <row r="52">
      <c r="A52" s="14"/>
      <c r="B52" s="14"/>
      <c r="C52" s="14"/>
      <c r="D52" s="14"/>
      <c r="E52" s="14"/>
    </row>
    <row r="53">
      <c r="A53" s="14"/>
      <c r="B53" s="14"/>
      <c r="C53" s="14"/>
      <c r="D53" s="14"/>
      <c r="E53" s="14"/>
    </row>
    <row r="54">
      <c r="A54" s="14"/>
      <c r="B54" s="14"/>
      <c r="C54" s="14"/>
      <c r="D54" s="14"/>
      <c r="E54" s="14"/>
    </row>
    <row r="55">
      <c r="A55" s="14"/>
      <c r="B55" s="14"/>
      <c r="C55" s="14"/>
      <c r="D55" s="14"/>
      <c r="E55" s="14"/>
    </row>
    <row r="56">
      <c r="A56" s="14"/>
      <c r="B56" s="14"/>
      <c r="C56" s="14"/>
      <c r="D56" s="14"/>
      <c r="E56" s="14"/>
    </row>
    <row r="57">
      <c r="A57" s="14"/>
      <c r="B57" s="14"/>
      <c r="C57" s="14"/>
      <c r="D57" s="14"/>
      <c r="E57" s="14"/>
    </row>
    <row r="58">
      <c r="A58" s="14"/>
      <c r="B58" s="14"/>
      <c r="C58" s="14"/>
      <c r="D58" s="14"/>
      <c r="E58" s="14"/>
    </row>
    <row r="59">
      <c r="A59" s="14"/>
      <c r="B59" s="14"/>
      <c r="C59" s="14"/>
      <c r="D59" s="14"/>
      <c r="E59" s="14"/>
    </row>
    <row r="60">
      <c r="A60" s="14"/>
      <c r="B60" s="14"/>
      <c r="C60" s="14"/>
      <c r="D60" s="14"/>
      <c r="E60" s="14"/>
    </row>
    <row r="61">
      <c r="A61" s="14"/>
      <c r="B61" s="14"/>
      <c r="C61" s="14"/>
      <c r="D61" s="14"/>
      <c r="E61" s="14"/>
    </row>
    <row r="62">
      <c r="A62" s="14"/>
      <c r="B62" s="14"/>
      <c r="C62" s="14"/>
      <c r="D62" s="14"/>
      <c r="E62" s="14"/>
    </row>
    <row r="63">
      <c r="A63" s="14"/>
      <c r="B63" s="14"/>
      <c r="C63" s="14"/>
      <c r="D63" s="14"/>
      <c r="E63" s="14"/>
    </row>
    <row r="64">
      <c r="A64" s="68"/>
      <c r="C64" s="68"/>
      <c r="D64" s="14"/>
      <c r="E64" s="14"/>
    </row>
    <row r="65">
      <c r="A65" s="68"/>
      <c r="C65" s="68"/>
      <c r="D65" s="14"/>
      <c r="E65" s="14"/>
    </row>
    <row r="66">
      <c r="A66" s="68"/>
      <c r="C66" s="68"/>
      <c r="D66" s="14"/>
      <c r="E66" s="14"/>
    </row>
    <row r="67">
      <c r="A67" s="68"/>
      <c r="C67" s="68"/>
      <c r="D67" s="14"/>
      <c r="E67" s="14"/>
    </row>
    <row r="68">
      <c r="A68" s="68"/>
      <c r="C68" s="68"/>
      <c r="D68" s="14"/>
      <c r="E68" s="14"/>
    </row>
    <row r="69">
      <c r="A69" s="35"/>
      <c r="B69" s="35"/>
      <c r="C69" s="35"/>
      <c r="D69" s="35"/>
      <c r="E69" s="35"/>
      <c r="F69" s="68"/>
      <c r="G69" s="68"/>
      <c r="H69" s="68"/>
      <c r="I69" s="68"/>
      <c r="J69" s="68"/>
      <c r="K69" s="68"/>
      <c r="L69" s="68"/>
    </row>
    <row r="70">
      <c r="A70" s="14"/>
      <c r="B70" s="14"/>
      <c r="C70" s="14"/>
      <c r="D70" s="14"/>
      <c r="E70" s="14"/>
    </row>
    <row r="71">
      <c r="A71" s="68"/>
      <c r="B71" s="14"/>
      <c r="C71" s="14"/>
      <c r="D71" s="14"/>
      <c r="E71" s="14"/>
    </row>
    <row r="72">
      <c r="A72" s="68"/>
      <c r="B72" s="14"/>
      <c r="C72" s="14"/>
      <c r="D72" s="14"/>
      <c r="E72" s="14"/>
    </row>
    <row r="73">
      <c r="A73" s="68"/>
      <c r="B73" s="14"/>
      <c r="C73" s="14"/>
      <c r="D73" s="14"/>
      <c r="E73" s="14"/>
    </row>
    <row r="74">
      <c r="A74" s="68"/>
      <c r="B74" s="14"/>
      <c r="C74" s="14"/>
      <c r="D74" s="14"/>
      <c r="E74" s="14"/>
    </row>
    <row r="75">
      <c r="A75" s="68"/>
      <c r="B75" s="14"/>
      <c r="C75" s="14"/>
      <c r="D75" s="14"/>
      <c r="E75" s="14"/>
    </row>
    <row r="76">
      <c r="A76" s="68"/>
      <c r="B76" s="14"/>
      <c r="C76" s="14"/>
      <c r="D76" s="14"/>
      <c r="E76" s="14"/>
    </row>
    <row r="77">
      <c r="A77" s="68"/>
      <c r="B77" s="14"/>
      <c r="C77" s="14"/>
      <c r="D77" s="14"/>
      <c r="E77" s="14"/>
    </row>
    <row r="78">
      <c r="A78" s="68"/>
      <c r="B78" s="14"/>
      <c r="C78" s="14"/>
      <c r="D78" s="14"/>
      <c r="E78" s="14"/>
    </row>
    <row r="79">
      <c r="A79" s="68"/>
      <c r="B79" s="14"/>
      <c r="C79" s="14"/>
      <c r="D79" s="14"/>
      <c r="E79" s="14"/>
    </row>
    <row r="80">
      <c r="A80" s="68"/>
      <c r="B80" s="14"/>
      <c r="C80" s="14"/>
      <c r="D80" s="14"/>
      <c r="E80" s="14"/>
    </row>
    <row r="81">
      <c r="A81" s="68"/>
      <c r="B81" s="14"/>
      <c r="C81" s="14"/>
      <c r="D81" s="14"/>
      <c r="E81" s="14"/>
    </row>
    <row r="82">
      <c r="A82" s="68"/>
      <c r="B82" s="14"/>
      <c r="C82" s="14"/>
      <c r="D82" s="14"/>
      <c r="E82" s="14"/>
    </row>
    <row r="83">
      <c r="A83" s="68"/>
      <c r="B83" s="14"/>
      <c r="C83" s="14"/>
      <c r="D83" s="14"/>
      <c r="E83" s="14"/>
    </row>
    <row r="84">
      <c r="A84" s="68"/>
      <c r="B84" s="14"/>
      <c r="C84" s="14"/>
      <c r="D84" s="14"/>
      <c r="E84" s="14"/>
    </row>
    <row r="85">
      <c r="A85" s="68"/>
      <c r="B85" s="14"/>
      <c r="C85" s="14"/>
      <c r="D85" s="14"/>
      <c r="E85" s="14"/>
    </row>
    <row r="86">
      <c r="A86" s="68"/>
      <c r="B86" s="14"/>
      <c r="C86" s="14"/>
      <c r="D86" s="14"/>
      <c r="E86" s="14"/>
    </row>
    <row r="87">
      <c r="A87" s="68"/>
      <c r="B87" s="14"/>
      <c r="C87" s="14"/>
      <c r="D87" s="14"/>
      <c r="E87" s="14"/>
    </row>
    <row r="88">
      <c r="A88" s="68"/>
      <c r="B88" s="14"/>
      <c r="C88" s="14"/>
      <c r="D88" s="14"/>
      <c r="E88" s="14"/>
    </row>
    <row r="89">
      <c r="A89" s="68"/>
      <c r="B89" s="14"/>
      <c r="C89" s="14"/>
      <c r="D89" s="14"/>
      <c r="E89" s="14"/>
    </row>
    <row r="90">
      <c r="A90" s="68"/>
      <c r="C90" s="68"/>
      <c r="D90" s="14"/>
      <c r="E90" s="14"/>
    </row>
    <row r="91">
      <c r="A91" s="68"/>
      <c r="C91" s="68"/>
      <c r="D91" s="14"/>
      <c r="E91" s="14"/>
    </row>
    <row r="92">
      <c r="A92" s="68"/>
      <c r="C92" s="68"/>
      <c r="D92" s="14"/>
      <c r="E92" s="14"/>
    </row>
    <row r="93">
      <c r="A93" s="68"/>
      <c r="C93" s="68"/>
      <c r="D93" s="14"/>
      <c r="E93" s="14"/>
    </row>
    <row r="94">
      <c r="A94" s="68"/>
      <c r="C94" s="68"/>
      <c r="D94" s="14"/>
      <c r="E94" s="14"/>
    </row>
    <row r="95">
      <c r="A95" s="68"/>
      <c r="C95" s="68"/>
      <c r="D95" s="14"/>
      <c r="E95" s="14"/>
    </row>
    <row r="96">
      <c r="A96" s="68"/>
      <c r="C96" s="68"/>
      <c r="D96" s="14"/>
      <c r="E96" s="14"/>
    </row>
    <row r="97">
      <c r="A97" s="68"/>
      <c r="C97" s="68"/>
      <c r="D97" s="14"/>
      <c r="E97" s="14"/>
    </row>
    <row r="98">
      <c r="A98" s="68"/>
      <c r="C98" s="68"/>
      <c r="D98" s="14"/>
      <c r="E98" s="14"/>
    </row>
    <row r="99">
      <c r="A99" s="68"/>
      <c r="C99" s="68"/>
      <c r="D99" s="14"/>
      <c r="E99" s="14"/>
    </row>
    <row r="100">
      <c r="A100" s="68"/>
      <c r="B100" s="138"/>
    </row>
    <row r="101">
      <c r="A101" s="68"/>
      <c r="B101" s="139"/>
    </row>
    <row r="102">
      <c r="A102" s="68"/>
      <c r="C102" s="68"/>
      <c r="D102" s="14"/>
      <c r="E102" s="14"/>
    </row>
    <row r="103">
      <c r="A103" s="68"/>
      <c r="B103" s="140"/>
    </row>
    <row r="104">
      <c r="A104" s="68"/>
      <c r="B104" s="139"/>
    </row>
    <row r="105">
      <c r="A105" s="68"/>
      <c r="C105" s="68"/>
      <c r="D105" s="14"/>
      <c r="E105" s="14"/>
    </row>
    <row r="106">
      <c r="A106" s="68"/>
      <c r="B106" s="140"/>
    </row>
    <row r="107">
      <c r="A107" s="68"/>
      <c r="B107" s="139"/>
    </row>
    <row r="108">
      <c r="A108" s="68"/>
      <c r="C108" s="68"/>
      <c r="D108" s="14"/>
      <c r="E108" s="14"/>
    </row>
    <row r="109">
      <c r="A109" s="68"/>
      <c r="C109" s="68"/>
      <c r="D109" s="14"/>
      <c r="E109" s="14"/>
    </row>
    <row r="110">
      <c r="A110" s="68"/>
      <c r="C110" s="68"/>
      <c r="D110" s="14"/>
      <c r="E110" s="14"/>
    </row>
    <row r="116">
      <c r="D116" s="35"/>
    </row>
    <row r="117">
      <c r="D117" s="35"/>
    </row>
    <row r="118">
      <c r="D118" s="35"/>
      <c r="E118" s="35"/>
      <c r="F118" s="35"/>
      <c r="G118" s="35"/>
    </row>
    <row r="119">
      <c r="C119" s="35"/>
    </row>
    <row r="120">
      <c r="C120" s="35"/>
      <c r="D120" s="22"/>
      <c r="E120" s="22"/>
      <c r="F120" s="22"/>
      <c r="G120" s="22"/>
    </row>
  </sheetData>
  <mergeCells count="19">
    <mergeCell ref="N12:R12"/>
    <mergeCell ref="N13:R13"/>
    <mergeCell ref="A12:A14"/>
    <mergeCell ref="B12:C12"/>
    <mergeCell ref="D12:H12"/>
    <mergeCell ref="B13:B14"/>
    <mergeCell ref="C13:C14"/>
    <mergeCell ref="D13:E13"/>
    <mergeCell ref="F13:H13"/>
    <mergeCell ref="D116:G116"/>
    <mergeCell ref="D117:G117"/>
    <mergeCell ref="C119:G119"/>
    <mergeCell ref="B100:E100"/>
    <mergeCell ref="B101:E101"/>
    <mergeCell ref="B103:E103"/>
    <mergeCell ref="B104:E104"/>
    <mergeCell ref="B106:E106"/>
    <mergeCell ref="B107:E107"/>
    <mergeCell ref="C116:C118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</cols>
  <sheetData>
    <row r="1">
      <c r="A1" s="35" t="s">
        <v>425</v>
      </c>
      <c r="B1" s="23" t="s">
        <v>426</v>
      </c>
      <c r="C1" s="4" t="s">
        <v>42</v>
      </c>
      <c r="D1" s="4" t="s">
        <v>427</v>
      </c>
      <c r="E1" s="4" t="s">
        <v>428</v>
      </c>
      <c r="F1" s="4" t="s">
        <v>45</v>
      </c>
      <c r="G1" s="4" t="s">
        <v>46</v>
      </c>
      <c r="H1" s="4" t="s">
        <v>207</v>
      </c>
      <c r="I1" s="4" t="s">
        <v>205</v>
      </c>
      <c r="J1" s="4" t="s">
        <v>429</v>
      </c>
      <c r="K1" s="4" t="s">
        <v>36</v>
      </c>
      <c r="L1" s="4" t="s">
        <v>38</v>
      </c>
      <c r="M1" s="4" t="s">
        <v>49</v>
      </c>
      <c r="N1" s="4" t="s">
        <v>123</v>
      </c>
    </row>
    <row r="2">
      <c r="A2" s="19" t="s">
        <v>430</v>
      </c>
      <c r="B2" s="23">
        <v>1538408.0</v>
      </c>
      <c r="C2" s="11">
        <f>58270.235</f>
        <v>58270.235</v>
      </c>
      <c r="D2" s="11">
        <f>3060.031+62.628</f>
        <v>3122.659</v>
      </c>
      <c r="E2" s="11">
        <f>897.775</f>
        <v>897.775</v>
      </c>
      <c r="F2" s="11">
        <f>10030.681</f>
        <v>10030.681</v>
      </c>
      <c r="G2" s="11">
        <f t="shared" ref="G2:G18" si="1">C2+D2+E2</f>
        <v>62290.669</v>
      </c>
      <c r="H2" s="11">
        <f>86317.077</f>
        <v>86317.077</v>
      </c>
      <c r="I2" s="11">
        <f t="shared" ref="I2:I18" si="2">H2-F2-G2-E2</f>
        <v>13097.952</v>
      </c>
      <c r="J2" s="11">
        <f t="shared" ref="J2:J18" si="3">1+M2+L2</f>
        <v>8.515802865</v>
      </c>
      <c r="K2" s="11">
        <f t="shared" ref="K2:K18" si="4">I2/(G2+F2)</f>
        <v>0.1811076812</v>
      </c>
      <c r="L2" s="11">
        <f t="shared" ref="L2:L18" si="5">I2/F2</f>
        <v>1.305788909</v>
      </c>
      <c r="M2" s="11">
        <f t="shared" ref="M2:M18" si="6">G2/F2</f>
        <v>6.210013956</v>
      </c>
      <c r="N2" s="11">
        <f t="shared" ref="N2:N18" si="7">((((I2*7.51)/60)/12)/24)/365</f>
        <v>0.01559576667</v>
      </c>
    </row>
    <row r="3">
      <c r="A3" s="19" t="s">
        <v>414</v>
      </c>
      <c r="B3" s="23">
        <v>358602.0</v>
      </c>
      <c r="C3" s="11">
        <f t="shared" ref="C3:C4" si="8">27284.643</f>
        <v>27284.643</v>
      </c>
      <c r="D3" s="11">
        <f>965.864+10.355</f>
        <v>976.219</v>
      </c>
      <c r="E3" s="4">
        <v>278.492</v>
      </c>
      <c r="F3" s="11">
        <f t="shared" ref="F3:F4" si="9">3712.926</f>
        <v>3712.926</v>
      </c>
      <c r="G3" s="11">
        <f t="shared" si="1"/>
        <v>28539.354</v>
      </c>
      <c r="H3" s="11">
        <f t="shared" ref="H3:H4" si="10">37857.033</f>
        <v>37857.033</v>
      </c>
      <c r="I3" s="11">
        <f t="shared" si="2"/>
        <v>5326.261</v>
      </c>
      <c r="J3" s="11">
        <f t="shared" si="3"/>
        <v>10.12100457</v>
      </c>
      <c r="K3" s="11">
        <f t="shared" si="4"/>
        <v>0.1651437046</v>
      </c>
      <c r="L3" s="11">
        <f t="shared" si="5"/>
        <v>1.43451849</v>
      </c>
      <c r="M3" s="11">
        <f t="shared" si="6"/>
        <v>7.686486076</v>
      </c>
      <c r="N3" s="11">
        <f t="shared" si="7"/>
        <v>0.006341993295</v>
      </c>
    </row>
    <row r="4">
      <c r="A4" s="19" t="s">
        <v>431</v>
      </c>
      <c r="B4" s="23">
        <v>195601.0</v>
      </c>
      <c r="C4" s="11">
        <f t="shared" si="8"/>
        <v>27284.643</v>
      </c>
      <c r="D4" s="11">
        <f>965.864+30.297</f>
        <v>996.161</v>
      </c>
      <c r="E4" s="11">
        <f>278.492</f>
        <v>278.492</v>
      </c>
      <c r="F4" s="11">
        <f t="shared" si="9"/>
        <v>3712.926</v>
      </c>
      <c r="G4" s="11">
        <f t="shared" si="1"/>
        <v>28559.296</v>
      </c>
      <c r="H4" s="11">
        <f t="shared" si="10"/>
        <v>37857.033</v>
      </c>
      <c r="I4" s="11">
        <f t="shared" si="2"/>
        <v>5306.319</v>
      </c>
      <c r="J4" s="11">
        <f t="shared" si="3"/>
        <v>10.12100457</v>
      </c>
      <c r="K4" s="11">
        <f t="shared" si="4"/>
        <v>0.1644237264</v>
      </c>
      <c r="L4" s="11">
        <f t="shared" si="5"/>
        <v>1.429147524</v>
      </c>
      <c r="M4" s="11">
        <f t="shared" si="6"/>
        <v>7.691857042</v>
      </c>
      <c r="N4" s="11">
        <f t="shared" si="7"/>
        <v>0.006318248302</v>
      </c>
    </row>
    <row r="5">
      <c r="A5" s="19" t="s">
        <v>432</v>
      </c>
      <c r="B5" s="23">
        <v>134242.0</v>
      </c>
      <c r="G5" s="11">
        <f t="shared" si="1"/>
        <v>0</v>
      </c>
      <c r="I5" s="11">
        <f t="shared" si="2"/>
        <v>0</v>
      </c>
      <c r="J5" s="11" t="str">
        <f t="shared" si="3"/>
        <v>#DIV/0!</v>
      </c>
      <c r="K5" s="11" t="str">
        <f t="shared" si="4"/>
        <v>#DIV/0!</v>
      </c>
      <c r="L5" s="11" t="str">
        <f t="shared" si="5"/>
        <v>#DIV/0!</v>
      </c>
      <c r="M5" s="11" t="str">
        <f t="shared" si="6"/>
        <v>#DIV/0!</v>
      </c>
      <c r="N5" s="11">
        <f t="shared" si="7"/>
        <v>0</v>
      </c>
    </row>
    <row r="6">
      <c r="A6" s="19" t="s">
        <v>419</v>
      </c>
      <c r="B6" s="23">
        <v>219872.0</v>
      </c>
      <c r="G6" s="11">
        <f t="shared" si="1"/>
        <v>0</v>
      </c>
      <c r="I6" s="11">
        <f t="shared" si="2"/>
        <v>0</v>
      </c>
      <c r="J6" s="11" t="str">
        <f t="shared" si="3"/>
        <v>#DIV/0!</v>
      </c>
      <c r="K6" s="11" t="str">
        <f t="shared" si="4"/>
        <v>#DIV/0!</v>
      </c>
      <c r="L6" s="11" t="str">
        <f t="shared" si="5"/>
        <v>#DIV/0!</v>
      </c>
      <c r="M6" s="11" t="str">
        <f t="shared" si="6"/>
        <v>#DIV/0!</v>
      </c>
      <c r="N6" s="11">
        <f t="shared" si="7"/>
        <v>0</v>
      </c>
    </row>
    <row r="7">
      <c r="A7" s="19" t="s">
        <v>413</v>
      </c>
      <c r="B7" s="23">
        <v>119008.0</v>
      </c>
      <c r="G7" s="11">
        <f t="shared" si="1"/>
        <v>0</v>
      </c>
      <c r="I7" s="11">
        <f t="shared" si="2"/>
        <v>0</v>
      </c>
      <c r="J7" s="11" t="str">
        <f t="shared" si="3"/>
        <v>#DIV/0!</v>
      </c>
      <c r="K7" s="11" t="str">
        <f t="shared" si="4"/>
        <v>#DIV/0!</v>
      </c>
      <c r="L7" s="11" t="str">
        <f t="shared" si="5"/>
        <v>#DIV/0!</v>
      </c>
      <c r="M7" s="11" t="str">
        <f t="shared" si="6"/>
        <v>#DIV/0!</v>
      </c>
      <c r="N7" s="11">
        <f t="shared" si="7"/>
        <v>0</v>
      </c>
    </row>
    <row r="8">
      <c r="A8" s="19" t="s">
        <v>417</v>
      </c>
      <c r="B8" s="23">
        <v>800924.0</v>
      </c>
      <c r="G8" s="11">
        <f t="shared" si="1"/>
        <v>0</v>
      </c>
      <c r="I8" s="11">
        <f t="shared" si="2"/>
        <v>0</v>
      </c>
      <c r="J8" s="11" t="str">
        <f t="shared" si="3"/>
        <v>#DIV/0!</v>
      </c>
      <c r="K8" s="11" t="str">
        <f t="shared" si="4"/>
        <v>#DIV/0!</v>
      </c>
      <c r="L8" s="11" t="str">
        <f t="shared" si="5"/>
        <v>#DIV/0!</v>
      </c>
      <c r="M8" s="11" t="str">
        <f t="shared" si="6"/>
        <v>#DIV/0!</v>
      </c>
      <c r="N8" s="11">
        <f t="shared" si="7"/>
        <v>0</v>
      </c>
    </row>
    <row r="9">
      <c r="A9" s="19" t="s">
        <v>433</v>
      </c>
      <c r="B9" s="23">
        <v>253003.0</v>
      </c>
      <c r="G9" s="11">
        <f t="shared" si="1"/>
        <v>0</v>
      </c>
      <c r="I9" s="11">
        <f t="shared" si="2"/>
        <v>0</v>
      </c>
      <c r="J9" s="11" t="str">
        <f t="shared" si="3"/>
        <v>#DIV/0!</v>
      </c>
      <c r="K9" s="11" t="str">
        <f t="shared" si="4"/>
        <v>#DIV/0!</v>
      </c>
      <c r="L9" s="11" t="str">
        <f t="shared" si="5"/>
        <v>#DIV/0!</v>
      </c>
      <c r="M9" s="11" t="str">
        <f t="shared" si="6"/>
        <v>#DIV/0!</v>
      </c>
      <c r="N9" s="11">
        <f t="shared" si="7"/>
        <v>0</v>
      </c>
    </row>
    <row r="10">
      <c r="A10" s="19" t="s">
        <v>408</v>
      </c>
      <c r="B10" s="23">
        <v>3596646.0</v>
      </c>
      <c r="G10" s="11">
        <f t="shared" si="1"/>
        <v>0</v>
      </c>
      <c r="I10" s="11">
        <f t="shared" si="2"/>
        <v>0</v>
      </c>
      <c r="J10" s="11" t="str">
        <f t="shared" si="3"/>
        <v>#DIV/0!</v>
      </c>
      <c r="K10" s="11" t="str">
        <f t="shared" si="4"/>
        <v>#DIV/0!</v>
      </c>
      <c r="L10" s="11" t="str">
        <f t="shared" si="5"/>
        <v>#DIV/0!</v>
      </c>
      <c r="M10" s="11" t="str">
        <f t="shared" si="6"/>
        <v>#DIV/0!</v>
      </c>
      <c r="N10" s="11">
        <f t="shared" si="7"/>
        <v>0</v>
      </c>
    </row>
    <row r="11">
      <c r="A11" s="19" t="s">
        <v>434</v>
      </c>
      <c r="B11" s="23">
        <v>1264029.0</v>
      </c>
      <c r="G11" s="11">
        <f t="shared" si="1"/>
        <v>0</v>
      </c>
      <c r="I11" s="11">
        <f t="shared" si="2"/>
        <v>0</v>
      </c>
      <c r="J11" s="11" t="str">
        <f t="shared" si="3"/>
        <v>#DIV/0!</v>
      </c>
      <c r="K11" s="11" t="str">
        <f t="shared" si="4"/>
        <v>#DIV/0!</v>
      </c>
      <c r="L11" s="11" t="str">
        <f t="shared" si="5"/>
        <v>#DIV/0!</v>
      </c>
      <c r="M11" s="11" t="str">
        <f t="shared" si="6"/>
        <v>#DIV/0!</v>
      </c>
      <c r="N11" s="11">
        <f t="shared" si="7"/>
        <v>0</v>
      </c>
    </row>
    <row r="12">
      <c r="A12" s="19" t="s">
        <v>435</v>
      </c>
      <c r="B12" s="23">
        <v>139320.0</v>
      </c>
      <c r="G12" s="11">
        <f t="shared" si="1"/>
        <v>0</v>
      </c>
      <c r="I12" s="11">
        <f t="shared" si="2"/>
        <v>0</v>
      </c>
      <c r="J12" s="11" t="str">
        <f t="shared" si="3"/>
        <v>#DIV/0!</v>
      </c>
      <c r="K12" s="11" t="str">
        <f t="shared" si="4"/>
        <v>#DIV/0!</v>
      </c>
      <c r="L12" s="11" t="str">
        <f t="shared" si="5"/>
        <v>#DIV/0!</v>
      </c>
      <c r="M12" s="11" t="str">
        <f t="shared" si="6"/>
        <v>#DIV/0!</v>
      </c>
      <c r="N12" s="11">
        <f t="shared" si="7"/>
        <v>0</v>
      </c>
    </row>
    <row r="13">
      <c r="A13" s="19" t="s">
        <v>418</v>
      </c>
      <c r="B13" s="23">
        <v>627329.0</v>
      </c>
      <c r="G13" s="11">
        <f t="shared" si="1"/>
        <v>0</v>
      </c>
      <c r="I13" s="11">
        <f t="shared" si="2"/>
        <v>0</v>
      </c>
      <c r="J13" s="11" t="str">
        <f t="shared" si="3"/>
        <v>#DIV/0!</v>
      </c>
      <c r="K13" s="11" t="str">
        <f t="shared" si="4"/>
        <v>#DIV/0!</v>
      </c>
      <c r="L13" s="11" t="str">
        <f t="shared" si="5"/>
        <v>#DIV/0!</v>
      </c>
      <c r="M13" s="11" t="str">
        <f t="shared" si="6"/>
        <v>#DIV/0!</v>
      </c>
      <c r="N13" s="11">
        <f t="shared" si="7"/>
        <v>0</v>
      </c>
    </row>
    <row r="14">
      <c r="A14" s="19" t="s">
        <v>436</v>
      </c>
      <c r="B14" s="23">
        <v>4100551.0</v>
      </c>
      <c r="G14" s="11">
        <f t="shared" si="1"/>
        <v>0</v>
      </c>
      <c r="I14" s="11">
        <f t="shared" si="2"/>
        <v>0</v>
      </c>
      <c r="J14" s="11" t="str">
        <f t="shared" si="3"/>
        <v>#DIV/0!</v>
      </c>
      <c r="K14" s="11" t="str">
        <f t="shared" si="4"/>
        <v>#DIV/0!</v>
      </c>
      <c r="L14" s="11" t="str">
        <f t="shared" si="5"/>
        <v>#DIV/0!</v>
      </c>
      <c r="M14" s="11" t="str">
        <f t="shared" si="6"/>
        <v>#DIV/0!</v>
      </c>
      <c r="N14" s="11">
        <f t="shared" si="7"/>
        <v>0</v>
      </c>
    </row>
    <row r="15">
      <c r="A15" s="19" t="s">
        <v>437</v>
      </c>
      <c r="B15" s="23">
        <v>323429.0</v>
      </c>
      <c r="G15" s="11">
        <f t="shared" si="1"/>
        <v>0</v>
      </c>
      <c r="I15" s="11">
        <f t="shared" si="2"/>
        <v>0</v>
      </c>
      <c r="J15" s="11" t="str">
        <f t="shared" si="3"/>
        <v>#DIV/0!</v>
      </c>
      <c r="K15" s="11" t="str">
        <f t="shared" si="4"/>
        <v>#DIV/0!</v>
      </c>
      <c r="L15" s="11" t="str">
        <f t="shared" si="5"/>
        <v>#DIV/0!</v>
      </c>
      <c r="M15" s="11" t="str">
        <f t="shared" si="6"/>
        <v>#DIV/0!</v>
      </c>
      <c r="N15" s="11">
        <f t="shared" si="7"/>
        <v>0</v>
      </c>
    </row>
    <row r="16">
      <c r="A16" s="19" t="s">
        <v>438</v>
      </c>
      <c r="B16" s="23">
        <v>355779.0</v>
      </c>
      <c r="G16" s="11">
        <f t="shared" si="1"/>
        <v>0</v>
      </c>
      <c r="I16" s="11">
        <f t="shared" si="2"/>
        <v>0</v>
      </c>
      <c r="J16" s="11" t="str">
        <f t="shared" si="3"/>
        <v>#DIV/0!</v>
      </c>
      <c r="K16" s="11" t="str">
        <f t="shared" si="4"/>
        <v>#DIV/0!</v>
      </c>
      <c r="L16" s="11" t="str">
        <f t="shared" si="5"/>
        <v>#DIV/0!</v>
      </c>
      <c r="M16" s="11" t="str">
        <f t="shared" si="6"/>
        <v>#DIV/0!</v>
      </c>
      <c r="N16" s="11">
        <f t="shared" si="7"/>
        <v>0</v>
      </c>
    </row>
    <row r="17">
      <c r="A17" s="19" t="s">
        <v>410</v>
      </c>
      <c r="B17" s="23">
        <v>1474109.0</v>
      </c>
      <c r="G17" s="11">
        <f t="shared" si="1"/>
        <v>0</v>
      </c>
      <c r="I17" s="11">
        <f t="shared" si="2"/>
        <v>0</v>
      </c>
      <c r="J17" s="11" t="str">
        <f t="shared" si="3"/>
        <v>#DIV/0!</v>
      </c>
      <c r="K17" s="11" t="str">
        <f t="shared" si="4"/>
        <v>#DIV/0!</v>
      </c>
      <c r="L17" s="11" t="str">
        <f t="shared" si="5"/>
        <v>#DIV/0!</v>
      </c>
      <c r="M17" s="11" t="str">
        <f t="shared" si="6"/>
        <v>#DIV/0!</v>
      </c>
      <c r="N17" s="11">
        <f t="shared" si="7"/>
        <v>0</v>
      </c>
    </row>
    <row r="18">
      <c r="A18" s="19" t="s">
        <v>439</v>
      </c>
      <c r="B18" s="23">
        <v>67745.0</v>
      </c>
      <c r="G18" s="11">
        <f t="shared" si="1"/>
        <v>0</v>
      </c>
      <c r="I18" s="11">
        <f t="shared" si="2"/>
        <v>0</v>
      </c>
      <c r="J18" s="11" t="str">
        <f t="shared" si="3"/>
        <v>#DIV/0!</v>
      </c>
      <c r="K18" s="11" t="str">
        <f t="shared" si="4"/>
        <v>#DIV/0!</v>
      </c>
      <c r="L18" s="11" t="str">
        <f t="shared" si="5"/>
        <v>#DIV/0!</v>
      </c>
      <c r="M18" s="11" t="str">
        <f t="shared" si="6"/>
        <v>#DIV/0!</v>
      </c>
      <c r="N18" s="11">
        <f t="shared" si="7"/>
        <v>0</v>
      </c>
    </row>
    <row r="19">
      <c r="A19" s="19" t="s">
        <v>440</v>
      </c>
      <c r="B19" s="4" t="s">
        <v>441</v>
      </c>
    </row>
    <row r="20">
      <c r="A20" s="19" t="s">
        <v>442</v>
      </c>
      <c r="B20" s="4" t="s">
        <v>441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4" t="s">
        <v>443</v>
      </c>
      <c r="D1" s="4" t="s">
        <v>444</v>
      </c>
    </row>
    <row r="2">
      <c r="B2" s="141">
        <v>2546917.0</v>
      </c>
      <c r="C2" s="11">
        <f>B2*1000000</f>
        <v>2546917000000</v>
      </c>
      <c r="D2" s="11">
        <v>2.156513E12</v>
      </c>
    </row>
    <row r="3">
      <c r="B3" s="141"/>
      <c r="C3" s="4">
        <v>1.3E12</v>
      </c>
      <c r="D3" s="4">
        <v>1.3E12</v>
      </c>
    </row>
    <row r="4">
      <c r="C4" s="11">
        <f t="shared" ref="C4:D4" si="1">C2-C3</f>
        <v>1246917000000</v>
      </c>
      <c r="D4" s="11">
        <f t="shared" si="1"/>
        <v>856513000000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88"/>
    <col customWidth="1" min="3" max="3" width="13.63"/>
    <col customWidth="1" min="4" max="4" width="15.13"/>
    <col customWidth="1" min="5" max="5" width="18.13"/>
    <col customWidth="1" min="6" max="6" width="14.75"/>
    <col customWidth="1" min="7" max="7" width="15.5"/>
  </cols>
  <sheetData>
    <row r="1">
      <c r="A1" s="142"/>
      <c r="B1" s="143" t="s">
        <v>119</v>
      </c>
      <c r="C1" s="144" t="s">
        <v>445</v>
      </c>
      <c r="D1" s="144" t="s">
        <v>446</v>
      </c>
      <c r="E1" s="144" t="s">
        <v>447</v>
      </c>
      <c r="F1" s="144" t="s">
        <v>448</v>
      </c>
      <c r="G1" s="143" t="s">
        <v>449</v>
      </c>
      <c r="H1" s="143" t="s">
        <v>46</v>
      </c>
      <c r="I1" s="143" t="s">
        <v>37</v>
      </c>
      <c r="J1" s="143" t="s">
        <v>38</v>
      </c>
      <c r="K1" s="143" t="s">
        <v>49</v>
      </c>
      <c r="L1" s="143" t="s">
        <v>121</v>
      </c>
      <c r="M1" s="143" t="s">
        <v>36</v>
      </c>
      <c r="N1" s="143" t="s">
        <v>450</v>
      </c>
      <c r="O1" s="4" t="s">
        <v>451</v>
      </c>
      <c r="R1" s="11" t="s">
        <v>38</v>
      </c>
      <c r="S1" s="11" t="s">
        <v>49</v>
      </c>
      <c r="T1" s="11" t="s">
        <v>36</v>
      </c>
    </row>
    <row r="2">
      <c r="A2" s="145" t="s">
        <v>299</v>
      </c>
      <c r="B2" s="65">
        <v>195340.0</v>
      </c>
      <c r="C2" s="146">
        <f>670863.733</f>
        <v>670863.733</v>
      </c>
      <c r="D2" s="146">
        <v>69983.944</v>
      </c>
      <c r="E2" s="146">
        <v>533794.828</v>
      </c>
      <c r="F2" s="146">
        <v>26356.884</v>
      </c>
      <c r="G2" s="146">
        <v>83222.46</v>
      </c>
      <c r="H2" s="146">
        <f>SUM(E2:F2)</f>
        <v>560151.712</v>
      </c>
      <c r="I2" s="146">
        <f t="shared" ref="I2:I13" si="2">((C2)-H2-G2)</f>
        <v>27489.561</v>
      </c>
      <c r="J2" s="68">
        <f t="shared" ref="J2:J13" si="3">I2/G2</f>
        <v>0.3303142084</v>
      </c>
      <c r="K2" s="68">
        <f t="shared" ref="K2:K13" si="4">H2/G2</f>
        <v>6.730775706</v>
      </c>
      <c r="L2" s="68">
        <f t="shared" ref="L2:L13" si="5">1+K2+J2</f>
        <v>8.061089915</v>
      </c>
      <c r="M2" s="68">
        <f t="shared" ref="M2:M13" si="6">I2/(H2+G2)</f>
        <v>0.04272717525</v>
      </c>
      <c r="N2" s="16">
        <f t="shared" ref="N2:N13" si="7">G2+H2+I2</f>
        <v>670863.733</v>
      </c>
      <c r="O2" s="69">
        <f t="shared" ref="O2:O13" si="8">N2/C2</f>
        <v>1</v>
      </c>
      <c r="R2" s="11">
        <v>0.33031420844805665</v>
      </c>
      <c r="S2" s="11">
        <v>6.730775706461932</v>
      </c>
      <c r="T2" s="11">
        <v>0.04272717525253728</v>
      </c>
    </row>
    <row r="3">
      <c r="A3" s="145" t="s">
        <v>301</v>
      </c>
      <c r="B3" s="67">
        <f t="shared" ref="B3:G3" si="1">SUM(B4:B11)</f>
        <v>1563654</v>
      </c>
      <c r="C3" s="16">
        <f t="shared" si="1"/>
        <v>530654.73</v>
      </c>
      <c r="D3" s="16">
        <f t="shared" si="1"/>
        <v>90739.999</v>
      </c>
      <c r="E3" s="16">
        <f t="shared" si="1"/>
        <v>313810.604</v>
      </c>
      <c r="F3" s="16">
        <f t="shared" si="1"/>
        <v>33967.476</v>
      </c>
      <c r="G3" s="16">
        <f t="shared" si="1"/>
        <v>147864.691</v>
      </c>
      <c r="H3" s="146">
        <f t="shared" ref="H3:H13" si="9">SUM(E3:F3)-(SUM(E3:F3)*21/100)</f>
        <v>274744.6832</v>
      </c>
      <c r="I3" s="146">
        <f t="shared" si="2"/>
        <v>108045.3558</v>
      </c>
      <c r="J3" s="68">
        <f t="shared" si="3"/>
        <v>0.7307042342</v>
      </c>
      <c r="K3" s="68">
        <f t="shared" si="4"/>
        <v>1.858081746</v>
      </c>
      <c r="L3" s="68">
        <f t="shared" si="5"/>
        <v>3.58878598</v>
      </c>
      <c r="M3" s="68">
        <f t="shared" si="6"/>
        <v>0.2556624685</v>
      </c>
      <c r="N3" s="16">
        <f t="shared" si="7"/>
        <v>530654.73</v>
      </c>
      <c r="O3" s="69">
        <f t="shared" si="8"/>
        <v>1</v>
      </c>
      <c r="R3" s="11">
        <v>0.7307042341839411</v>
      </c>
      <c r="S3" s="11">
        <v>1.85808174583072</v>
      </c>
      <c r="T3" s="11">
        <v>0.2556624684545393</v>
      </c>
    </row>
    <row r="4">
      <c r="A4" s="147" t="s">
        <v>452</v>
      </c>
      <c r="B4" s="148">
        <v>196645.0</v>
      </c>
      <c r="C4" s="149">
        <v>116285.066</v>
      </c>
      <c r="D4" s="149">
        <v>22472.225</v>
      </c>
      <c r="E4" s="149">
        <v>73985.542</v>
      </c>
      <c r="F4" s="149">
        <v>9277.705</v>
      </c>
      <c r="G4" s="149">
        <v>26507.286</v>
      </c>
      <c r="H4" s="146">
        <f t="shared" si="9"/>
        <v>65777.96513</v>
      </c>
      <c r="I4" s="146">
        <f t="shared" si="2"/>
        <v>23999.81487</v>
      </c>
      <c r="J4" s="150">
        <f t="shared" si="3"/>
        <v>0.9054044563</v>
      </c>
      <c r="K4" s="150">
        <f t="shared" si="4"/>
        <v>2.48150509</v>
      </c>
      <c r="L4" s="150">
        <f t="shared" si="5"/>
        <v>4.386909546</v>
      </c>
      <c r="M4" s="150">
        <f t="shared" si="6"/>
        <v>0.2600612186</v>
      </c>
      <c r="N4" s="151">
        <f t="shared" si="7"/>
        <v>116285.066</v>
      </c>
      <c r="O4" s="69">
        <f t="shared" si="8"/>
        <v>1</v>
      </c>
      <c r="R4" s="11">
        <v>0.9054044563445691</v>
      </c>
      <c r="S4" s="11">
        <v>2.4815050899590396</v>
      </c>
      <c r="T4" s="11">
        <v>0.26006121862519566</v>
      </c>
    </row>
    <row r="5">
      <c r="A5" s="147" t="s">
        <v>453</v>
      </c>
      <c r="B5" s="148">
        <v>287273.0</v>
      </c>
      <c r="C5" s="149">
        <v>77722.422</v>
      </c>
      <c r="D5" s="149">
        <v>9694.2</v>
      </c>
      <c r="E5" s="149">
        <v>44233.028</v>
      </c>
      <c r="F5" s="149">
        <v>4211.956</v>
      </c>
      <c r="G5" s="149">
        <v>24989.42</v>
      </c>
      <c r="H5" s="146">
        <f t="shared" si="9"/>
        <v>38271.53736</v>
      </c>
      <c r="I5" s="146">
        <f t="shared" si="2"/>
        <v>14461.46464</v>
      </c>
      <c r="J5" s="150">
        <f t="shared" si="3"/>
        <v>0.5787034929</v>
      </c>
      <c r="K5" s="150">
        <f t="shared" si="4"/>
        <v>1.531509629</v>
      </c>
      <c r="L5" s="150">
        <f t="shared" si="5"/>
        <v>3.110213122</v>
      </c>
      <c r="M5" s="150">
        <f t="shared" si="6"/>
        <v>0.2286001547</v>
      </c>
      <c r="N5" s="151">
        <f t="shared" si="7"/>
        <v>77722.422</v>
      </c>
      <c r="O5" s="69">
        <f t="shared" si="8"/>
        <v>1</v>
      </c>
      <c r="R5" s="11">
        <v>0.5787034929182032</v>
      </c>
      <c r="S5" s="11">
        <v>1.5315096292751094</v>
      </c>
      <c r="T5" s="11">
        <v>0.22860015471634346</v>
      </c>
    </row>
    <row r="6">
      <c r="A6" s="147" t="s">
        <v>454</v>
      </c>
      <c r="B6" s="148">
        <v>69943.0</v>
      </c>
      <c r="C6" s="149">
        <v>85935.851</v>
      </c>
      <c r="D6" s="149">
        <v>15464.006</v>
      </c>
      <c r="E6" s="149">
        <v>54187.503</v>
      </c>
      <c r="F6" s="149">
        <v>4282.602</v>
      </c>
      <c r="G6" s="149">
        <v>21694.06</v>
      </c>
      <c r="H6" s="146">
        <f t="shared" si="9"/>
        <v>46191.38295</v>
      </c>
      <c r="I6" s="146">
        <f t="shared" si="2"/>
        <v>18050.40805</v>
      </c>
      <c r="J6" s="150">
        <f t="shared" si="3"/>
        <v>0.8320437968</v>
      </c>
      <c r="K6" s="150">
        <f t="shared" si="4"/>
        <v>2.129217996</v>
      </c>
      <c r="L6" s="150">
        <f t="shared" si="5"/>
        <v>3.961261792</v>
      </c>
      <c r="M6" s="150">
        <f t="shared" si="6"/>
        <v>0.2658951207</v>
      </c>
      <c r="N6" s="151">
        <f t="shared" si="7"/>
        <v>85935.851</v>
      </c>
      <c r="O6" s="69">
        <f t="shared" si="8"/>
        <v>1</v>
      </c>
      <c r="R6" s="11">
        <v>0.8320437967812384</v>
      </c>
      <c r="S6" s="11">
        <v>2.1292179956172332</v>
      </c>
      <c r="T6" s="11">
        <v>0.2658951207447339</v>
      </c>
    </row>
    <row r="7">
      <c r="A7" s="147" t="s">
        <v>455</v>
      </c>
      <c r="B7" s="148">
        <v>172836.0</v>
      </c>
      <c r="C7" s="149">
        <v>29167.326</v>
      </c>
      <c r="D7" s="149">
        <v>9819.1</v>
      </c>
      <c r="E7" s="149">
        <v>13289.419</v>
      </c>
      <c r="F7" s="149">
        <v>6313.48</v>
      </c>
      <c r="G7" s="149">
        <v>4377.138</v>
      </c>
      <c r="H7" s="146">
        <f t="shared" si="9"/>
        <v>15486.29021</v>
      </c>
      <c r="I7" s="146">
        <f t="shared" si="2"/>
        <v>9303.89779</v>
      </c>
      <c r="J7" s="150">
        <f t="shared" si="3"/>
        <v>2.125566475</v>
      </c>
      <c r="K7" s="150">
        <f t="shared" si="4"/>
        <v>3.537994509</v>
      </c>
      <c r="L7" s="150">
        <f t="shared" si="5"/>
        <v>6.663560984</v>
      </c>
      <c r="M7" s="150">
        <f t="shared" si="6"/>
        <v>0.4683933554</v>
      </c>
      <c r="N7" s="151">
        <f t="shared" si="7"/>
        <v>29167.326</v>
      </c>
      <c r="O7" s="69">
        <f t="shared" si="8"/>
        <v>1</v>
      </c>
      <c r="R7" s="11">
        <v>2.1255664751716767</v>
      </c>
      <c r="S7" s="11">
        <v>3.537994509197562</v>
      </c>
      <c r="T7" s="11">
        <v>0.4683933554488882</v>
      </c>
    </row>
    <row r="8">
      <c r="A8" s="152" t="s">
        <v>456</v>
      </c>
      <c r="B8" s="148">
        <v>411883.0</v>
      </c>
      <c r="C8" s="149">
        <v>95958.932</v>
      </c>
      <c r="D8" s="149">
        <v>14885.244</v>
      </c>
      <c r="E8" s="149">
        <v>57294.773</v>
      </c>
      <c r="F8" s="149">
        <v>2869.244</v>
      </c>
      <c r="G8" s="149">
        <v>29929.087</v>
      </c>
      <c r="H8" s="146">
        <f t="shared" si="9"/>
        <v>47529.57343</v>
      </c>
      <c r="I8" s="146">
        <f t="shared" si="2"/>
        <v>18500.27157</v>
      </c>
      <c r="J8" s="150">
        <f t="shared" si="3"/>
        <v>0.6181368503</v>
      </c>
      <c r="K8" s="150">
        <f t="shared" si="4"/>
        <v>1.588072948</v>
      </c>
      <c r="L8" s="150">
        <f t="shared" si="5"/>
        <v>3.206209799</v>
      </c>
      <c r="M8" s="150">
        <f t="shared" si="6"/>
        <v>0.2388405824</v>
      </c>
      <c r="N8" s="151">
        <f t="shared" si="7"/>
        <v>95958.932</v>
      </c>
      <c r="O8" s="69">
        <f t="shared" si="8"/>
        <v>1</v>
      </c>
      <c r="R8" s="11">
        <v>0.6181368502821354</v>
      </c>
      <c r="S8" s="11">
        <v>1.5880729482326006</v>
      </c>
      <c r="T8" s="11">
        <v>0.23884058241258702</v>
      </c>
    </row>
    <row r="9">
      <c r="A9" s="152" t="s">
        <v>457</v>
      </c>
      <c r="B9" s="148">
        <v>163861.0</v>
      </c>
      <c r="C9" s="149">
        <v>81028.223</v>
      </c>
      <c r="D9" s="149">
        <v>9841.348</v>
      </c>
      <c r="E9" s="149">
        <v>44245.827</v>
      </c>
      <c r="F9" s="149">
        <v>4841.551</v>
      </c>
      <c r="G9" s="149">
        <v>29433.627</v>
      </c>
      <c r="H9" s="146">
        <f t="shared" si="9"/>
        <v>38779.02862</v>
      </c>
      <c r="I9" s="146">
        <f t="shared" si="2"/>
        <v>12815.56738</v>
      </c>
      <c r="J9" s="150">
        <f t="shared" si="3"/>
        <v>0.4354056461</v>
      </c>
      <c r="K9" s="150">
        <f t="shared" si="4"/>
        <v>1.317507646</v>
      </c>
      <c r="L9" s="150">
        <f t="shared" si="5"/>
        <v>2.752913292</v>
      </c>
      <c r="M9" s="150">
        <f t="shared" si="6"/>
        <v>0.1878766816</v>
      </c>
      <c r="N9" s="151">
        <f t="shared" si="7"/>
        <v>81028.223</v>
      </c>
      <c r="O9" s="69">
        <f t="shared" si="8"/>
        <v>1</v>
      </c>
      <c r="R9" s="11">
        <v>0.43540564606597754</v>
      </c>
      <c r="S9" s="11">
        <v>1.3175076459316413</v>
      </c>
      <c r="T9" s="11">
        <v>0.18787668158520524</v>
      </c>
    </row>
    <row r="10">
      <c r="A10" s="152" t="s">
        <v>458</v>
      </c>
      <c r="B10" s="148">
        <v>99592.0</v>
      </c>
      <c r="C10" s="149">
        <v>34707.045</v>
      </c>
      <c r="D10" s="149">
        <v>6829.064</v>
      </c>
      <c r="E10" s="149">
        <v>21535.655</v>
      </c>
      <c r="F10" s="149">
        <v>1621.851</v>
      </c>
      <c r="G10" s="149">
        <v>7625.652</v>
      </c>
      <c r="H10" s="146">
        <f t="shared" si="9"/>
        <v>18294.42974</v>
      </c>
      <c r="I10" s="146">
        <f t="shared" si="2"/>
        <v>8786.96326</v>
      </c>
      <c r="J10" s="150">
        <f t="shared" si="3"/>
        <v>1.152290094</v>
      </c>
      <c r="K10" s="150">
        <f t="shared" si="4"/>
        <v>2.399064334</v>
      </c>
      <c r="L10" s="150">
        <f t="shared" si="5"/>
        <v>4.551354428</v>
      </c>
      <c r="M10" s="150">
        <f t="shared" si="6"/>
        <v>0.3390021431</v>
      </c>
      <c r="N10" s="151">
        <f t="shared" si="7"/>
        <v>34707.045</v>
      </c>
      <c r="O10" s="69">
        <f t="shared" si="8"/>
        <v>1</v>
      </c>
      <c r="R10" s="11">
        <v>1.152290094014256</v>
      </c>
      <c r="S10" s="11">
        <v>2.3990643344333047</v>
      </c>
      <c r="T10" s="11">
        <v>0.33900214313135874</v>
      </c>
    </row>
    <row r="11">
      <c r="A11" s="147" t="s">
        <v>459</v>
      </c>
      <c r="B11" s="148">
        <v>161621.0</v>
      </c>
      <c r="C11" s="149">
        <v>9849.865</v>
      </c>
      <c r="D11" s="149">
        <v>1734.812</v>
      </c>
      <c r="E11" s="149">
        <v>5038.857</v>
      </c>
      <c r="F11" s="149">
        <v>549.087</v>
      </c>
      <c r="G11" s="149">
        <v>3308.421</v>
      </c>
      <c r="H11" s="146">
        <f t="shared" si="9"/>
        <v>4414.47576</v>
      </c>
      <c r="I11" s="146">
        <f t="shared" si="2"/>
        <v>2126.96824</v>
      </c>
      <c r="J11" s="150">
        <f t="shared" si="3"/>
        <v>0.6428952784</v>
      </c>
      <c r="K11" s="150">
        <f t="shared" si="4"/>
        <v>1.334314998</v>
      </c>
      <c r="L11" s="150">
        <f t="shared" si="5"/>
        <v>2.977210276</v>
      </c>
      <c r="M11" s="150">
        <f t="shared" si="6"/>
        <v>0.2754106789</v>
      </c>
      <c r="N11" s="151">
        <f t="shared" si="7"/>
        <v>9849.865</v>
      </c>
      <c r="O11" s="69">
        <f t="shared" si="8"/>
        <v>1</v>
      </c>
      <c r="R11" s="11">
        <v>0.6428952784424959</v>
      </c>
      <c r="S11" s="11">
        <v>1.3343149980005566</v>
      </c>
      <c r="T11" s="11">
        <v>0.2754106789328621</v>
      </c>
    </row>
    <row r="12">
      <c r="A12" s="145" t="s">
        <v>460</v>
      </c>
      <c r="B12" s="65">
        <v>744063.0</v>
      </c>
      <c r="C12" s="146">
        <f>751329.909</f>
        <v>751329.909</v>
      </c>
      <c r="D12" s="153">
        <v>39478.118</v>
      </c>
      <c r="E12" s="146">
        <v>656826.626</v>
      </c>
      <c r="F12" s="146">
        <v>11560.943</v>
      </c>
      <c r="G12" s="146">
        <v>71931.055</v>
      </c>
      <c r="H12" s="146">
        <f t="shared" si="9"/>
        <v>528026.1795</v>
      </c>
      <c r="I12" s="146">
        <f t="shared" si="2"/>
        <v>151372.6745</v>
      </c>
      <c r="J12" s="68">
        <f t="shared" si="3"/>
        <v>2.104413379</v>
      </c>
      <c r="K12" s="68">
        <f t="shared" si="4"/>
        <v>7.340726193</v>
      </c>
      <c r="L12" s="68">
        <f t="shared" si="5"/>
        <v>10.44513957</v>
      </c>
      <c r="M12" s="68">
        <f t="shared" si="6"/>
        <v>0.2523057741</v>
      </c>
      <c r="N12" s="16">
        <f t="shared" si="7"/>
        <v>751329.909</v>
      </c>
      <c r="O12" s="69">
        <f t="shared" si="8"/>
        <v>1</v>
      </c>
      <c r="R12" s="11">
        <v>2.1044133787555315</v>
      </c>
      <c r="S12" s="11">
        <v>7.3407261927410925</v>
      </c>
      <c r="T12" s="11">
        <v>0.2523057741167664</v>
      </c>
    </row>
    <row r="13">
      <c r="A13" s="79" t="s">
        <v>161</v>
      </c>
      <c r="B13" s="80">
        <f t="shared" ref="B13:G13" si="10">SUM(B2:B3,B12)</f>
        <v>2503057</v>
      </c>
      <c r="C13" s="154">
        <f t="shared" si="10"/>
        <v>1952848.372</v>
      </c>
      <c r="D13" s="154">
        <f t="shared" si="10"/>
        <v>200202.061</v>
      </c>
      <c r="E13" s="154">
        <f t="shared" si="10"/>
        <v>1504432.058</v>
      </c>
      <c r="F13" s="154">
        <f t="shared" si="10"/>
        <v>71885.303</v>
      </c>
      <c r="G13" s="154">
        <f t="shared" si="10"/>
        <v>303018.206</v>
      </c>
      <c r="H13" s="154">
        <f t="shared" si="9"/>
        <v>1245290.715</v>
      </c>
      <c r="I13" s="154">
        <f t="shared" si="2"/>
        <v>404539.4508</v>
      </c>
      <c r="J13" s="83">
        <f t="shared" si="3"/>
        <v>1.335033482</v>
      </c>
      <c r="K13" s="83">
        <f t="shared" si="4"/>
        <v>4.109623417</v>
      </c>
      <c r="L13" s="83">
        <f t="shared" si="5"/>
        <v>6.4446569</v>
      </c>
      <c r="M13" s="83">
        <f t="shared" si="6"/>
        <v>0.2612782535</v>
      </c>
      <c r="N13" s="155">
        <f t="shared" si="7"/>
        <v>1952848.372</v>
      </c>
      <c r="O13" s="69">
        <f t="shared" si="8"/>
        <v>1</v>
      </c>
    </row>
    <row r="14">
      <c r="A14" s="71" t="s">
        <v>461</v>
      </c>
      <c r="D14" s="156"/>
    </row>
    <row r="16">
      <c r="B16" s="157" t="s">
        <v>462</v>
      </c>
      <c r="C16" s="157" t="s">
        <v>463</v>
      </c>
      <c r="D16" s="157" t="s">
        <v>1</v>
      </c>
      <c r="E16" s="158" t="s">
        <v>464</v>
      </c>
      <c r="F16" s="159" t="s">
        <v>465</v>
      </c>
    </row>
    <row r="17">
      <c r="A17" s="160" t="s">
        <v>462</v>
      </c>
      <c r="B17" s="11">
        <f>pearson(L2:L12,L2:L12)</f>
        <v>1</v>
      </c>
    </row>
    <row r="18">
      <c r="A18" s="160" t="s">
        <v>463</v>
      </c>
      <c r="B18" s="11">
        <f>pearson(M2:M12,L2:L12)</f>
        <v>-0.06864637532</v>
      </c>
      <c r="C18" s="11">
        <f>pearson(M2:M12,M2:M12)</f>
        <v>1</v>
      </c>
      <c r="I18" s="4" t="s">
        <v>466</v>
      </c>
      <c r="J18" s="23">
        <v>3337646.0</v>
      </c>
    </row>
    <row r="19">
      <c r="A19" s="160" t="s">
        <v>1</v>
      </c>
      <c r="B19" s="11">
        <f>pearson(J2:J12,L2:L12)</f>
        <v>0.6409046254</v>
      </c>
      <c r="C19" s="11">
        <f>pearson(M2:M12,J2:J12)</f>
        <v>0.6969362737</v>
      </c>
      <c r="D19" s="4">
        <v>1.0</v>
      </c>
      <c r="I19" s="4" t="s">
        <v>467</v>
      </c>
      <c r="J19" s="25">
        <f>J18-B13</f>
        <v>834589</v>
      </c>
    </row>
    <row r="20">
      <c r="A20" s="161" t="s">
        <v>464</v>
      </c>
      <c r="B20" s="11">
        <f>pearson(L2:L12,K2:K12)</f>
        <v>0.9749831493</v>
      </c>
      <c r="C20" s="11">
        <f>pearson(K2:K12,M2:M12)</f>
        <v>-0.2814797039</v>
      </c>
      <c r="D20" s="11">
        <f>pearson(K2:K12,J2:J12)</f>
        <v>0.454245453</v>
      </c>
      <c r="E20" s="4">
        <v>1.0</v>
      </c>
    </row>
    <row r="22">
      <c r="I22" s="4" t="s">
        <v>468</v>
      </c>
      <c r="J22" s="162" t="s">
        <v>469</v>
      </c>
    </row>
    <row r="23">
      <c r="I23" s="4" t="s">
        <v>470</v>
      </c>
      <c r="J23" s="162" t="s">
        <v>471</v>
      </c>
    </row>
    <row r="24">
      <c r="B24" s="157" t="s">
        <v>462</v>
      </c>
      <c r="C24" s="157" t="s">
        <v>463</v>
      </c>
      <c r="D24" s="157" t="s">
        <v>1</v>
      </c>
      <c r="E24" s="158" t="s">
        <v>464</v>
      </c>
      <c r="F24" s="159" t="s">
        <v>166</v>
      </c>
      <c r="I24" s="4" t="s">
        <v>472</v>
      </c>
      <c r="J24" s="162" t="s">
        <v>471</v>
      </c>
    </row>
    <row r="25">
      <c r="A25" s="160" t="s">
        <v>462</v>
      </c>
      <c r="G25" s="4" t="s">
        <v>473</v>
      </c>
      <c r="I25" s="4" t="s">
        <v>474</v>
      </c>
      <c r="J25" s="162" t="s">
        <v>471</v>
      </c>
    </row>
    <row r="26">
      <c r="A26" s="160" t="s">
        <v>463</v>
      </c>
      <c r="B26" s="4">
        <v>0.136</v>
      </c>
      <c r="G26" s="4" t="s">
        <v>475</v>
      </c>
      <c r="H26" s="4" t="s">
        <v>476</v>
      </c>
      <c r="I26" s="4" t="s">
        <v>180</v>
      </c>
      <c r="J26" s="162" t="s">
        <v>471</v>
      </c>
      <c r="L26" s="4" t="s">
        <v>477</v>
      </c>
    </row>
    <row r="27">
      <c r="A27" s="160" t="s">
        <v>1</v>
      </c>
      <c r="B27" s="4">
        <v>1.666</v>
      </c>
      <c r="C27" s="4">
        <v>1.939</v>
      </c>
      <c r="G27" s="4" t="s">
        <v>478</v>
      </c>
      <c r="H27" s="4" t="s">
        <v>479</v>
      </c>
      <c r="I27" s="4" t="s">
        <v>181</v>
      </c>
      <c r="J27" s="162" t="s">
        <v>471</v>
      </c>
    </row>
    <row r="28">
      <c r="A28" s="161" t="s">
        <v>464</v>
      </c>
      <c r="B28" s="4">
        <v>8.599</v>
      </c>
      <c r="C28" s="4">
        <v>0.586</v>
      </c>
      <c r="D28" s="4">
        <v>1.019</v>
      </c>
      <c r="E28" s="4">
        <v>1.0</v>
      </c>
      <c r="G28" s="4" t="s">
        <v>480</v>
      </c>
      <c r="H28" s="4" t="s">
        <v>481</v>
      </c>
    </row>
    <row r="29">
      <c r="G29" s="4" t="s">
        <v>482</v>
      </c>
      <c r="H29" s="4" t="s">
        <v>483</v>
      </c>
    </row>
  </sheetData>
  <mergeCells count="3">
    <mergeCell ref="F16:F20"/>
    <mergeCell ref="F24:F28"/>
    <mergeCell ref="G25:H25"/>
  </mergeCells>
  <hyperlinks>
    <hyperlink r:id="rId1" ref="A14"/>
  </hyperlin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38"/>
    <col customWidth="1" min="2" max="2" width="16.25"/>
    <col customWidth="1" min="3" max="3" width="20.5"/>
    <col customWidth="1" min="4" max="4" width="13.63"/>
    <col customWidth="1" min="5" max="5" width="16.0"/>
    <col customWidth="1" min="6" max="6" width="13.0"/>
    <col customWidth="1" min="7" max="7" width="11.63"/>
    <col customWidth="1" min="8" max="8" width="11.75"/>
    <col customWidth="1" min="15" max="15" width="15.63"/>
  </cols>
  <sheetData>
    <row r="1">
      <c r="A1" s="63"/>
      <c r="B1" s="27" t="s">
        <v>119</v>
      </c>
      <c r="C1" s="27" t="s">
        <v>484</v>
      </c>
      <c r="D1" s="28" t="s">
        <v>42</v>
      </c>
      <c r="E1" s="28" t="s">
        <v>43</v>
      </c>
      <c r="F1" s="28" t="s">
        <v>44</v>
      </c>
      <c r="G1" s="28" t="s">
        <v>45</v>
      </c>
      <c r="H1" s="28" t="s">
        <v>46</v>
      </c>
      <c r="I1" s="27" t="s">
        <v>120</v>
      </c>
      <c r="J1" s="28" t="s">
        <v>37</v>
      </c>
      <c r="K1" s="27" t="s">
        <v>121</v>
      </c>
      <c r="L1" s="28" t="s">
        <v>36</v>
      </c>
      <c r="M1" s="28" t="s">
        <v>38</v>
      </c>
      <c r="N1" s="28" t="s">
        <v>49</v>
      </c>
      <c r="O1" s="27" t="s">
        <v>122</v>
      </c>
      <c r="P1" s="28" t="s">
        <v>51</v>
      </c>
      <c r="Q1" s="28" t="s">
        <v>485</v>
      </c>
    </row>
    <row r="2">
      <c r="A2" s="64" t="s">
        <v>156</v>
      </c>
      <c r="B2" s="65">
        <v>1613115.0</v>
      </c>
      <c r="C2" s="65"/>
      <c r="D2" s="65">
        <v>1.263166015E9</v>
      </c>
      <c r="E2" s="77">
        <f>73127325+7379298</f>
        <v>80506623</v>
      </c>
      <c r="F2" s="65">
        <v>2.4398228E7</v>
      </c>
      <c r="G2" s="65">
        <v>3.4191723E8</v>
      </c>
      <c r="H2" s="67">
        <f t="shared" ref="H2:H8" si="1">D2+E2+F2</f>
        <v>1368070866</v>
      </c>
      <c r="I2" s="65">
        <v>2.196918602E9</v>
      </c>
      <c r="J2" s="67">
        <f t="shared" ref="J2:J8" si="2">I2-G2-H2-F2</f>
        <v>462532278</v>
      </c>
      <c r="K2" s="68">
        <f t="shared" ref="K2:K8" si="3">1+N2+M2</f>
        <v>6.353936518</v>
      </c>
      <c r="L2" s="68">
        <f t="shared" ref="L2:L8" si="4">J2/(G2+H2)</f>
        <v>0.2704885953</v>
      </c>
      <c r="M2" s="68">
        <f t="shared" ref="M2:M8" si="5">J2/G2</f>
        <v>1.352760953</v>
      </c>
      <c r="N2" s="68">
        <f t="shared" ref="N2:N8" si="6">H2/G2</f>
        <v>4.001175565</v>
      </c>
      <c r="O2" s="67">
        <f t="shared" ref="O2:O8" si="7">J2+H2+G2</f>
        <v>2172520374</v>
      </c>
      <c r="P2" s="69">
        <f t="shared" ref="P2:P8" si="8">O2/I2</f>
        <v>0.9888943414</v>
      </c>
    </row>
    <row r="3">
      <c r="A3" s="78" t="s">
        <v>157</v>
      </c>
      <c r="B3" s="65">
        <v>39136.0</v>
      </c>
      <c r="C3" s="65"/>
      <c r="D3" s="65">
        <v>8045967.0</v>
      </c>
      <c r="E3" s="68">
        <f>2569385+90942</f>
        <v>2660327</v>
      </c>
      <c r="F3" s="65">
        <v>51470.0</v>
      </c>
      <c r="G3" s="65">
        <v>1.9778201E7</v>
      </c>
      <c r="H3" s="67">
        <f t="shared" si="1"/>
        <v>10757764</v>
      </c>
      <c r="I3" s="65">
        <v>5.1633288E7</v>
      </c>
      <c r="J3" s="67">
        <f t="shared" si="2"/>
        <v>21045853</v>
      </c>
      <c r="K3" s="68">
        <f t="shared" si="3"/>
        <v>2.608013641</v>
      </c>
      <c r="L3" s="68">
        <f t="shared" si="4"/>
        <v>0.6892152581</v>
      </c>
      <c r="M3" s="68">
        <f t="shared" si="5"/>
        <v>1.064093393</v>
      </c>
      <c r="N3" s="68">
        <f t="shared" si="6"/>
        <v>0.5439202484</v>
      </c>
      <c r="O3" s="67">
        <f t="shared" si="7"/>
        <v>51581818</v>
      </c>
      <c r="P3" s="69">
        <f t="shared" si="8"/>
        <v>0.9990031625</v>
      </c>
    </row>
    <row r="4">
      <c r="A4" s="78" t="s">
        <v>158</v>
      </c>
      <c r="B4" s="65">
        <v>22821.0</v>
      </c>
      <c r="C4" s="65"/>
      <c r="D4" s="65">
        <v>8546272.0</v>
      </c>
      <c r="E4" s="68">
        <f>564727+76302</f>
        <v>641029</v>
      </c>
      <c r="F4" s="65">
        <v>32878.0</v>
      </c>
      <c r="G4" s="65">
        <v>3049997.0</v>
      </c>
      <c r="H4" s="67">
        <f t="shared" si="1"/>
        <v>9220179</v>
      </c>
      <c r="I4" s="65">
        <v>1.6339279E7</v>
      </c>
      <c r="J4" s="67">
        <f t="shared" si="2"/>
        <v>4036225</v>
      </c>
      <c r="K4" s="68">
        <f t="shared" si="3"/>
        <v>5.346366242</v>
      </c>
      <c r="L4" s="68">
        <f t="shared" si="4"/>
        <v>0.3289459744</v>
      </c>
      <c r="M4" s="68">
        <f t="shared" si="5"/>
        <v>1.323353761</v>
      </c>
      <c r="N4" s="68">
        <f t="shared" si="6"/>
        <v>3.023012482</v>
      </c>
      <c r="O4" s="67">
        <f t="shared" si="7"/>
        <v>16306401</v>
      </c>
      <c r="P4" s="69">
        <f t="shared" si="8"/>
        <v>0.9979877937</v>
      </c>
    </row>
    <row r="5">
      <c r="A5" s="78" t="s">
        <v>159</v>
      </c>
      <c r="B5" s="65">
        <v>27655.0</v>
      </c>
      <c r="C5" s="65"/>
      <c r="D5" s="65">
        <v>4.7212605E7</v>
      </c>
      <c r="E5" s="68">
        <f>977735+35780</f>
        <v>1013515</v>
      </c>
      <c r="F5" s="65">
        <v>77982.0</v>
      </c>
      <c r="G5" s="65">
        <v>6387275.0</v>
      </c>
      <c r="H5" s="67">
        <f t="shared" si="1"/>
        <v>48304102</v>
      </c>
      <c r="I5" s="65">
        <v>5.9897102E7</v>
      </c>
      <c r="J5" s="67">
        <f t="shared" si="2"/>
        <v>5127743</v>
      </c>
      <c r="K5" s="68">
        <f t="shared" si="3"/>
        <v>9.365358467</v>
      </c>
      <c r="L5" s="68">
        <f t="shared" si="4"/>
        <v>0.09375779659</v>
      </c>
      <c r="M5" s="68">
        <f t="shared" si="5"/>
        <v>0.802806048</v>
      </c>
      <c r="N5" s="68">
        <f t="shared" si="6"/>
        <v>7.562552419</v>
      </c>
      <c r="O5" s="67">
        <f t="shared" si="7"/>
        <v>59819120</v>
      </c>
      <c r="P5" s="69">
        <f t="shared" si="8"/>
        <v>0.9986980672</v>
      </c>
    </row>
    <row r="6">
      <c r="A6" s="78" t="s">
        <v>77</v>
      </c>
      <c r="B6" s="65">
        <v>23765.0</v>
      </c>
      <c r="C6" s="65"/>
      <c r="D6" s="65">
        <v>9.23063351E8</v>
      </c>
      <c r="E6" s="68">
        <f>50227225-8141190</f>
        <v>42086035</v>
      </c>
      <c r="F6" s="65">
        <v>1.6241849E7</v>
      </c>
      <c r="G6" s="65">
        <v>1.82940756E8</v>
      </c>
      <c r="H6" s="67">
        <f t="shared" si="1"/>
        <v>981391235</v>
      </c>
      <c r="I6" s="65">
        <v>1.497878896E9</v>
      </c>
      <c r="J6" s="67">
        <f t="shared" si="2"/>
        <v>317305056</v>
      </c>
      <c r="K6" s="68">
        <f t="shared" si="3"/>
        <v>8.098999257</v>
      </c>
      <c r="L6" s="68">
        <f t="shared" si="4"/>
        <v>0.2725211181</v>
      </c>
      <c r="M6" s="68">
        <f t="shared" si="5"/>
        <v>1.734468923</v>
      </c>
      <c r="N6" s="68">
        <f t="shared" si="6"/>
        <v>5.364530335</v>
      </c>
      <c r="O6" s="67">
        <f t="shared" si="7"/>
        <v>1481637047</v>
      </c>
      <c r="P6" s="69">
        <f t="shared" si="8"/>
        <v>0.9891567676</v>
      </c>
    </row>
    <row r="7">
      <c r="A7" s="64" t="s">
        <v>160</v>
      </c>
      <c r="B7" s="65">
        <v>1261047.0</v>
      </c>
      <c r="C7" s="65"/>
      <c r="D7" s="65">
        <v>2.42083764E8</v>
      </c>
      <c r="E7" s="68">
        <f>13839822+2169633</f>
        <v>16009455</v>
      </c>
      <c r="F7" s="65">
        <v>5912679.0</v>
      </c>
      <c r="G7" s="65">
        <v>1.15053738E8</v>
      </c>
      <c r="H7" s="67">
        <f t="shared" si="1"/>
        <v>264005898</v>
      </c>
      <c r="I7" s="65">
        <v>4.8135373E8</v>
      </c>
      <c r="J7" s="67">
        <f t="shared" si="2"/>
        <v>96381415</v>
      </c>
      <c r="K7" s="68">
        <f t="shared" si="3"/>
        <v>4.132339021</v>
      </c>
      <c r="L7" s="68">
        <f t="shared" si="4"/>
        <v>0.2542645163</v>
      </c>
      <c r="M7" s="68">
        <f t="shared" si="5"/>
        <v>0.8377078109</v>
      </c>
      <c r="N7" s="68">
        <f t="shared" si="6"/>
        <v>2.29463121</v>
      </c>
      <c r="O7" s="67">
        <f t="shared" si="7"/>
        <v>475441051</v>
      </c>
      <c r="P7" s="69">
        <f t="shared" si="8"/>
        <v>0.9877165614</v>
      </c>
    </row>
    <row r="8">
      <c r="A8" s="163" t="s">
        <v>161</v>
      </c>
      <c r="B8" s="164">
        <f>SUM(B2:B7)</f>
        <v>2987539</v>
      </c>
      <c r="C8" s="165">
        <f>AVERAGE(19779.3,19327.7,18824.4)</f>
        <v>19310.46667</v>
      </c>
      <c r="D8" s="164">
        <f t="shared" ref="D8:G8" si="9">SUM(D2:D7)</f>
        <v>2492117974</v>
      </c>
      <c r="E8" s="166">
        <f t="shared" si="9"/>
        <v>142916984</v>
      </c>
      <c r="F8" s="164">
        <f t="shared" si="9"/>
        <v>46715086</v>
      </c>
      <c r="G8" s="164">
        <f t="shared" si="9"/>
        <v>669127197</v>
      </c>
      <c r="H8" s="164">
        <f t="shared" si="1"/>
        <v>2681750044</v>
      </c>
      <c r="I8" s="167">
        <f>SUM(I2:I7)</f>
        <v>4304020897</v>
      </c>
      <c r="J8" s="164">
        <f t="shared" si="2"/>
        <v>906428570</v>
      </c>
      <c r="K8" s="165">
        <f t="shared" si="3"/>
        <v>6.362476118</v>
      </c>
      <c r="L8" s="165">
        <f t="shared" si="4"/>
        <v>0.2705048573</v>
      </c>
      <c r="M8" s="165">
        <f t="shared" si="5"/>
        <v>1.354643144</v>
      </c>
      <c r="N8" s="165">
        <f t="shared" si="6"/>
        <v>4.007832974</v>
      </c>
      <c r="O8" s="164">
        <f t="shared" si="7"/>
        <v>4257305811</v>
      </c>
      <c r="P8" s="168">
        <f t="shared" si="8"/>
        <v>0.9891461758</v>
      </c>
      <c r="Q8" s="16">
        <f>J8/C8</f>
        <v>46939.75478</v>
      </c>
    </row>
    <row r="9">
      <c r="A9" s="169" t="s">
        <v>486</v>
      </c>
    </row>
    <row r="12">
      <c r="A12" s="68"/>
      <c r="B12" s="70"/>
      <c r="C12" s="70"/>
      <c r="D12" s="70"/>
      <c r="E12" s="70"/>
      <c r="F12" s="70"/>
      <c r="G12" s="68"/>
      <c r="H12" s="68"/>
      <c r="I12" s="68"/>
      <c r="J12" s="70"/>
      <c r="K12" s="70"/>
      <c r="L12" s="70"/>
      <c r="M12" s="70"/>
      <c r="N12" s="68"/>
      <c r="O12" s="14"/>
    </row>
    <row r="13">
      <c r="A13" s="63"/>
      <c r="B13" s="27" t="s">
        <v>119</v>
      </c>
      <c r="C13" s="27" t="s">
        <v>487</v>
      </c>
      <c r="D13" s="28" t="s">
        <v>42</v>
      </c>
      <c r="E13" s="28" t="s">
        <v>43</v>
      </c>
      <c r="F13" s="28" t="s">
        <v>44</v>
      </c>
      <c r="G13" s="28" t="s">
        <v>45</v>
      </c>
      <c r="H13" s="28" t="s">
        <v>46</v>
      </c>
      <c r="I13" s="27" t="s">
        <v>120</v>
      </c>
      <c r="J13" s="28" t="s">
        <v>37</v>
      </c>
      <c r="K13" s="27" t="s">
        <v>121</v>
      </c>
      <c r="L13" s="28" t="s">
        <v>36</v>
      </c>
      <c r="M13" s="28" t="s">
        <v>38</v>
      </c>
      <c r="N13" s="28" t="s">
        <v>49</v>
      </c>
      <c r="O13" s="27" t="s">
        <v>122</v>
      </c>
      <c r="P13" s="28" t="s">
        <v>51</v>
      </c>
      <c r="Q13" s="28" t="s">
        <v>485</v>
      </c>
      <c r="R13" s="68"/>
    </row>
    <row r="14">
      <c r="A14" s="64" t="s">
        <v>156</v>
      </c>
      <c r="B14" s="65">
        <v>1613115.0</v>
      </c>
      <c r="C14" s="65"/>
      <c r="D14" s="65">
        <v>1.263166015E9</v>
      </c>
      <c r="E14" s="77">
        <f>73127325+7379298</f>
        <v>80506623</v>
      </c>
      <c r="F14" s="65">
        <v>2.4398228E7</v>
      </c>
      <c r="G14" s="65">
        <v>3.4191723E8</v>
      </c>
      <c r="H14" s="67">
        <f t="shared" ref="H14:H20" si="10">D14+E14+F14</f>
        <v>1368070866</v>
      </c>
      <c r="I14" s="65">
        <v>2.196918602E9</v>
      </c>
      <c r="J14" s="67">
        <f t="shared" ref="J14:J20" si="11">I14-G14-H14-F14</f>
        <v>462532278</v>
      </c>
      <c r="K14" s="68">
        <f t="shared" ref="K14:K20" si="12">1+N14+M14</f>
        <v>6.353936518</v>
      </c>
      <c r="L14" s="68">
        <f t="shared" ref="L14:L20" si="13">J14/(G14+H14)</f>
        <v>0.2704885953</v>
      </c>
      <c r="M14" s="68">
        <f t="shared" ref="M14:M20" si="14">J14/G14</f>
        <v>1.352760953</v>
      </c>
      <c r="N14" s="68">
        <f t="shared" ref="N14:N20" si="15">H14/G14</f>
        <v>4.001175565</v>
      </c>
      <c r="O14" s="67">
        <f t="shared" ref="O14:O20" si="16">J14+H14+G14</f>
        <v>2172520374</v>
      </c>
      <c r="P14" s="69">
        <f t="shared" ref="P14:P20" si="17">O14/I14</f>
        <v>0.9888943414</v>
      </c>
    </row>
    <row r="15">
      <c r="A15" s="78" t="s">
        <v>157</v>
      </c>
      <c r="B15" s="65">
        <v>39136.0</v>
      </c>
      <c r="C15" s="65"/>
      <c r="D15" s="65">
        <v>8045967.0</v>
      </c>
      <c r="E15" s="68">
        <f>2569385+90942</f>
        <v>2660327</v>
      </c>
      <c r="F15" s="65">
        <v>51470.0</v>
      </c>
      <c r="G15" s="65">
        <v>1.9778201E7</v>
      </c>
      <c r="H15" s="67">
        <f t="shared" si="10"/>
        <v>10757764</v>
      </c>
      <c r="I15" s="65">
        <v>5.1633288E7</v>
      </c>
      <c r="J15" s="67">
        <f t="shared" si="11"/>
        <v>21045853</v>
      </c>
      <c r="K15" s="68">
        <f t="shared" si="12"/>
        <v>2.608013641</v>
      </c>
      <c r="L15" s="68">
        <f t="shared" si="13"/>
        <v>0.6892152581</v>
      </c>
      <c r="M15" s="68">
        <f t="shared" si="14"/>
        <v>1.064093393</v>
      </c>
      <c r="N15" s="68">
        <f t="shared" si="15"/>
        <v>0.5439202484</v>
      </c>
      <c r="O15" s="67">
        <f t="shared" si="16"/>
        <v>51581818</v>
      </c>
      <c r="P15" s="69">
        <f t="shared" si="17"/>
        <v>0.9990031625</v>
      </c>
    </row>
    <row r="16">
      <c r="A16" s="78" t="s">
        <v>158</v>
      </c>
      <c r="B16" s="65">
        <v>22821.0</v>
      </c>
      <c r="C16" s="65"/>
      <c r="D16" s="65">
        <v>8546272.0</v>
      </c>
      <c r="E16" s="68">
        <f>564727+76302</f>
        <v>641029</v>
      </c>
      <c r="F16" s="65">
        <v>32878.0</v>
      </c>
      <c r="G16" s="65">
        <v>3049997.0</v>
      </c>
      <c r="H16" s="67">
        <f t="shared" si="10"/>
        <v>9220179</v>
      </c>
      <c r="I16" s="65">
        <v>1.6339279E7</v>
      </c>
      <c r="J16" s="67">
        <f t="shared" si="11"/>
        <v>4036225</v>
      </c>
      <c r="K16" s="68">
        <f t="shared" si="12"/>
        <v>5.346366242</v>
      </c>
      <c r="L16" s="68">
        <f t="shared" si="13"/>
        <v>0.3289459744</v>
      </c>
      <c r="M16" s="68">
        <f t="shared" si="14"/>
        <v>1.323353761</v>
      </c>
      <c r="N16" s="68">
        <f t="shared" si="15"/>
        <v>3.023012482</v>
      </c>
      <c r="O16" s="67">
        <f t="shared" si="16"/>
        <v>16306401</v>
      </c>
      <c r="P16" s="69">
        <f t="shared" si="17"/>
        <v>0.9979877937</v>
      </c>
    </row>
    <row r="17">
      <c r="A17" s="78" t="s">
        <v>159</v>
      </c>
      <c r="B17" s="65">
        <v>27655.0</v>
      </c>
      <c r="C17" s="65"/>
      <c r="D17" s="65">
        <v>4.7212605E7</v>
      </c>
      <c r="E17" s="68">
        <f>977735+35780</f>
        <v>1013515</v>
      </c>
      <c r="F17" s="65">
        <v>77982.0</v>
      </c>
      <c r="G17" s="65">
        <v>6387275.0</v>
      </c>
      <c r="H17" s="67">
        <f t="shared" si="10"/>
        <v>48304102</v>
      </c>
      <c r="I17" s="65">
        <v>5.9897102E7</v>
      </c>
      <c r="J17" s="67">
        <f t="shared" si="11"/>
        <v>5127743</v>
      </c>
      <c r="K17" s="68">
        <f t="shared" si="12"/>
        <v>9.365358467</v>
      </c>
      <c r="L17" s="68">
        <f t="shared" si="13"/>
        <v>0.09375779659</v>
      </c>
      <c r="M17" s="68">
        <f t="shared" si="14"/>
        <v>0.802806048</v>
      </c>
      <c r="N17" s="68">
        <f t="shared" si="15"/>
        <v>7.562552419</v>
      </c>
      <c r="O17" s="67">
        <f t="shared" si="16"/>
        <v>59819120</v>
      </c>
      <c r="P17" s="69">
        <f t="shared" si="17"/>
        <v>0.9986980672</v>
      </c>
    </row>
    <row r="18">
      <c r="A18" s="78" t="s">
        <v>77</v>
      </c>
      <c r="B18" s="65">
        <v>23765.0</v>
      </c>
      <c r="C18" s="65"/>
      <c r="D18" s="65">
        <v>9.23063351E8</v>
      </c>
      <c r="E18" s="68">
        <f>50227225-8141190</f>
        <v>42086035</v>
      </c>
      <c r="F18" s="65">
        <v>1.6241849E7</v>
      </c>
      <c r="G18" s="65">
        <v>1.82940756E8</v>
      </c>
      <c r="H18" s="67">
        <f t="shared" si="10"/>
        <v>981391235</v>
      </c>
      <c r="I18" s="65">
        <v>1.497878896E9</v>
      </c>
      <c r="J18" s="67">
        <f t="shared" si="11"/>
        <v>317305056</v>
      </c>
      <c r="K18" s="68">
        <f t="shared" si="12"/>
        <v>8.098999257</v>
      </c>
      <c r="L18" s="68">
        <f t="shared" si="13"/>
        <v>0.2725211181</v>
      </c>
      <c r="M18" s="68">
        <f t="shared" si="14"/>
        <v>1.734468923</v>
      </c>
      <c r="N18" s="68">
        <f t="shared" si="15"/>
        <v>5.364530335</v>
      </c>
      <c r="O18" s="67">
        <f t="shared" si="16"/>
        <v>1481637047</v>
      </c>
      <c r="P18" s="69">
        <f t="shared" si="17"/>
        <v>0.9891567676</v>
      </c>
    </row>
    <row r="19">
      <c r="A19" s="64" t="s">
        <v>160</v>
      </c>
      <c r="B19" s="65">
        <v>1261047.0</v>
      </c>
      <c r="C19" s="65"/>
      <c r="D19" s="65">
        <v>2.42083764E8</v>
      </c>
      <c r="E19" s="68">
        <f>13839822+2169633</f>
        <v>16009455</v>
      </c>
      <c r="F19" s="65">
        <v>5912679.0</v>
      </c>
      <c r="G19" s="65">
        <v>1.15053738E8</v>
      </c>
      <c r="H19" s="67">
        <f t="shared" si="10"/>
        <v>264005898</v>
      </c>
      <c r="I19" s="65">
        <v>4.8135373E8</v>
      </c>
      <c r="J19" s="67">
        <f t="shared" si="11"/>
        <v>96381415</v>
      </c>
      <c r="K19" s="68">
        <f t="shared" si="12"/>
        <v>4.132339021</v>
      </c>
      <c r="L19" s="68">
        <f t="shared" si="13"/>
        <v>0.2542645163</v>
      </c>
      <c r="M19" s="68">
        <f t="shared" si="14"/>
        <v>0.8377078109</v>
      </c>
      <c r="N19" s="68">
        <f t="shared" si="15"/>
        <v>2.29463121</v>
      </c>
      <c r="O19" s="67">
        <f t="shared" si="16"/>
        <v>475441051</v>
      </c>
      <c r="P19" s="69">
        <f t="shared" si="17"/>
        <v>0.9877165614</v>
      </c>
    </row>
    <row r="20">
      <c r="A20" s="163" t="s">
        <v>161</v>
      </c>
      <c r="B20" s="164">
        <f>SUM(B14:B19)</f>
        <v>2987539</v>
      </c>
      <c r="C20" s="165">
        <f>AVERAGE(19779.3,19327.7,18824.4)+AVERAGE(3247.8,3479.1,3919.6)</f>
        <v>22859.3</v>
      </c>
      <c r="D20" s="164">
        <f t="shared" ref="D20:F20" si="18">SUM(D14:D19)</f>
        <v>2492117974</v>
      </c>
      <c r="E20" s="166">
        <f t="shared" si="18"/>
        <v>142916984</v>
      </c>
      <c r="F20" s="164">
        <f t="shared" si="18"/>
        <v>46715086</v>
      </c>
      <c r="G20" s="164">
        <f>(I24*C20)+((I24*C20)*G28)</f>
        <v>773522773.3</v>
      </c>
      <c r="H20" s="164">
        <f t="shared" si="10"/>
        <v>2681750044</v>
      </c>
      <c r="I20" s="167">
        <f>SUM(I14:I19)</f>
        <v>4304020897</v>
      </c>
      <c r="J20" s="167">
        <f t="shared" si="11"/>
        <v>802032993.7</v>
      </c>
      <c r="K20" s="170">
        <f t="shared" si="12"/>
        <v>5.503788587</v>
      </c>
      <c r="L20" s="170">
        <f t="shared" si="13"/>
        <v>0.2321185724</v>
      </c>
      <c r="M20" s="170">
        <f t="shared" si="14"/>
        <v>1.036857636</v>
      </c>
      <c r="N20" s="170">
        <f t="shared" si="15"/>
        <v>3.466930951</v>
      </c>
      <c r="O20" s="170">
        <f t="shared" si="16"/>
        <v>4257305811</v>
      </c>
      <c r="P20" s="171">
        <f t="shared" si="17"/>
        <v>0.9891461758</v>
      </c>
      <c r="Q20" s="16">
        <f>J20/C20</f>
        <v>35085.63227</v>
      </c>
    </row>
    <row r="22">
      <c r="C22" s="10">
        <f>23499.845*C20</f>
        <v>537190006.8</v>
      </c>
    </row>
    <row r="23">
      <c r="C23" s="14" t="s">
        <v>488</v>
      </c>
      <c r="D23" s="14" t="s">
        <v>489</v>
      </c>
      <c r="E23" s="14" t="s">
        <v>490</v>
      </c>
      <c r="F23" s="14" t="s">
        <v>491</v>
      </c>
      <c r="G23" s="68"/>
      <c r="H23" s="68"/>
      <c r="I23" s="68"/>
      <c r="J23" s="68"/>
      <c r="K23" s="68"/>
      <c r="L23" s="68"/>
      <c r="M23" s="68"/>
      <c r="N23" s="68"/>
      <c r="O23" s="68"/>
    </row>
    <row r="24">
      <c r="C24" s="172">
        <v>23499.845</v>
      </c>
      <c r="D24" s="14">
        <v>40.0</v>
      </c>
      <c r="E24" s="68">
        <f>C24/(D24*4)</f>
        <v>146.8740313</v>
      </c>
      <c r="F24" s="68">
        <f>E24/60</f>
        <v>2.447900521</v>
      </c>
      <c r="G24" s="68"/>
      <c r="H24" s="68">
        <f>(60/4.5)*40*4</f>
        <v>2133.333333</v>
      </c>
      <c r="I24" s="68">
        <f>H24*12</f>
        <v>25600</v>
      </c>
      <c r="J24" s="68"/>
      <c r="K24" s="68"/>
      <c r="L24" s="68"/>
      <c r="M24" s="68"/>
      <c r="N24" s="68"/>
      <c r="O24" s="68"/>
    </row>
    <row r="26">
      <c r="G26" s="11">
        <f>C24*C8</f>
        <v>453792973.5</v>
      </c>
    </row>
    <row r="27">
      <c r="G27" s="25">
        <f>G8-G26</f>
        <v>215334223.5</v>
      </c>
    </row>
    <row r="28">
      <c r="G28" s="11">
        <f>G27/G8</f>
        <v>0.321813587</v>
      </c>
    </row>
    <row r="29">
      <c r="K29" s="110" t="s">
        <v>245</v>
      </c>
    </row>
    <row r="30">
      <c r="A30" s="14"/>
      <c r="B30" s="14"/>
      <c r="C30" s="14"/>
      <c r="D30" s="14"/>
      <c r="E30" s="14"/>
      <c r="F30" s="14"/>
      <c r="K30" s="111"/>
      <c r="L30" s="173" t="s">
        <v>381</v>
      </c>
      <c r="M30" s="120"/>
      <c r="N30" s="121"/>
    </row>
    <row r="31">
      <c r="A31" s="35" t="s">
        <v>492</v>
      </c>
      <c r="B31" s="35" t="s">
        <v>493</v>
      </c>
      <c r="C31" s="35" t="s">
        <v>494</v>
      </c>
      <c r="D31" s="68"/>
      <c r="E31" s="14"/>
      <c r="F31" s="14"/>
      <c r="K31" s="174"/>
      <c r="L31" s="175">
        <v>2019.0</v>
      </c>
      <c r="M31" s="175">
        <v>2018.0</v>
      </c>
      <c r="N31" s="175">
        <v>2017.0</v>
      </c>
    </row>
    <row r="32">
      <c r="A32" s="176" t="s">
        <v>495</v>
      </c>
      <c r="B32" s="177">
        <v>1693.0</v>
      </c>
      <c r="C32" s="178">
        <f t="shared" ref="C32:C36" si="19">B32/12</f>
        <v>141.0833333</v>
      </c>
      <c r="D32" s="68"/>
      <c r="E32" s="14"/>
      <c r="F32" s="14"/>
      <c r="K32" s="113" t="s">
        <v>496</v>
      </c>
      <c r="L32" s="120"/>
      <c r="M32" s="120"/>
      <c r="N32" s="121"/>
    </row>
    <row r="33">
      <c r="A33" s="179" t="s">
        <v>497</v>
      </c>
      <c r="B33" s="178">
        <f>O42</f>
        <v>184.45</v>
      </c>
      <c r="C33" s="178">
        <f t="shared" si="19"/>
        <v>15.37083333</v>
      </c>
      <c r="D33" s="68"/>
      <c r="E33" s="14"/>
      <c r="F33" s="14"/>
      <c r="K33" s="113" t="s">
        <v>498</v>
      </c>
      <c r="L33" s="120"/>
      <c r="M33" s="120"/>
      <c r="N33" s="121"/>
    </row>
    <row r="34">
      <c r="A34" s="179" t="s">
        <v>499</v>
      </c>
      <c r="B34" s="178">
        <f>7150000/C20</f>
        <v>312.7829811</v>
      </c>
      <c r="C34" s="178">
        <f t="shared" si="19"/>
        <v>26.06524843</v>
      </c>
      <c r="D34" s="68"/>
      <c r="E34" s="14"/>
      <c r="F34" s="14"/>
      <c r="K34" s="180" t="s">
        <v>500</v>
      </c>
      <c r="L34" s="181">
        <v>27.38</v>
      </c>
      <c r="M34" s="181">
        <v>29.46</v>
      </c>
      <c r="N34" s="181">
        <v>30.56</v>
      </c>
    </row>
    <row r="35">
      <c r="A35" s="179" t="s">
        <v>501</v>
      </c>
      <c r="B35" s="177">
        <v>359.57</v>
      </c>
      <c r="C35" s="178">
        <f t="shared" si="19"/>
        <v>29.96416667</v>
      </c>
      <c r="D35" s="68"/>
      <c r="E35" s="14"/>
      <c r="F35" s="14"/>
      <c r="K35" s="113" t="s">
        <v>502</v>
      </c>
      <c r="L35" s="120"/>
      <c r="M35" s="120"/>
      <c r="N35" s="121"/>
    </row>
    <row r="36">
      <c r="A36" s="14" t="s">
        <v>503</v>
      </c>
      <c r="B36" s="146">
        <f>(40964.7*1000000)/(C20*1000)</f>
        <v>1792.036502</v>
      </c>
      <c r="C36" s="182">
        <f t="shared" si="19"/>
        <v>149.3363751</v>
      </c>
      <c r="D36" s="183"/>
      <c r="E36" s="14"/>
      <c r="F36" s="14"/>
      <c r="K36" s="184"/>
      <c r="L36" s="184"/>
      <c r="M36" s="184"/>
      <c r="N36" s="184"/>
    </row>
    <row r="37">
      <c r="A37" s="185" t="s">
        <v>161</v>
      </c>
      <c r="B37" s="186">
        <f t="shared" ref="B37:C37" si="20">SUM(B32:B36)</f>
        <v>4341.839483</v>
      </c>
      <c r="C37" s="186">
        <f t="shared" si="20"/>
        <v>361.8199569</v>
      </c>
      <c r="D37" s="183"/>
      <c r="E37" s="14"/>
      <c r="F37" s="14"/>
      <c r="K37" s="113" t="s">
        <v>498</v>
      </c>
      <c r="L37" s="120"/>
      <c r="M37" s="120"/>
      <c r="N37" s="121"/>
    </row>
    <row r="38">
      <c r="A38" s="187" t="s">
        <v>504</v>
      </c>
      <c r="B38" s="188">
        <f>Q20-B37</f>
        <v>30743.79279</v>
      </c>
      <c r="C38" s="68"/>
      <c r="D38" s="183"/>
      <c r="E38" s="14"/>
      <c r="F38" s="14"/>
      <c r="K38" s="180" t="s">
        <v>500</v>
      </c>
      <c r="L38" s="181">
        <v>5.6</v>
      </c>
      <c r="M38" s="181">
        <v>5.56</v>
      </c>
      <c r="N38" s="181">
        <v>5.27</v>
      </c>
    </row>
    <row r="39">
      <c r="A39" s="189" t="s">
        <v>505</v>
      </c>
      <c r="B39" s="190">
        <f>B38*C20*1000</f>
        <v>702781582458</v>
      </c>
      <c r="C39" s="68"/>
      <c r="D39" s="183"/>
      <c r="E39" s="14"/>
      <c r="F39" s="14"/>
      <c r="K39" s="113" t="s">
        <v>506</v>
      </c>
      <c r="L39" s="120"/>
      <c r="M39" s="120"/>
      <c r="N39" s="121"/>
    </row>
    <row r="40">
      <c r="A40" s="189" t="s">
        <v>507</v>
      </c>
      <c r="B40" s="191">
        <f>(B39/1000)/G20</f>
        <v>0.9085467251</v>
      </c>
      <c r="C40" s="68"/>
      <c r="D40" s="183"/>
      <c r="E40" s="14"/>
      <c r="F40" s="14"/>
      <c r="K40" s="113" t="s">
        <v>498</v>
      </c>
      <c r="L40" s="120"/>
      <c r="M40" s="120"/>
      <c r="N40" s="121"/>
    </row>
    <row r="41">
      <c r="A41" s="192" t="s">
        <v>508</v>
      </c>
      <c r="B41" s="193">
        <f>B40-M8</f>
        <v>-0.446096419</v>
      </c>
      <c r="C41" s="68"/>
      <c r="D41" s="68"/>
      <c r="E41" s="14"/>
      <c r="F41" s="14"/>
      <c r="K41" s="180" t="s">
        <v>500</v>
      </c>
      <c r="L41" s="181">
        <v>26.08</v>
      </c>
      <c r="M41" s="181">
        <v>27.57</v>
      </c>
      <c r="N41" s="181">
        <v>26.97</v>
      </c>
    </row>
    <row r="42">
      <c r="A42" s="68"/>
      <c r="B42" s="10"/>
      <c r="C42" s="68"/>
      <c r="D42" s="68"/>
      <c r="E42" s="14"/>
      <c r="F42" s="14"/>
      <c r="L42" s="11">
        <f t="shared" ref="L42:N42" si="21">SUM(L34,L38,L41)</f>
        <v>59.06</v>
      </c>
      <c r="M42" s="11">
        <f t="shared" si="21"/>
        <v>62.59</v>
      </c>
      <c r="N42" s="11">
        <f t="shared" si="21"/>
        <v>62.8</v>
      </c>
      <c r="O42" s="11">
        <f>SUM(L42:N42)</f>
        <v>184.45</v>
      </c>
    </row>
    <row r="43">
      <c r="A43" s="68"/>
      <c r="B43" s="10"/>
      <c r="C43" s="68"/>
      <c r="D43" s="68"/>
      <c r="E43" s="14"/>
      <c r="F43" s="14"/>
      <c r="O43" s="11">
        <f>20*11</f>
        <v>220</v>
      </c>
    </row>
    <row r="44">
      <c r="A44" s="35"/>
      <c r="B44" s="194"/>
      <c r="C44" s="35"/>
      <c r="D44" s="35"/>
      <c r="E44" s="14"/>
      <c r="F44" s="14"/>
    </row>
    <row r="45">
      <c r="A45" s="14"/>
      <c r="B45" s="14"/>
      <c r="C45" s="14"/>
      <c r="D45" s="14"/>
      <c r="E45" s="14"/>
      <c r="F45" s="14"/>
    </row>
    <row r="46">
      <c r="A46" s="14"/>
      <c r="B46" s="14"/>
      <c r="C46" s="14"/>
      <c r="D46" s="14"/>
      <c r="E46" s="14"/>
      <c r="F46" s="14"/>
    </row>
    <row r="47">
      <c r="A47" s="14"/>
      <c r="B47" s="14"/>
      <c r="C47" s="14"/>
      <c r="D47" s="14"/>
      <c r="E47" s="14"/>
      <c r="F47" s="14"/>
    </row>
    <row r="48">
      <c r="A48" s="14"/>
      <c r="B48" s="14"/>
      <c r="C48" s="14"/>
      <c r="D48" s="14"/>
      <c r="E48" s="14"/>
      <c r="F48" s="14"/>
    </row>
    <row r="49">
      <c r="A49" s="14"/>
      <c r="B49" s="14"/>
      <c r="C49" s="14"/>
      <c r="D49" s="14"/>
      <c r="E49" s="14"/>
      <c r="F49" s="14"/>
    </row>
    <row r="50">
      <c r="A50" s="14"/>
      <c r="B50" s="14"/>
      <c r="C50" s="14"/>
      <c r="D50" s="14"/>
      <c r="E50" s="14"/>
      <c r="F50" s="14"/>
    </row>
    <row r="51">
      <c r="A51" s="14"/>
      <c r="B51" s="14"/>
      <c r="C51" s="14"/>
      <c r="D51" s="14"/>
      <c r="E51" s="14"/>
      <c r="F51" s="14"/>
    </row>
    <row r="52">
      <c r="A52" s="14"/>
      <c r="B52" s="14"/>
      <c r="C52" s="14"/>
      <c r="D52" s="14"/>
      <c r="E52" s="14"/>
      <c r="F52" s="14"/>
    </row>
    <row r="53">
      <c r="A53" s="14"/>
      <c r="B53" s="14"/>
      <c r="C53" s="14"/>
      <c r="D53" s="14"/>
      <c r="E53" s="14"/>
      <c r="F53" s="14"/>
    </row>
    <row r="54">
      <c r="A54" s="14"/>
      <c r="B54" s="14"/>
      <c r="C54" s="14"/>
      <c r="D54" s="14"/>
      <c r="E54" s="14"/>
      <c r="F54" s="14"/>
    </row>
    <row r="55">
      <c r="A55" s="14"/>
      <c r="B55" s="14"/>
      <c r="C55" s="14"/>
      <c r="D55" s="14"/>
      <c r="E55" s="14"/>
      <c r="F55" s="14"/>
    </row>
    <row r="56">
      <c r="A56" s="14"/>
      <c r="B56" s="14"/>
      <c r="C56" s="14"/>
      <c r="D56" s="14"/>
      <c r="E56" s="14"/>
      <c r="F56" s="14"/>
    </row>
    <row r="57">
      <c r="A57" s="14"/>
      <c r="B57" s="14"/>
      <c r="C57" s="14"/>
      <c r="D57" s="14"/>
      <c r="E57" s="14"/>
      <c r="F57" s="14"/>
    </row>
    <row r="58">
      <c r="A58" s="14"/>
      <c r="B58" s="14"/>
      <c r="C58" s="14"/>
      <c r="D58" s="14"/>
      <c r="E58" s="14"/>
      <c r="F58" s="14"/>
    </row>
    <row r="59">
      <c r="A59" s="14"/>
      <c r="B59" s="14"/>
      <c r="C59" s="14"/>
      <c r="D59" s="14"/>
      <c r="E59" s="14"/>
      <c r="F59" s="14"/>
    </row>
    <row r="60">
      <c r="A60" s="14"/>
      <c r="B60" s="14"/>
      <c r="C60" s="14"/>
      <c r="D60" s="14"/>
      <c r="E60" s="14"/>
      <c r="F60" s="14"/>
    </row>
    <row r="61">
      <c r="A61" s="14"/>
      <c r="B61" s="14"/>
      <c r="C61" s="14"/>
      <c r="D61" s="14"/>
      <c r="E61" s="14"/>
      <c r="F61" s="14"/>
    </row>
    <row r="62">
      <c r="A62" s="14"/>
      <c r="B62" s="14"/>
      <c r="C62" s="14"/>
      <c r="D62" s="14"/>
      <c r="E62" s="14"/>
      <c r="F62" s="14"/>
    </row>
    <row r="63">
      <c r="A63" s="14"/>
      <c r="B63" s="14"/>
      <c r="C63" s="14"/>
      <c r="D63" s="14"/>
      <c r="E63" s="14"/>
      <c r="F63" s="14"/>
    </row>
    <row r="64">
      <c r="A64" s="14"/>
      <c r="B64" s="14"/>
      <c r="C64" s="14"/>
      <c r="D64" s="14"/>
      <c r="E64" s="14"/>
      <c r="F64" s="14"/>
    </row>
    <row r="65">
      <c r="A65" s="68"/>
      <c r="C65" s="68"/>
      <c r="D65" s="68"/>
      <c r="E65" s="14"/>
      <c r="F65" s="14"/>
    </row>
    <row r="66">
      <c r="A66" s="68"/>
      <c r="C66" s="68"/>
      <c r="D66" s="68"/>
      <c r="E66" s="14"/>
      <c r="F66" s="14"/>
    </row>
    <row r="67">
      <c r="A67" s="68"/>
      <c r="C67" s="68"/>
      <c r="D67" s="68"/>
      <c r="E67" s="14"/>
      <c r="F67" s="14"/>
    </row>
    <row r="68">
      <c r="A68" s="68"/>
      <c r="C68" s="68"/>
      <c r="D68" s="68"/>
      <c r="E68" s="14"/>
      <c r="F68" s="14"/>
    </row>
    <row r="69">
      <c r="A69" s="68"/>
      <c r="C69" s="68"/>
      <c r="D69" s="68"/>
      <c r="E69" s="14"/>
      <c r="F69" s="14"/>
    </row>
    <row r="70">
      <c r="A70" s="35"/>
      <c r="B70" s="35"/>
      <c r="C70" s="35"/>
      <c r="D70" s="35"/>
      <c r="E70" s="35"/>
      <c r="F70" s="35"/>
      <c r="G70" s="68"/>
      <c r="H70" s="68"/>
      <c r="I70" s="68"/>
      <c r="J70" s="68"/>
      <c r="K70" s="68"/>
      <c r="L70" s="68"/>
      <c r="M70" s="68"/>
    </row>
    <row r="71">
      <c r="A71" s="14"/>
      <c r="B71" s="14"/>
      <c r="C71" s="14"/>
      <c r="D71" s="14"/>
      <c r="E71" s="14"/>
      <c r="F71" s="14"/>
    </row>
    <row r="72">
      <c r="A72" s="68"/>
      <c r="B72" s="14"/>
      <c r="C72" s="14"/>
      <c r="D72" s="14"/>
      <c r="E72" s="14"/>
      <c r="F72" s="14"/>
    </row>
    <row r="73">
      <c r="A73" s="68"/>
      <c r="B73" s="14"/>
      <c r="C73" s="14"/>
      <c r="D73" s="14"/>
      <c r="E73" s="14"/>
      <c r="F73" s="14"/>
    </row>
    <row r="74">
      <c r="A74" s="68"/>
      <c r="B74" s="14"/>
      <c r="C74" s="14"/>
      <c r="D74" s="14"/>
      <c r="E74" s="14"/>
      <c r="F74" s="14"/>
    </row>
    <row r="75">
      <c r="A75" s="68"/>
      <c r="B75" s="14"/>
      <c r="C75" s="14"/>
      <c r="D75" s="14"/>
      <c r="E75" s="14"/>
      <c r="F75" s="14"/>
    </row>
    <row r="76">
      <c r="A76" s="68"/>
      <c r="B76" s="14"/>
      <c r="C76" s="14"/>
      <c r="D76" s="14"/>
      <c r="E76" s="14"/>
      <c r="F76" s="14"/>
    </row>
    <row r="77">
      <c r="A77" s="68"/>
      <c r="B77" s="14"/>
      <c r="C77" s="14"/>
      <c r="D77" s="14"/>
      <c r="E77" s="14"/>
      <c r="F77" s="14"/>
    </row>
    <row r="78">
      <c r="A78" s="68"/>
      <c r="B78" s="14"/>
      <c r="C78" s="14"/>
      <c r="D78" s="14"/>
      <c r="E78" s="14"/>
      <c r="F78" s="14"/>
    </row>
    <row r="79">
      <c r="A79" s="68"/>
      <c r="B79" s="14"/>
      <c r="C79" s="14"/>
      <c r="D79" s="14"/>
      <c r="E79" s="14"/>
      <c r="F79" s="14"/>
    </row>
    <row r="80">
      <c r="A80" s="68"/>
      <c r="B80" s="14"/>
      <c r="C80" s="14"/>
      <c r="D80" s="14"/>
      <c r="E80" s="14"/>
      <c r="F80" s="14"/>
    </row>
    <row r="81">
      <c r="A81" s="68"/>
      <c r="B81" s="14"/>
      <c r="C81" s="14"/>
      <c r="D81" s="14"/>
      <c r="E81" s="14"/>
      <c r="F81" s="14"/>
    </row>
    <row r="82">
      <c r="A82" s="68"/>
      <c r="B82" s="14"/>
      <c r="C82" s="14"/>
      <c r="D82" s="14"/>
      <c r="E82" s="14"/>
      <c r="F82" s="14"/>
    </row>
    <row r="83">
      <c r="A83" s="68"/>
      <c r="B83" s="14"/>
      <c r="C83" s="14"/>
      <c r="D83" s="14"/>
      <c r="E83" s="14"/>
      <c r="F83" s="14"/>
    </row>
    <row r="84">
      <c r="A84" s="68"/>
      <c r="B84" s="14"/>
      <c r="C84" s="14"/>
      <c r="D84" s="14"/>
      <c r="E84" s="14"/>
      <c r="F84" s="14"/>
    </row>
    <row r="85">
      <c r="A85" s="68"/>
      <c r="B85" s="14"/>
      <c r="C85" s="14"/>
      <c r="D85" s="14"/>
      <c r="E85" s="14"/>
      <c r="F85" s="14"/>
    </row>
    <row r="86">
      <c r="A86" s="68"/>
      <c r="B86" s="14"/>
      <c r="C86" s="14"/>
      <c r="D86" s="14"/>
      <c r="E86" s="14"/>
      <c r="F86" s="14"/>
    </row>
    <row r="87">
      <c r="A87" s="68"/>
      <c r="B87" s="14"/>
      <c r="C87" s="14"/>
      <c r="D87" s="14"/>
      <c r="E87" s="14"/>
      <c r="F87" s="14"/>
    </row>
    <row r="88">
      <c r="A88" s="68"/>
      <c r="B88" s="14"/>
      <c r="C88" s="14"/>
      <c r="D88" s="14"/>
      <c r="E88" s="14"/>
      <c r="F88" s="14"/>
    </row>
    <row r="89">
      <c r="A89" s="68"/>
      <c r="B89" s="14"/>
      <c r="C89" s="14"/>
      <c r="D89" s="14"/>
      <c r="E89" s="14"/>
      <c r="F89" s="14"/>
    </row>
    <row r="90">
      <c r="A90" s="68"/>
      <c r="B90" s="14"/>
      <c r="C90" s="14"/>
      <c r="D90" s="14"/>
      <c r="E90" s="14"/>
      <c r="F90" s="14"/>
    </row>
    <row r="91">
      <c r="A91" s="68"/>
      <c r="C91" s="68"/>
      <c r="D91" s="68"/>
      <c r="E91" s="14"/>
      <c r="F91" s="14"/>
    </row>
    <row r="92">
      <c r="A92" s="68"/>
      <c r="C92" s="68"/>
      <c r="D92" s="68"/>
      <c r="E92" s="14"/>
      <c r="F92" s="14"/>
    </row>
    <row r="93">
      <c r="A93" s="68"/>
      <c r="C93" s="68"/>
      <c r="D93" s="68"/>
      <c r="E93" s="14"/>
      <c r="F93" s="14"/>
    </row>
    <row r="94">
      <c r="A94" s="68"/>
      <c r="C94" s="68"/>
      <c r="D94" s="68"/>
      <c r="E94" s="14"/>
      <c r="F94" s="14"/>
    </row>
    <row r="95">
      <c r="A95" s="68"/>
      <c r="C95" s="68"/>
      <c r="D95" s="68"/>
      <c r="E95" s="14"/>
      <c r="F95" s="14"/>
    </row>
    <row r="96">
      <c r="A96" s="68"/>
      <c r="C96" s="68"/>
      <c r="D96" s="68"/>
      <c r="E96" s="14"/>
      <c r="F96" s="14"/>
    </row>
    <row r="97">
      <c r="A97" s="68"/>
      <c r="C97" s="68"/>
      <c r="D97" s="68"/>
      <c r="E97" s="14"/>
      <c r="F97" s="14"/>
    </row>
    <row r="98">
      <c r="A98" s="68"/>
      <c r="C98" s="68"/>
      <c r="D98" s="68"/>
      <c r="E98" s="14"/>
      <c r="F98" s="14"/>
    </row>
    <row r="99">
      <c r="A99" s="68"/>
      <c r="C99" s="68"/>
      <c r="D99" s="68"/>
      <c r="E99" s="14"/>
      <c r="F99" s="14"/>
    </row>
    <row r="100">
      <c r="A100" s="68"/>
      <c r="C100" s="68"/>
      <c r="D100" s="68"/>
      <c r="E100" s="14"/>
      <c r="F100" s="14"/>
    </row>
    <row r="101">
      <c r="A101" s="68"/>
      <c r="B101" s="138"/>
    </row>
    <row r="102">
      <c r="A102" s="68"/>
      <c r="B102" s="139"/>
    </row>
    <row r="103">
      <c r="A103" s="68"/>
      <c r="C103" s="68"/>
      <c r="D103" s="68"/>
      <c r="E103" s="14"/>
      <c r="F103" s="14"/>
    </row>
    <row r="104">
      <c r="A104" s="68"/>
      <c r="B104" s="140"/>
    </row>
    <row r="105">
      <c r="A105" s="68"/>
      <c r="B105" s="139"/>
    </row>
    <row r="106">
      <c r="A106" s="68"/>
      <c r="C106" s="68"/>
      <c r="D106" s="68"/>
      <c r="E106" s="14"/>
      <c r="F106" s="14"/>
    </row>
    <row r="107">
      <c r="A107" s="68"/>
      <c r="B107" s="140"/>
    </row>
    <row r="108">
      <c r="A108" s="68"/>
      <c r="B108" s="139"/>
    </row>
    <row r="109">
      <c r="A109" s="68"/>
      <c r="C109" s="68"/>
      <c r="D109" s="68"/>
      <c r="E109" s="14"/>
      <c r="F109" s="14"/>
    </row>
    <row r="110">
      <c r="A110" s="68"/>
      <c r="C110" s="68"/>
      <c r="D110" s="68"/>
      <c r="E110" s="14"/>
      <c r="F110" s="14"/>
    </row>
    <row r="111">
      <c r="A111" s="68"/>
      <c r="C111" s="68"/>
      <c r="D111" s="68"/>
      <c r="E111" s="14"/>
      <c r="F111" s="14"/>
    </row>
  </sheetData>
  <mergeCells count="16">
    <mergeCell ref="A9:P11"/>
    <mergeCell ref="O12:R12"/>
    <mergeCell ref="K30:K31"/>
    <mergeCell ref="L30:N30"/>
    <mergeCell ref="K32:N32"/>
    <mergeCell ref="K33:N33"/>
    <mergeCell ref="K35:N35"/>
    <mergeCell ref="B107:F107"/>
    <mergeCell ref="B108:F108"/>
    <mergeCell ref="K37:N37"/>
    <mergeCell ref="K39:N39"/>
    <mergeCell ref="K40:N40"/>
    <mergeCell ref="B101:F101"/>
    <mergeCell ref="B102:F102"/>
    <mergeCell ref="B104:F104"/>
    <mergeCell ref="B105:F105"/>
  </mergeCells>
  <hyperlinks>
    <hyperlink r:id="rId1" location="tabs-grafico" ref="K29"/>
  </hyperlin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88"/>
    <col customWidth="1" min="2" max="2" width="11.0"/>
    <col customWidth="1" min="3" max="3" width="9.5"/>
    <col customWidth="1" min="4" max="4" width="11.63"/>
    <col customWidth="1" min="5" max="5" width="11.75"/>
    <col customWidth="1" min="12" max="12" width="15.63"/>
  </cols>
  <sheetData>
    <row r="1">
      <c r="A1" s="63"/>
      <c r="B1" s="27" t="s">
        <v>119</v>
      </c>
      <c r="C1" s="28" t="s">
        <v>44</v>
      </c>
      <c r="D1" s="28" t="s">
        <v>45</v>
      </c>
      <c r="E1" s="28" t="s">
        <v>46</v>
      </c>
      <c r="F1" s="27" t="s">
        <v>120</v>
      </c>
      <c r="G1" s="28" t="s">
        <v>37</v>
      </c>
      <c r="H1" s="27" t="s">
        <v>121</v>
      </c>
      <c r="I1" s="28" t="s">
        <v>36</v>
      </c>
      <c r="J1" s="28" t="s">
        <v>38</v>
      </c>
      <c r="K1" s="28" t="s">
        <v>49</v>
      </c>
      <c r="L1" s="27" t="s">
        <v>122</v>
      </c>
      <c r="M1" s="28" t="s">
        <v>51</v>
      </c>
    </row>
    <row r="2">
      <c r="A2" s="195" t="s">
        <v>509</v>
      </c>
      <c r="B2" s="65"/>
      <c r="C2" s="196">
        <v>5570.0</v>
      </c>
      <c r="D2" s="197">
        <v>5335.0</v>
      </c>
      <c r="E2" s="198">
        <v>4450.0</v>
      </c>
      <c r="F2" s="198">
        <v>59976.0</v>
      </c>
      <c r="G2" s="16">
        <f t="shared" ref="G2:G13" si="1">F2-D2-E2-C2</f>
        <v>44621</v>
      </c>
      <c r="H2" s="68">
        <f t="shared" ref="H2:H13" si="2">1+K2+J2</f>
        <v>10.19793814</v>
      </c>
      <c r="I2" s="68">
        <f t="shared" ref="I2:I13" si="3">G2/(D2+E2)</f>
        <v>4.560143076</v>
      </c>
      <c r="J2" s="68">
        <f t="shared" ref="J2:J13" si="4">G2/D2</f>
        <v>8.363823805</v>
      </c>
      <c r="K2" s="68">
        <f t="shared" ref="K2:K13" si="5">E2/D2</f>
        <v>0.8341143393</v>
      </c>
      <c r="L2" s="16">
        <f t="shared" ref="L2:L13" si="6">G2+E2+D2</f>
        <v>54406</v>
      </c>
      <c r="M2" s="69">
        <f t="shared" ref="M2:M13" si="7">L2/F2</f>
        <v>0.9071295185</v>
      </c>
      <c r="N2" s="10">
        <f t="shared" ref="N2:N6" si="8">E2+D2</f>
        <v>9785</v>
      </c>
      <c r="O2" s="11">
        <f t="shared" ref="O2:O6" si="9">N2/F2</f>
        <v>0.1631485928</v>
      </c>
    </row>
    <row r="3">
      <c r="A3" s="195" t="s">
        <v>510</v>
      </c>
      <c r="B3" s="65"/>
      <c r="C3" s="196">
        <v>-763.0</v>
      </c>
      <c r="D3" s="197">
        <v>10986.0</v>
      </c>
      <c r="E3" s="198">
        <v>14031.0</v>
      </c>
      <c r="F3" s="198">
        <v>102671.0</v>
      </c>
      <c r="G3" s="16">
        <f t="shared" si="1"/>
        <v>78417</v>
      </c>
      <c r="H3" s="68">
        <f t="shared" si="2"/>
        <v>9.41507373</v>
      </c>
      <c r="I3" s="68">
        <f t="shared" si="3"/>
        <v>3.134548507</v>
      </c>
      <c r="J3" s="68">
        <f t="shared" si="4"/>
        <v>7.137902785</v>
      </c>
      <c r="K3" s="68">
        <f t="shared" si="5"/>
        <v>1.277170945</v>
      </c>
      <c r="L3" s="16">
        <f t="shared" si="6"/>
        <v>103434</v>
      </c>
      <c r="M3" s="69">
        <f t="shared" si="7"/>
        <v>1.007431505</v>
      </c>
      <c r="N3" s="10">
        <f t="shared" si="8"/>
        <v>25017</v>
      </c>
      <c r="O3" s="11">
        <f t="shared" si="9"/>
        <v>0.2436617935</v>
      </c>
    </row>
    <row r="4">
      <c r="A4" s="195" t="s">
        <v>511</v>
      </c>
      <c r="B4" s="65"/>
      <c r="C4" s="196">
        <v>-343.0</v>
      </c>
      <c r="D4" s="197">
        <v>72588.0</v>
      </c>
      <c r="E4" s="198">
        <v>22557.0</v>
      </c>
      <c r="F4" s="198">
        <v>543783.0</v>
      </c>
      <c r="G4" s="16">
        <f t="shared" si="1"/>
        <v>448981</v>
      </c>
      <c r="H4" s="68">
        <f t="shared" si="2"/>
        <v>7.496087508</v>
      </c>
      <c r="I4" s="68">
        <f t="shared" si="3"/>
        <v>4.718913238</v>
      </c>
      <c r="J4" s="68">
        <f t="shared" si="4"/>
        <v>6.185333664</v>
      </c>
      <c r="K4" s="68">
        <f t="shared" si="5"/>
        <v>0.3107538436</v>
      </c>
      <c r="L4" s="16">
        <f t="shared" si="6"/>
        <v>544126</v>
      </c>
      <c r="M4" s="69">
        <f t="shared" si="7"/>
        <v>1.000630766</v>
      </c>
      <c r="N4" s="10">
        <f t="shared" si="8"/>
        <v>95145</v>
      </c>
      <c r="O4" s="11">
        <f t="shared" si="9"/>
        <v>0.1749686916</v>
      </c>
    </row>
    <row r="5">
      <c r="A5" s="195" t="s">
        <v>300</v>
      </c>
      <c r="B5" s="65"/>
      <c r="C5" s="196">
        <v>-2259.0</v>
      </c>
      <c r="D5" s="197">
        <v>33869.0</v>
      </c>
      <c r="E5" s="198">
        <v>13180.0</v>
      </c>
      <c r="F5" s="198">
        <v>162643.0</v>
      </c>
      <c r="G5" s="16">
        <f t="shared" si="1"/>
        <v>117853</v>
      </c>
      <c r="H5" s="68">
        <f t="shared" si="2"/>
        <v>4.868818093</v>
      </c>
      <c r="I5" s="68">
        <f t="shared" si="3"/>
        <v>2.504899148</v>
      </c>
      <c r="J5" s="68">
        <f t="shared" si="4"/>
        <v>3.479671676</v>
      </c>
      <c r="K5" s="68">
        <f t="shared" si="5"/>
        <v>0.3891464171</v>
      </c>
      <c r="L5" s="16">
        <f t="shared" si="6"/>
        <v>164902</v>
      </c>
      <c r="M5" s="69">
        <f t="shared" si="7"/>
        <v>1.013889316</v>
      </c>
      <c r="N5" s="10">
        <f t="shared" si="8"/>
        <v>47049</v>
      </c>
      <c r="O5" s="11">
        <f t="shared" si="9"/>
        <v>0.2892777433</v>
      </c>
    </row>
    <row r="6">
      <c r="A6" s="195" t="s">
        <v>512</v>
      </c>
      <c r="B6" s="65"/>
      <c r="C6" s="196">
        <v>-1474.0</v>
      </c>
      <c r="D6" s="197">
        <v>137016.0</v>
      </c>
      <c r="E6" s="198">
        <v>32705.0</v>
      </c>
      <c r="F6" s="198">
        <v>500750.0</v>
      </c>
      <c r="G6" s="16">
        <f t="shared" si="1"/>
        <v>332503</v>
      </c>
      <c r="H6" s="68">
        <f t="shared" si="2"/>
        <v>3.665440532</v>
      </c>
      <c r="I6" s="68">
        <f t="shared" si="3"/>
        <v>1.959115254</v>
      </c>
      <c r="J6" s="68">
        <f t="shared" si="4"/>
        <v>2.426745782</v>
      </c>
      <c r="K6" s="68">
        <f t="shared" si="5"/>
        <v>0.238694751</v>
      </c>
      <c r="L6" s="16">
        <f t="shared" si="6"/>
        <v>502224</v>
      </c>
      <c r="M6" s="69">
        <f t="shared" si="7"/>
        <v>1.002943585</v>
      </c>
      <c r="N6" s="10">
        <f t="shared" si="8"/>
        <v>169721</v>
      </c>
      <c r="O6" s="11">
        <f t="shared" si="9"/>
        <v>0.3389335996</v>
      </c>
    </row>
    <row r="7">
      <c r="A7" s="195" t="s">
        <v>513</v>
      </c>
      <c r="B7" s="65"/>
      <c r="C7" s="196">
        <v>-340.0</v>
      </c>
      <c r="D7" s="197">
        <v>24779.0</v>
      </c>
      <c r="E7" s="198">
        <v>13402.0</v>
      </c>
      <c r="F7" s="198">
        <v>91610.0</v>
      </c>
      <c r="G7" s="16">
        <f t="shared" si="1"/>
        <v>53769</v>
      </c>
      <c r="H7" s="68">
        <f t="shared" si="2"/>
        <v>3.710803503</v>
      </c>
      <c r="I7" s="68">
        <f t="shared" si="3"/>
        <v>1.408265891</v>
      </c>
      <c r="J7" s="68">
        <f t="shared" si="4"/>
        <v>2.16994229</v>
      </c>
      <c r="K7" s="68">
        <f t="shared" si="5"/>
        <v>0.5408612131</v>
      </c>
      <c r="L7" s="16">
        <f t="shared" si="6"/>
        <v>91950</v>
      </c>
      <c r="M7" s="69">
        <f t="shared" si="7"/>
        <v>1.003711385</v>
      </c>
    </row>
    <row r="8">
      <c r="A8" s="195" t="s">
        <v>514</v>
      </c>
      <c r="B8" s="65"/>
      <c r="C8" s="196">
        <v>-2750.0</v>
      </c>
      <c r="D8" s="197">
        <v>20066.0</v>
      </c>
      <c r="E8" s="198">
        <v>4850.0</v>
      </c>
      <c r="F8" s="198">
        <v>75948.0</v>
      </c>
      <c r="G8" s="16">
        <f t="shared" si="1"/>
        <v>53782</v>
      </c>
      <c r="H8" s="68">
        <f t="shared" si="2"/>
        <v>3.92195754</v>
      </c>
      <c r="I8" s="68">
        <f t="shared" si="3"/>
        <v>2.15853267</v>
      </c>
      <c r="J8" s="68">
        <f t="shared" si="4"/>
        <v>2.680255158</v>
      </c>
      <c r="K8" s="68">
        <f t="shared" si="5"/>
        <v>0.2417023821</v>
      </c>
      <c r="L8" s="16">
        <f t="shared" si="6"/>
        <v>78698</v>
      </c>
      <c r="M8" s="69">
        <f t="shared" si="7"/>
        <v>1.036208985</v>
      </c>
    </row>
    <row r="9">
      <c r="A9" s="195" t="s">
        <v>515</v>
      </c>
      <c r="B9" s="65"/>
      <c r="C9" s="196">
        <v>-9259.0</v>
      </c>
      <c r="D9" s="197">
        <v>5209.0</v>
      </c>
      <c r="E9" s="198">
        <v>36543.0</v>
      </c>
      <c r="F9" s="198">
        <v>150788.0</v>
      </c>
      <c r="G9" s="16">
        <f t="shared" si="1"/>
        <v>118295</v>
      </c>
      <c r="H9" s="68">
        <f t="shared" si="2"/>
        <v>30.72509119</v>
      </c>
      <c r="I9" s="68">
        <f t="shared" si="3"/>
        <v>2.833277448</v>
      </c>
      <c r="J9" s="68">
        <f t="shared" si="4"/>
        <v>22.70973315</v>
      </c>
      <c r="K9" s="68">
        <f t="shared" si="5"/>
        <v>7.015358034</v>
      </c>
      <c r="L9" s="16">
        <f t="shared" si="6"/>
        <v>160047</v>
      </c>
      <c r="M9" s="69">
        <f t="shared" si="7"/>
        <v>1.061404091</v>
      </c>
    </row>
    <row r="10">
      <c r="A10" s="195" t="s">
        <v>516</v>
      </c>
      <c r="B10" s="65"/>
      <c r="C10" s="196">
        <v>406.0</v>
      </c>
      <c r="D10" s="197">
        <v>63347.0</v>
      </c>
      <c r="E10" s="198">
        <v>15084.0</v>
      </c>
      <c r="F10" s="198">
        <v>185110.0</v>
      </c>
      <c r="G10" s="16">
        <f t="shared" si="1"/>
        <v>106273</v>
      </c>
      <c r="H10" s="68">
        <f t="shared" si="2"/>
        <v>2.915749759</v>
      </c>
      <c r="I10" s="68">
        <f t="shared" si="3"/>
        <v>1.354987186</v>
      </c>
      <c r="J10" s="68">
        <f t="shared" si="4"/>
        <v>1.677632721</v>
      </c>
      <c r="K10" s="68">
        <f t="shared" si="5"/>
        <v>0.2381170379</v>
      </c>
      <c r="L10" s="16">
        <f t="shared" si="6"/>
        <v>184704</v>
      </c>
      <c r="M10" s="69">
        <f t="shared" si="7"/>
        <v>0.9978067095</v>
      </c>
    </row>
    <row r="11">
      <c r="A11" s="195" t="s">
        <v>517</v>
      </c>
      <c r="B11" s="65"/>
      <c r="C11" s="196">
        <v>-353.0</v>
      </c>
      <c r="D11" s="197">
        <v>166679.0</v>
      </c>
      <c r="E11" s="198">
        <v>29004.0</v>
      </c>
      <c r="F11" s="198">
        <v>272305.0</v>
      </c>
      <c r="G11" s="16">
        <f t="shared" si="1"/>
        <v>76975</v>
      </c>
      <c r="H11" s="68">
        <f t="shared" si="2"/>
        <v>1.635826949</v>
      </c>
      <c r="I11" s="68">
        <f t="shared" si="3"/>
        <v>0.3933658008</v>
      </c>
      <c r="J11" s="68">
        <f t="shared" si="4"/>
        <v>0.4618158256</v>
      </c>
      <c r="K11" s="68">
        <f t="shared" si="5"/>
        <v>0.1740111232</v>
      </c>
      <c r="L11" s="16">
        <f t="shared" si="6"/>
        <v>272658</v>
      </c>
      <c r="M11" s="69">
        <f t="shared" si="7"/>
        <v>1.001296341</v>
      </c>
      <c r="N11" s="10">
        <f>E11+D11</f>
        <v>195683</v>
      </c>
      <c r="O11" s="11">
        <f>N11/F11</f>
        <v>0.718616992</v>
      </c>
    </row>
    <row r="12">
      <c r="A12" s="195" t="s">
        <v>518</v>
      </c>
      <c r="B12" s="65"/>
      <c r="C12" s="196">
        <v>12.0</v>
      </c>
      <c r="D12" s="197">
        <v>31134.0</v>
      </c>
      <c r="E12" s="198">
        <v>5765.0</v>
      </c>
      <c r="F12" s="198">
        <v>82933.0</v>
      </c>
      <c r="G12" s="16">
        <f t="shared" si="1"/>
        <v>46022</v>
      </c>
      <c r="H12" s="68">
        <f t="shared" si="2"/>
        <v>2.663358386</v>
      </c>
      <c r="I12" s="68">
        <f t="shared" si="3"/>
        <v>1.247242473</v>
      </c>
      <c r="J12" s="68">
        <f t="shared" si="4"/>
        <v>1.478191045</v>
      </c>
      <c r="K12" s="68">
        <f t="shared" si="5"/>
        <v>0.1851673412</v>
      </c>
      <c r="L12" s="16">
        <f t="shared" si="6"/>
        <v>82921</v>
      </c>
      <c r="M12" s="69">
        <f t="shared" si="7"/>
        <v>0.9998553049</v>
      </c>
    </row>
    <row r="13">
      <c r="A13" s="79" t="s">
        <v>161</v>
      </c>
      <c r="B13" s="80">
        <v>2987539.0</v>
      </c>
      <c r="C13" s="154">
        <f t="shared" ref="C13:F13" si="10">SUM(C2:C12)</f>
        <v>-11553</v>
      </c>
      <c r="D13" s="154">
        <f t="shared" si="10"/>
        <v>571008</v>
      </c>
      <c r="E13" s="154">
        <f t="shared" si="10"/>
        <v>191571</v>
      </c>
      <c r="F13" s="82">
        <f t="shared" si="10"/>
        <v>2228517</v>
      </c>
      <c r="G13" s="80">
        <f t="shared" si="1"/>
        <v>1477491</v>
      </c>
      <c r="H13" s="81">
        <f t="shared" si="2"/>
        <v>3.923009835</v>
      </c>
      <c r="I13" s="81">
        <f t="shared" si="3"/>
        <v>1.937492378</v>
      </c>
      <c r="J13" s="81">
        <f t="shared" si="4"/>
        <v>2.58751366</v>
      </c>
      <c r="K13" s="83">
        <f t="shared" si="5"/>
        <v>0.3354961752</v>
      </c>
      <c r="L13" s="80">
        <f t="shared" si="6"/>
        <v>2240070</v>
      </c>
      <c r="M13" s="84">
        <f t="shared" si="7"/>
        <v>1.005184165</v>
      </c>
      <c r="N13" s="10">
        <f>E13+D13</f>
        <v>762579</v>
      </c>
      <c r="O13" s="10">
        <f>N13/F13</f>
        <v>0.342191242</v>
      </c>
    </row>
    <row r="14">
      <c r="A14" s="71" t="s">
        <v>519</v>
      </c>
      <c r="B14" s="68"/>
      <c r="C14" s="68"/>
      <c r="D14" s="68"/>
      <c r="E14" s="68"/>
      <c r="F14" s="65"/>
      <c r="G14" s="68"/>
      <c r="H14" s="68"/>
      <c r="I14" s="68"/>
      <c r="J14" s="68"/>
      <c r="K14" s="68"/>
      <c r="L14" s="68"/>
      <c r="M14" s="69"/>
    </row>
    <row r="15">
      <c r="A15" s="14" t="s">
        <v>520</v>
      </c>
      <c r="B15" s="68"/>
      <c r="C15" s="68"/>
      <c r="D15" s="68"/>
      <c r="E15" s="68"/>
      <c r="F15" s="65"/>
      <c r="G15" s="16"/>
      <c r="H15" s="68"/>
      <c r="I15" s="68"/>
      <c r="J15" s="68"/>
      <c r="K15" s="68"/>
      <c r="L15" s="68"/>
      <c r="M15" s="69"/>
    </row>
    <row r="16">
      <c r="A16" s="195"/>
      <c r="B16" s="28" t="s">
        <v>44</v>
      </c>
      <c r="C16" s="28" t="s">
        <v>45</v>
      </c>
      <c r="D16" s="28" t="s">
        <v>46</v>
      </c>
      <c r="E16" s="27" t="s">
        <v>120</v>
      </c>
      <c r="F16" s="28" t="s">
        <v>37</v>
      </c>
      <c r="G16" s="27" t="s">
        <v>121</v>
      </c>
      <c r="H16" s="28" t="s">
        <v>36</v>
      </c>
      <c r="I16" s="28" t="s">
        <v>38</v>
      </c>
      <c r="J16" s="28" t="s">
        <v>49</v>
      </c>
      <c r="K16" s="27" t="s">
        <v>122</v>
      </c>
      <c r="L16" s="28" t="s">
        <v>51</v>
      </c>
      <c r="M16" s="69"/>
    </row>
    <row r="17">
      <c r="A17" s="195" t="s">
        <v>509</v>
      </c>
      <c r="B17" s="196">
        <v>5570.0</v>
      </c>
      <c r="C17" s="197">
        <f t="shared" ref="C17:C27" si="11">(M17*1000*16)/1000000</f>
        <v>24044.6656</v>
      </c>
      <c r="D17" s="198">
        <v>4450.0</v>
      </c>
      <c r="E17" s="198">
        <v>59976.0</v>
      </c>
      <c r="F17" s="16">
        <f t="shared" ref="F17:F28" si="12">E17-C17-D17-B17</f>
        <v>25911.3344</v>
      </c>
      <c r="G17" s="68">
        <f t="shared" ref="G17:G28" si="13">1+J17+I17</f>
        <v>2.262705621</v>
      </c>
      <c r="H17" s="68">
        <f t="shared" ref="H17:H28" si="14">F17/(C17+D17)</f>
        <v>0.909339831</v>
      </c>
      <c r="I17" s="68">
        <f t="shared" ref="I17:I28" si="15">F17/C17</f>
        <v>1.077633386</v>
      </c>
      <c r="J17" s="68">
        <f t="shared" ref="J17:J28" si="16">D17/C17</f>
        <v>0.1850722349</v>
      </c>
      <c r="K17" s="16">
        <f t="shared" ref="K17:K28" si="17">F17+D17+C17</f>
        <v>54406</v>
      </c>
      <c r="L17" s="69">
        <f t="shared" ref="L17:L28" si="18">K17/E17</f>
        <v>0.9071295185</v>
      </c>
      <c r="M17" s="199">
        <v>1502791.6</v>
      </c>
      <c r="N17" s="200">
        <v>796.6</v>
      </c>
      <c r="O17" s="201">
        <v>779.0</v>
      </c>
    </row>
    <row r="18">
      <c r="A18" s="195" t="s">
        <v>510</v>
      </c>
      <c r="B18" s="196">
        <v>-763.0</v>
      </c>
      <c r="C18" s="197">
        <f t="shared" si="11"/>
        <v>6462.144</v>
      </c>
      <c r="D18" s="198">
        <v>14031.0</v>
      </c>
      <c r="E18" s="198">
        <v>102671.0</v>
      </c>
      <c r="F18" s="16">
        <f t="shared" si="12"/>
        <v>82940.856</v>
      </c>
      <c r="G18" s="68">
        <f t="shared" si="13"/>
        <v>16.00614285</v>
      </c>
      <c r="H18" s="68">
        <f t="shared" si="14"/>
        <v>4.047248973</v>
      </c>
      <c r="I18" s="68">
        <f t="shared" si="15"/>
        <v>12.83488205</v>
      </c>
      <c r="J18" s="68">
        <f t="shared" si="16"/>
        <v>2.171260808</v>
      </c>
      <c r="K18" s="16">
        <f t="shared" si="17"/>
        <v>103434</v>
      </c>
      <c r="L18" s="69">
        <f t="shared" si="18"/>
        <v>1.007431505</v>
      </c>
      <c r="M18" s="202">
        <v>403884.0</v>
      </c>
      <c r="N18" s="200">
        <v>257.9</v>
      </c>
      <c r="O18" s="200">
        <v>255.7</v>
      </c>
    </row>
    <row r="19">
      <c r="A19" s="195" t="s">
        <v>511</v>
      </c>
      <c r="B19" s="196">
        <v>-343.0</v>
      </c>
      <c r="C19" s="197">
        <f t="shared" si="11"/>
        <v>56405.5216</v>
      </c>
      <c r="D19" s="198">
        <v>22557.0</v>
      </c>
      <c r="E19" s="198">
        <v>543783.0</v>
      </c>
      <c r="F19" s="16">
        <f t="shared" si="12"/>
        <v>465163.4784</v>
      </c>
      <c r="G19" s="68">
        <f t="shared" si="13"/>
        <v>9.646679697</v>
      </c>
      <c r="H19" s="68">
        <f t="shared" si="14"/>
        <v>5.890940018</v>
      </c>
      <c r="I19" s="68">
        <f t="shared" si="15"/>
        <v>8.246772039</v>
      </c>
      <c r="J19" s="68">
        <f t="shared" si="16"/>
        <v>0.3999076573</v>
      </c>
      <c r="K19" s="16">
        <f t="shared" si="17"/>
        <v>544126</v>
      </c>
      <c r="L19" s="69">
        <f t="shared" si="18"/>
        <v>1.000630766</v>
      </c>
      <c r="M19" s="199">
        <v>3525345.1</v>
      </c>
      <c r="N19" s="201">
        <v>2030.0</v>
      </c>
      <c r="O19" s="200">
        <v>2029.2</v>
      </c>
    </row>
    <row r="20">
      <c r="A20" s="195" t="s">
        <v>300</v>
      </c>
      <c r="B20" s="196">
        <v>-2259.0</v>
      </c>
      <c r="C20" s="197">
        <f t="shared" si="11"/>
        <v>40785.3312</v>
      </c>
      <c r="D20" s="198">
        <v>13180.0</v>
      </c>
      <c r="E20" s="198">
        <v>162643.0</v>
      </c>
      <c r="F20" s="16">
        <f t="shared" si="12"/>
        <v>110936.6688</v>
      </c>
      <c r="G20" s="68">
        <f t="shared" si="13"/>
        <v>4.043169325</v>
      </c>
      <c r="H20" s="68">
        <f t="shared" si="14"/>
        <v>2.055702547</v>
      </c>
      <c r="I20" s="68">
        <f t="shared" si="15"/>
        <v>2.720013925</v>
      </c>
      <c r="J20" s="68">
        <f t="shared" si="16"/>
        <v>0.3231553996</v>
      </c>
      <c r="K20" s="16">
        <f t="shared" si="17"/>
        <v>164902</v>
      </c>
      <c r="L20" s="69">
        <f t="shared" si="18"/>
        <v>1.013889316</v>
      </c>
      <c r="M20" s="199">
        <v>2549083.2</v>
      </c>
      <c r="N20" s="200">
        <v>1299.8</v>
      </c>
      <c r="O20" s="201">
        <v>1281.0</v>
      </c>
    </row>
    <row r="21">
      <c r="A21" s="195" t="s">
        <v>512</v>
      </c>
      <c r="B21" s="196">
        <v>-1474.0</v>
      </c>
      <c r="C21" s="197">
        <f t="shared" si="11"/>
        <v>169522.9968</v>
      </c>
      <c r="D21" s="198">
        <v>32705.0</v>
      </c>
      <c r="E21" s="198">
        <v>500750.0</v>
      </c>
      <c r="F21" s="16">
        <f t="shared" si="12"/>
        <v>299996.0032</v>
      </c>
      <c r="G21" s="68">
        <f t="shared" si="13"/>
        <v>2.962571506</v>
      </c>
      <c r="H21" s="68">
        <f t="shared" si="14"/>
        <v>1.483454358</v>
      </c>
      <c r="I21" s="68">
        <f t="shared" si="15"/>
        <v>1.769647829</v>
      </c>
      <c r="J21" s="68">
        <f t="shared" si="16"/>
        <v>0.1929236777</v>
      </c>
      <c r="K21" s="16">
        <f t="shared" si="17"/>
        <v>502224</v>
      </c>
      <c r="L21" s="69">
        <f t="shared" si="18"/>
        <v>1.002943585</v>
      </c>
      <c r="M21" s="199">
        <v>1.05951873E7</v>
      </c>
      <c r="N21" s="200">
        <v>6098.8</v>
      </c>
      <c r="O21" s="200">
        <v>6001.8</v>
      </c>
    </row>
    <row r="22">
      <c r="A22" s="195" t="s">
        <v>513</v>
      </c>
      <c r="B22" s="196">
        <v>-340.0</v>
      </c>
      <c r="C22" s="197">
        <f t="shared" si="11"/>
        <v>15315.936</v>
      </c>
      <c r="D22" s="198">
        <v>13402.0</v>
      </c>
      <c r="E22" s="198">
        <v>91610.0</v>
      </c>
      <c r="F22" s="16">
        <f t="shared" si="12"/>
        <v>63232.064</v>
      </c>
      <c r="G22" s="68">
        <f t="shared" si="13"/>
        <v>6.003550811</v>
      </c>
      <c r="H22" s="68">
        <f t="shared" si="14"/>
        <v>2.201831775</v>
      </c>
      <c r="I22" s="68">
        <f t="shared" si="15"/>
        <v>4.128514509</v>
      </c>
      <c r="J22" s="68">
        <f t="shared" si="16"/>
        <v>0.8750363021</v>
      </c>
      <c r="K22" s="16">
        <f t="shared" si="17"/>
        <v>91950</v>
      </c>
      <c r="L22" s="69">
        <f t="shared" si="18"/>
        <v>1.003711385</v>
      </c>
      <c r="M22" s="202">
        <v>957246.0</v>
      </c>
      <c r="N22" s="201">
        <v>553.0</v>
      </c>
      <c r="O22" s="200">
        <v>538.2</v>
      </c>
    </row>
    <row r="23">
      <c r="A23" s="195" t="s">
        <v>514</v>
      </c>
      <c r="B23" s="196">
        <v>-2750.0</v>
      </c>
      <c r="C23" s="197">
        <f t="shared" si="11"/>
        <v>9363.784</v>
      </c>
      <c r="D23" s="198">
        <v>4850.0</v>
      </c>
      <c r="E23" s="198">
        <v>75948.0</v>
      </c>
      <c r="F23" s="16">
        <f t="shared" si="12"/>
        <v>64484.216</v>
      </c>
      <c r="G23" s="68">
        <f t="shared" si="13"/>
        <v>8.404508263</v>
      </c>
      <c r="H23" s="68">
        <f t="shared" si="14"/>
        <v>4.536738141</v>
      </c>
      <c r="I23" s="68">
        <f t="shared" si="15"/>
        <v>6.886555264</v>
      </c>
      <c r="J23" s="68">
        <f t="shared" si="16"/>
        <v>0.5179529985</v>
      </c>
      <c r="K23" s="16">
        <f t="shared" si="17"/>
        <v>78698</v>
      </c>
      <c r="L23" s="69">
        <f t="shared" si="18"/>
        <v>1.036208985</v>
      </c>
      <c r="M23" s="199">
        <v>585236.5</v>
      </c>
      <c r="N23" s="200">
        <v>356.1</v>
      </c>
      <c r="O23" s="200">
        <v>356.7</v>
      </c>
    </row>
    <row r="24">
      <c r="A24" s="195" t="s">
        <v>515</v>
      </c>
      <c r="B24" s="196">
        <v>-9259.0</v>
      </c>
      <c r="C24" s="197">
        <f t="shared" si="11"/>
        <v>6523.232</v>
      </c>
      <c r="D24" s="198">
        <v>36543.0</v>
      </c>
      <c r="E24" s="198">
        <v>150788.0</v>
      </c>
      <c r="F24" s="16">
        <f t="shared" si="12"/>
        <v>116980.768</v>
      </c>
      <c r="G24" s="68">
        <f t="shared" si="13"/>
        <v>24.53492379</v>
      </c>
      <c r="H24" s="68">
        <f t="shared" si="14"/>
        <v>2.716299118</v>
      </c>
      <c r="I24" s="68">
        <f t="shared" si="15"/>
        <v>17.93294612</v>
      </c>
      <c r="J24" s="68">
        <f t="shared" si="16"/>
        <v>5.60197767</v>
      </c>
      <c r="K24" s="16">
        <f t="shared" si="17"/>
        <v>160047</v>
      </c>
      <c r="L24" s="69">
        <f t="shared" si="18"/>
        <v>1.061404091</v>
      </c>
      <c r="M24" s="202">
        <v>407702.0</v>
      </c>
      <c r="N24" s="200">
        <v>229.6</v>
      </c>
      <c r="O24" s="200">
        <v>219.8</v>
      </c>
    </row>
    <row r="25">
      <c r="A25" s="195" t="s">
        <v>516</v>
      </c>
      <c r="B25" s="196">
        <v>406.0</v>
      </c>
      <c r="C25" s="197">
        <f t="shared" si="11"/>
        <v>68460.2352</v>
      </c>
      <c r="D25" s="198">
        <v>15084.0</v>
      </c>
      <c r="E25" s="198">
        <v>185110.0</v>
      </c>
      <c r="F25" s="16">
        <f t="shared" si="12"/>
        <v>101159.7648</v>
      </c>
      <c r="G25" s="68">
        <f t="shared" si="13"/>
        <v>2.697974955</v>
      </c>
      <c r="H25" s="68">
        <f t="shared" si="14"/>
        <v>1.210852724</v>
      </c>
      <c r="I25" s="68">
        <f t="shared" si="15"/>
        <v>1.477642671</v>
      </c>
      <c r="J25" s="68">
        <f t="shared" si="16"/>
        <v>0.2203322842</v>
      </c>
      <c r="K25" s="16">
        <f t="shared" si="17"/>
        <v>184704</v>
      </c>
      <c r="L25" s="69">
        <f t="shared" si="18"/>
        <v>0.9978067095</v>
      </c>
      <c r="M25" s="199">
        <v>4278764.7</v>
      </c>
      <c r="N25" s="200">
        <v>2611.3</v>
      </c>
      <c r="O25" s="200">
        <v>2557.5</v>
      </c>
    </row>
    <row r="26">
      <c r="A26" s="195" t="s">
        <v>517</v>
      </c>
      <c r="B26" s="196">
        <v>-353.0</v>
      </c>
      <c r="C26" s="197">
        <f t="shared" si="11"/>
        <v>108370.3968</v>
      </c>
      <c r="D26" s="198">
        <v>29004.0</v>
      </c>
      <c r="E26" s="198">
        <v>272305.0</v>
      </c>
      <c r="F26" s="16">
        <f t="shared" si="12"/>
        <v>135283.6032</v>
      </c>
      <c r="G26" s="68">
        <f t="shared" si="13"/>
        <v>2.515982298</v>
      </c>
      <c r="H26" s="68">
        <f t="shared" si="14"/>
        <v>0.9847803255</v>
      </c>
      <c r="I26" s="68">
        <f t="shared" si="15"/>
        <v>1.248344633</v>
      </c>
      <c r="J26" s="68">
        <f t="shared" si="16"/>
        <v>0.2676376654</v>
      </c>
      <c r="K26" s="16">
        <f t="shared" si="17"/>
        <v>272658</v>
      </c>
      <c r="L26" s="69">
        <f t="shared" si="18"/>
        <v>1.001296341</v>
      </c>
      <c r="M26" s="199">
        <v>6773149.8</v>
      </c>
      <c r="N26" s="200">
        <v>4640.8</v>
      </c>
      <c r="O26" s="200">
        <v>4506.3</v>
      </c>
    </row>
    <row r="27">
      <c r="A27" s="195" t="s">
        <v>518</v>
      </c>
      <c r="B27" s="196">
        <v>12.0</v>
      </c>
      <c r="C27" s="197">
        <f t="shared" si="11"/>
        <v>41983.1376</v>
      </c>
      <c r="D27" s="198">
        <v>5765.0</v>
      </c>
      <c r="E27" s="198">
        <v>82933.0</v>
      </c>
      <c r="F27" s="16">
        <f t="shared" si="12"/>
        <v>35172.8624</v>
      </c>
      <c r="G27" s="68">
        <f t="shared" si="13"/>
        <v>1.975102499</v>
      </c>
      <c r="H27" s="68">
        <f t="shared" si="14"/>
        <v>0.7366331792</v>
      </c>
      <c r="I27" s="68">
        <f t="shared" si="15"/>
        <v>0.8377854637</v>
      </c>
      <c r="J27" s="68">
        <f t="shared" si="16"/>
        <v>0.1373170356</v>
      </c>
      <c r="K27" s="16">
        <f t="shared" si="17"/>
        <v>82921</v>
      </c>
      <c r="L27" s="69">
        <f t="shared" si="18"/>
        <v>0.9998553049</v>
      </c>
      <c r="M27" s="199">
        <v>2623946.1</v>
      </c>
      <c r="N27" s="200">
        <v>2173.8</v>
      </c>
      <c r="O27" s="201">
        <v>1741.0</v>
      </c>
    </row>
    <row r="28">
      <c r="A28" s="79" t="s">
        <v>161</v>
      </c>
      <c r="B28" s="154">
        <f t="shared" ref="B28:E28" si="19">SUM(B17:B27)</f>
        <v>-11553</v>
      </c>
      <c r="C28" s="154">
        <f t="shared" si="19"/>
        <v>547237.3808</v>
      </c>
      <c r="D28" s="154">
        <f t="shared" si="19"/>
        <v>191571</v>
      </c>
      <c r="E28" s="82">
        <f t="shared" si="19"/>
        <v>2228517</v>
      </c>
      <c r="F28" s="80">
        <f t="shared" si="12"/>
        <v>1501261.619</v>
      </c>
      <c r="G28" s="81">
        <f t="shared" si="13"/>
        <v>4.093415542</v>
      </c>
      <c r="H28" s="81">
        <f t="shared" si="14"/>
        <v>2.032004046</v>
      </c>
      <c r="I28" s="81">
        <f t="shared" si="15"/>
        <v>2.743346255</v>
      </c>
      <c r="J28" s="83">
        <f t="shared" si="16"/>
        <v>0.3500692875</v>
      </c>
      <c r="K28" s="80">
        <f t="shared" si="17"/>
        <v>2240070</v>
      </c>
      <c r="L28" s="84">
        <f t="shared" si="18"/>
        <v>1.005184165</v>
      </c>
      <c r="N28" s="11">
        <f t="shared" ref="N28:O28" si="20">SUM(N17:N27)</f>
        <v>21047.7</v>
      </c>
      <c r="O28" s="11">
        <f t="shared" si="20"/>
        <v>20266.2</v>
      </c>
    </row>
    <row r="29">
      <c r="N29" s="4" t="s">
        <v>521</v>
      </c>
    </row>
    <row r="31">
      <c r="B31" s="4" t="s">
        <v>37</v>
      </c>
      <c r="C31" s="25">
        <f>F28</f>
        <v>1501261.619</v>
      </c>
    </row>
    <row r="32">
      <c r="A32" s="203" t="s">
        <v>522</v>
      </c>
      <c r="B32" s="204" t="s">
        <v>523</v>
      </c>
      <c r="C32" s="205">
        <v>13231.2363711434</v>
      </c>
    </row>
    <row r="33">
      <c r="C33" s="25">
        <f>C31-C32</f>
        <v>1488030.383</v>
      </c>
    </row>
    <row r="36">
      <c r="A36" s="14"/>
      <c r="B36" s="14"/>
      <c r="C36" s="14"/>
    </row>
    <row r="37">
      <c r="A37" s="14"/>
      <c r="C37" s="14"/>
    </row>
    <row r="38">
      <c r="A38" s="14"/>
      <c r="C38" s="14"/>
    </row>
    <row r="39">
      <c r="A39" s="14"/>
      <c r="C39" s="14"/>
    </row>
    <row r="40">
      <c r="A40" s="14"/>
      <c r="C40" s="14"/>
    </row>
    <row r="41">
      <c r="A41" s="14"/>
      <c r="C41" s="14"/>
    </row>
    <row r="42">
      <c r="A42" s="14"/>
      <c r="C42" s="14"/>
    </row>
    <row r="43">
      <c r="A43" s="14"/>
      <c r="C43" s="14"/>
    </row>
    <row r="44">
      <c r="A44" s="14"/>
      <c r="C44" s="14"/>
    </row>
    <row r="45">
      <c r="A45" s="14"/>
      <c r="C45" s="14"/>
    </row>
    <row r="46">
      <c r="A46" s="14"/>
      <c r="C46" s="14"/>
    </row>
    <row r="47">
      <c r="A47" s="68"/>
      <c r="C47" s="14"/>
    </row>
    <row r="48">
      <c r="A48" s="68"/>
      <c r="C48" s="14"/>
    </row>
    <row r="49">
      <c r="A49" s="35"/>
      <c r="B49" s="35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68"/>
      <c r="C70" s="14"/>
    </row>
    <row r="71">
      <c r="A71" s="68"/>
      <c r="C71" s="14"/>
    </row>
    <row r="72">
      <c r="A72" s="68"/>
      <c r="C72" s="14"/>
    </row>
    <row r="73">
      <c r="A73" s="68"/>
      <c r="C73" s="14"/>
    </row>
    <row r="74">
      <c r="A74" s="68"/>
      <c r="C74" s="14"/>
    </row>
    <row r="75">
      <c r="A75" s="35"/>
      <c r="B75" s="35"/>
      <c r="C75" s="35"/>
      <c r="D75" s="68"/>
      <c r="E75" s="68"/>
      <c r="F75" s="68"/>
      <c r="G75" s="68"/>
      <c r="H75" s="68"/>
      <c r="I75" s="68"/>
      <c r="J75" s="68"/>
    </row>
    <row r="76">
      <c r="A76" s="14"/>
      <c r="B76" s="14"/>
      <c r="C76" s="14"/>
    </row>
    <row r="77">
      <c r="A77" s="68"/>
      <c r="B77" s="14"/>
      <c r="C77" s="14"/>
    </row>
    <row r="78">
      <c r="A78" s="68"/>
      <c r="B78" s="14"/>
      <c r="C78" s="14"/>
    </row>
    <row r="79">
      <c r="A79" s="68"/>
      <c r="B79" s="14"/>
      <c r="C79" s="14"/>
    </row>
    <row r="80">
      <c r="A80" s="68"/>
      <c r="B80" s="14"/>
      <c r="C80" s="14"/>
    </row>
    <row r="81">
      <c r="A81" s="68"/>
      <c r="B81" s="14"/>
      <c r="C81" s="14"/>
    </row>
    <row r="82">
      <c r="A82" s="68"/>
      <c r="B82" s="14"/>
      <c r="C82" s="14"/>
    </row>
    <row r="83">
      <c r="A83" s="68"/>
      <c r="B83" s="14"/>
      <c r="C83" s="14"/>
    </row>
    <row r="84">
      <c r="A84" s="68"/>
      <c r="B84" s="14"/>
      <c r="C84" s="14"/>
    </row>
    <row r="85">
      <c r="A85" s="68"/>
      <c r="B85" s="14"/>
      <c r="C85" s="14"/>
    </row>
    <row r="86">
      <c r="A86" s="68"/>
      <c r="B86" s="14"/>
      <c r="C86" s="14"/>
    </row>
    <row r="87">
      <c r="A87" s="68"/>
      <c r="B87" s="14"/>
      <c r="C87" s="14"/>
    </row>
    <row r="88">
      <c r="A88" s="68"/>
      <c r="B88" s="14"/>
      <c r="C88" s="14"/>
    </row>
    <row r="89">
      <c r="A89" s="68"/>
      <c r="B89" s="14"/>
      <c r="C89" s="14"/>
    </row>
    <row r="90">
      <c r="A90" s="68"/>
      <c r="B90" s="14"/>
      <c r="C90" s="14"/>
    </row>
    <row r="91">
      <c r="A91" s="68"/>
      <c r="B91" s="14"/>
      <c r="C91" s="14"/>
    </row>
    <row r="92">
      <c r="A92" s="68"/>
      <c r="B92" s="14"/>
      <c r="C92" s="14"/>
    </row>
    <row r="93">
      <c r="A93" s="68"/>
      <c r="B93" s="14"/>
      <c r="C93" s="14"/>
    </row>
    <row r="94">
      <c r="A94" s="68"/>
      <c r="B94" s="14"/>
      <c r="C94" s="14"/>
    </row>
    <row r="95">
      <c r="A95" s="68"/>
      <c r="B95" s="14"/>
      <c r="C95" s="14"/>
    </row>
    <row r="96">
      <c r="A96" s="68"/>
      <c r="C96" s="14"/>
    </row>
    <row r="97">
      <c r="A97" s="68"/>
      <c r="C97" s="14"/>
    </row>
    <row r="98">
      <c r="A98" s="68"/>
      <c r="C98" s="14"/>
    </row>
    <row r="99">
      <c r="A99" s="68"/>
      <c r="C99" s="14"/>
    </row>
    <row r="100">
      <c r="A100" s="68"/>
      <c r="C100" s="14"/>
    </row>
    <row r="101">
      <c r="A101" s="68"/>
      <c r="C101" s="14"/>
    </row>
    <row r="102">
      <c r="A102" s="68"/>
      <c r="C102" s="14"/>
    </row>
    <row r="103">
      <c r="A103" s="68"/>
      <c r="C103" s="14"/>
    </row>
    <row r="104">
      <c r="A104" s="68"/>
      <c r="C104" s="14"/>
    </row>
    <row r="105">
      <c r="A105" s="68"/>
      <c r="C105" s="14"/>
    </row>
    <row r="106">
      <c r="A106" s="68"/>
      <c r="B106" s="72"/>
      <c r="C106" s="74"/>
    </row>
    <row r="107">
      <c r="A107" s="68"/>
      <c r="B107" s="75"/>
      <c r="C107" s="74"/>
    </row>
    <row r="108">
      <c r="A108" s="68"/>
      <c r="C108" s="14"/>
    </row>
    <row r="109">
      <c r="A109" s="68"/>
      <c r="B109" s="76"/>
      <c r="C109" s="74"/>
    </row>
    <row r="110">
      <c r="A110" s="68"/>
      <c r="B110" s="75"/>
      <c r="C110" s="74"/>
    </row>
    <row r="111">
      <c r="A111" s="68"/>
      <c r="C111" s="14"/>
    </row>
    <row r="112">
      <c r="A112" s="68"/>
      <c r="B112" s="76"/>
      <c r="C112" s="74"/>
    </row>
    <row r="113">
      <c r="A113" s="68"/>
      <c r="B113" s="75"/>
      <c r="C113" s="74"/>
    </row>
    <row r="114">
      <c r="A114" s="68"/>
      <c r="C114" s="14"/>
    </row>
    <row r="115">
      <c r="A115" s="68"/>
      <c r="C115" s="14"/>
    </row>
    <row r="116">
      <c r="A116" s="68"/>
      <c r="C116" s="14"/>
    </row>
  </sheetData>
  <mergeCells count="6">
    <mergeCell ref="B106:C106"/>
    <mergeCell ref="B107:C107"/>
    <mergeCell ref="B109:C109"/>
    <mergeCell ref="B110:C110"/>
    <mergeCell ref="B112:C112"/>
    <mergeCell ref="B113:C113"/>
  </mergeCells>
  <hyperlinks>
    <hyperlink r:id="rId1" ref="A14"/>
  </hyperlin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13"/>
  </cols>
  <sheetData>
    <row r="1">
      <c r="A1" s="4" t="s">
        <v>524</v>
      </c>
      <c r="B1" s="4" t="s">
        <v>525</v>
      </c>
      <c r="C1" s="4" t="s">
        <v>526</v>
      </c>
      <c r="D1" s="4" t="s">
        <v>196</v>
      </c>
      <c r="E1" s="4"/>
      <c r="F1" s="4"/>
      <c r="G1" s="4"/>
    </row>
    <row r="2">
      <c r="A2" s="4" t="s">
        <v>527</v>
      </c>
      <c r="B2" s="4" t="s">
        <v>509</v>
      </c>
      <c r="C2" s="4">
        <v>2019.0</v>
      </c>
      <c r="D2" s="23">
        <v>59976.0</v>
      </c>
      <c r="E2" s="4"/>
      <c r="F2" s="4"/>
      <c r="G2" s="4"/>
    </row>
    <row r="3">
      <c r="A3" s="4" t="s">
        <v>527</v>
      </c>
      <c r="B3" s="4" t="s">
        <v>510</v>
      </c>
      <c r="C3" s="4">
        <v>2019.0</v>
      </c>
      <c r="D3" s="23">
        <v>102671.0</v>
      </c>
      <c r="G3" s="4"/>
    </row>
    <row r="4">
      <c r="A4" s="4" t="s">
        <v>527</v>
      </c>
      <c r="B4" s="4" t="s">
        <v>511</v>
      </c>
      <c r="C4" s="4">
        <v>2019.0</v>
      </c>
      <c r="D4" s="23">
        <v>543783.0</v>
      </c>
      <c r="E4" s="4"/>
      <c r="F4" s="4"/>
      <c r="G4" s="4"/>
    </row>
    <row r="5">
      <c r="A5" s="4" t="s">
        <v>527</v>
      </c>
      <c r="B5" s="4" t="s">
        <v>300</v>
      </c>
      <c r="C5" s="4">
        <v>2019.0</v>
      </c>
      <c r="D5" s="23">
        <v>162643.0</v>
      </c>
      <c r="E5" s="4"/>
      <c r="F5" s="4"/>
      <c r="G5" s="4"/>
    </row>
    <row r="6">
      <c r="A6" s="4" t="s">
        <v>527</v>
      </c>
      <c r="B6" s="4" t="s">
        <v>512</v>
      </c>
      <c r="C6" s="4">
        <v>2019.0</v>
      </c>
      <c r="D6" s="23">
        <v>500750.0</v>
      </c>
      <c r="E6" s="4" t="s">
        <v>528</v>
      </c>
    </row>
    <row r="7">
      <c r="A7" s="4" t="s">
        <v>527</v>
      </c>
      <c r="B7" s="4" t="s">
        <v>513</v>
      </c>
      <c r="C7" s="4">
        <v>2019.0</v>
      </c>
      <c r="D7" s="23">
        <v>91610.0</v>
      </c>
      <c r="E7" s="4"/>
      <c r="F7" s="4"/>
      <c r="G7" s="4"/>
    </row>
    <row r="8">
      <c r="A8" s="4" t="s">
        <v>527</v>
      </c>
      <c r="B8" s="4" t="s">
        <v>514</v>
      </c>
      <c r="C8" s="4">
        <v>2019.0</v>
      </c>
      <c r="D8" s="23">
        <v>75948.0</v>
      </c>
      <c r="E8" s="4"/>
      <c r="F8" s="4"/>
      <c r="G8" s="4"/>
    </row>
    <row r="9">
      <c r="A9" s="4" t="s">
        <v>527</v>
      </c>
      <c r="B9" s="4" t="s">
        <v>515</v>
      </c>
      <c r="C9" s="4">
        <v>2019.0</v>
      </c>
      <c r="D9" s="23">
        <v>150788.0</v>
      </c>
      <c r="E9" s="4"/>
      <c r="F9" s="4"/>
      <c r="G9" s="4"/>
    </row>
    <row r="10">
      <c r="A10" s="4" t="s">
        <v>527</v>
      </c>
      <c r="B10" s="4" t="s">
        <v>516</v>
      </c>
      <c r="C10" s="4">
        <v>2019.0</v>
      </c>
      <c r="D10" s="23">
        <v>185110.0</v>
      </c>
      <c r="F10" s="4"/>
      <c r="G10" s="4"/>
    </row>
    <row r="11">
      <c r="A11" s="4" t="s">
        <v>527</v>
      </c>
      <c r="B11" s="4" t="s">
        <v>517</v>
      </c>
      <c r="C11" s="4">
        <v>2019.0</v>
      </c>
      <c r="D11" s="23">
        <v>272305.0</v>
      </c>
      <c r="E11" s="4" t="s">
        <v>529</v>
      </c>
    </row>
    <row r="12">
      <c r="A12" s="4" t="s">
        <v>527</v>
      </c>
      <c r="B12" s="4" t="s">
        <v>518</v>
      </c>
      <c r="C12" s="4">
        <v>2019.0</v>
      </c>
      <c r="D12" s="23">
        <v>82933.0</v>
      </c>
      <c r="E12" s="4" t="s">
        <v>530</v>
      </c>
    </row>
    <row r="20">
      <c r="A20" s="4" t="s">
        <v>525</v>
      </c>
      <c r="B20" s="4" t="s">
        <v>531</v>
      </c>
      <c r="C20" s="4" t="s">
        <v>532</v>
      </c>
      <c r="D20" s="4" t="s">
        <v>526</v>
      </c>
      <c r="E20" s="4" t="s">
        <v>196</v>
      </c>
      <c r="F20" s="4"/>
      <c r="G20" s="4"/>
      <c r="H20" s="4"/>
    </row>
    <row r="21">
      <c r="A21" s="4" t="s">
        <v>533</v>
      </c>
      <c r="B21" s="4" t="s">
        <v>534</v>
      </c>
      <c r="C21" s="4" t="s">
        <v>535</v>
      </c>
      <c r="D21" s="4">
        <v>2019.0</v>
      </c>
      <c r="E21" s="23">
        <v>4450.0</v>
      </c>
      <c r="F21" s="4"/>
      <c r="G21" s="4"/>
      <c r="H21" s="4"/>
    </row>
    <row r="22">
      <c r="A22" s="4" t="s">
        <v>536</v>
      </c>
      <c r="B22" s="4" t="s">
        <v>537</v>
      </c>
      <c r="C22" s="4" t="s">
        <v>538</v>
      </c>
      <c r="D22" s="4">
        <v>2019.0</v>
      </c>
      <c r="E22" s="23">
        <v>14031.0</v>
      </c>
      <c r="H22" s="4"/>
    </row>
    <row r="23">
      <c r="A23" s="4" t="s">
        <v>539</v>
      </c>
      <c r="B23" s="4" t="s">
        <v>534</v>
      </c>
      <c r="C23" s="4" t="s">
        <v>535</v>
      </c>
      <c r="D23" s="4">
        <v>2019.0</v>
      </c>
      <c r="E23" s="23">
        <v>22557.0</v>
      </c>
      <c r="F23" s="4"/>
      <c r="G23" s="4"/>
      <c r="H23" s="4"/>
    </row>
    <row r="24">
      <c r="A24" s="4" t="s">
        <v>540</v>
      </c>
      <c r="B24" s="4" t="s">
        <v>534</v>
      </c>
      <c r="C24" s="4" t="s">
        <v>535</v>
      </c>
      <c r="D24" s="4">
        <v>2019.0</v>
      </c>
      <c r="E24" s="23">
        <v>13180.0</v>
      </c>
      <c r="F24" s="4"/>
      <c r="G24" s="4"/>
      <c r="H24" s="4"/>
    </row>
    <row r="25">
      <c r="A25" s="4" t="s">
        <v>541</v>
      </c>
      <c r="B25" s="4" t="s">
        <v>542</v>
      </c>
      <c r="C25" s="4" t="s">
        <v>543</v>
      </c>
      <c r="D25" s="4">
        <v>2019.0</v>
      </c>
      <c r="E25" s="23">
        <v>32705.0</v>
      </c>
      <c r="F25" s="4" t="s">
        <v>535</v>
      </c>
    </row>
    <row r="26">
      <c r="A26" s="4" t="s">
        <v>544</v>
      </c>
      <c r="B26" s="4" t="s">
        <v>534</v>
      </c>
      <c r="C26" s="4" t="s">
        <v>535</v>
      </c>
      <c r="D26" s="4">
        <v>2019.0</v>
      </c>
      <c r="E26" s="23">
        <v>13402.0</v>
      </c>
      <c r="F26" s="4"/>
      <c r="G26" s="4"/>
      <c r="H26" s="4"/>
    </row>
    <row r="27">
      <c r="A27" s="4" t="s">
        <v>545</v>
      </c>
      <c r="B27" s="4" t="s">
        <v>534</v>
      </c>
      <c r="C27" s="4" t="s">
        <v>535</v>
      </c>
      <c r="D27" s="4">
        <v>2019.0</v>
      </c>
      <c r="E27" s="23">
        <v>4850.0</v>
      </c>
      <c r="F27" s="4"/>
      <c r="G27" s="4"/>
      <c r="H27" s="4"/>
    </row>
    <row r="28">
      <c r="A28" s="4" t="s">
        <v>546</v>
      </c>
      <c r="B28" s="4" t="s">
        <v>534</v>
      </c>
      <c r="C28" s="4" t="s">
        <v>535</v>
      </c>
      <c r="D28" s="4">
        <v>2019.0</v>
      </c>
      <c r="E28" s="23">
        <v>36543.0</v>
      </c>
      <c r="F28" s="4"/>
      <c r="G28" s="4"/>
      <c r="H28" s="4"/>
    </row>
    <row r="29">
      <c r="A29" s="4" t="s">
        <v>547</v>
      </c>
      <c r="B29" s="4" t="s">
        <v>548</v>
      </c>
      <c r="C29" s="4" t="s">
        <v>534</v>
      </c>
      <c r="D29" s="4">
        <v>2019.0</v>
      </c>
      <c r="E29" s="23">
        <v>15084.0</v>
      </c>
      <c r="G29" s="4"/>
      <c r="H29" s="4"/>
    </row>
    <row r="30">
      <c r="A30" s="4" t="s">
        <v>549</v>
      </c>
      <c r="B30" s="4" t="s">
        <v>550</v>
      </c>
      <c r="C30" s="4" t="s">
        <v>551</v>
      </c>
      <c r="D30" s="4">
        <v>2019.0</v>
      </c>
      <c r="E30" s="23">
        <v>29004.0</v>
      </c>
      <c r="F30" s="4" t="s">
        <v>535</v>
      </c>
    </row>
    <row r="31">
      <c r="A31" s="4" t="s">
        <v>552</v>
      </c>
      <c r="B31" s="4" t="s">
        <v>553</v>
      </c>
      <c r="C31" s="4" t="s">
        <v>554</v>
      </c>
      <c r="D31" s="4">
        <v>2019.0</v>
      </c>
      <c r="E31" s="23">
        <v>5765.0</v>
      </c>
      <c r="F31" s="4" t="s">
        <v>535</v>
      </c>
    </row>
    <row r="35">
      <c r="A35" s="4" t="s">
        <v>555</v>
      </c>
      <c r="B35" s="4"/>
      <c r="C35" s="4"/>
      <c r="D35" s="4"/>
      <c r="E35" s="4"/>
      <c r="F35" s="4"/>
    </row>
    <row r="36">
      <c r="A36" s="4" t="s">
        <v>556</v>
      </c>
      <c r="B36" s="4" t="s">
        <v>557</v>
      </c>
      <c r="C36" s="4" t="s">
        <v>558</v>
      </c>
      <c r="D36" s="4">
        <v>6.0</v>
      </c>
      <c r="E36" s="4"/>
      <c r="F36" s="4"/>
    </row>
    <row r="37">
      <c r="A37" s="4" t="s">
        <v>559</v>
      </c>
      <c r="B37" s="4" t="s">
        <v>560</v>
      </c>
      <c r="C37" s="4" t="s">
        <v>561</v>
      </c>
      <c r="D37" s="4" t="s">
        <v>562</v>
      </c>
      <c r="E37" s="4" t="s">
        <v>563</v>
      </c>
      <c r="F37" s="4">
        <v>9.0</v>
      </c>
    </row>
    <row r="38">
      <c r="A38" s="4" t="s">
        <v>564</v>
      </c>
      <c r="B38" s="4">
        <v>0.0</v>
      </c>
      <c r="C38" s="4"/>
      <c r="D38" s="4"/>
      <c r="E38" s="4"/>
      <c r="F38" s="4"/>
    </row>
    <row r="39">
      <c r="A39" s="4" t="s">
        <v>565</v>
      </c>
      <c r="B39" s="4">
        <v>8.0</v>
      </c>
      <c r="C39" s="4"/>
      <c r="D39" s="4"/>
      <c r="E39" s="4"/>
      <c r="F39" s="4"/>
    </row>
    <row r="40">
      <c r="A40" s="4" t="s">
        <v>566</v>
      </c>
      <c r="B40" s="4">
        <v>8.0</v>
      </c>
      <c r="C40" s="4"/>
      <c r="D40" s="4"/>
      <c r="E40" s="4"/>
      <c r="F40" s="4"/>
    </row>
    <row r="41">
      <c r="A41" s="4" t="s">
        <v>567</v>
      </c>
      <c r="B41" s="4">
        <v>0.0</v>
      </c>
      <c r="C41" s="4"/>
      <c r="D41" s="4"/>
      <c r="E41" s="4"/>
      <c r="F41" s="4"/>
    </row>
    <row r="42">
      <c r="A42" s="4" t="s">
        <v>568</v>
      </c>
      <c r="B42" s="4">
        <v>1.0</v>
      </c>
      <c r="C42" s="4"/>
      <c r="D42" s="4"/>
      <c r="E42" s="4"/>
      <c r="F42" s="4"/>
    </row>
    <row r="43">
      <c r="A43" s="4" t="s">
        <v>569</v>
      </c>
      <c r="B43" s="4">
        <v>6.0</v>
      </c>
      <c r="C43" s="4"/>
      <c r="D43" s="4"/>
      <c r="E43" s="4"/>
      <c r="F43" s="4"/>
    </row>
    <row r="44">
      <c r="A44" s="4" t="s">
        <v>570</v>
      </c>
      <c r="B44" s="4" t="s">
        <v>571</v>
      </c>
      <c r="C44" s="4">
        <v>3.0</v>
      </c>
      <c r="D44" s="4"/>
      <c r="E44" s="4"/>
      <c r="F44" s="4"/>
    </row>
    <row r="45">
      <c r="A45" s="4" t="s">
        <v>572</v>
      </c>
      <c r="B45" s="4">
        <v>8.0</v>
      </c>
      <c r="C45" s="4"/>
      <c r="D45" s="4"/>
      <c r="E45" s="4"/>
      <c r="F45" s="4"/>
    </row>
    <row r="46">
      <c r="A46" s="4" t="s">
        <v>573</v>
      </c>
      <c r="B46" s="4" t="s">
        <v>574</v>
      </c>
      <c r="C46" s="4">
        <v>8.0</v>
      </c>
      <c r="D46" s="4"/>
      <c r="E46" s="4"/>
      <c r="F46" s="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63"/>
    <col customWidth="1" min="6" max="6" width="16.13"/>
    <col customWidth="1" min="8" max="8" width="19.25"/>
    <col customWidth="1" min="9" max="9" width="18.25"/>
    <col customWidth="1" min="10" max="10" width="15.75"/>
    <col customWidth="1" min="11" max="11" width="26.5"/>
  </cols>
  <sheetData>
    <row r="1">
      <c r="A1" s="206" t="s">
        <v>575</v>
      </c>
      <c r="B1" s="206" t="s">
        <v>576</v>
      </c>
      <c r="C1" s="206" t="s">
        <v>577</v>
      </c>
      <c r="D1" s="206" t="s">
        <v>578</v>
      </c>
      <c r="E1" s="206" t="s">
        <v>579</v>
      </c>
      <c r="F1" s="206" t="s">
        <v>580</v>
      </c>
      <c r="G1" s="207" t="s">
        <v>581</v>
      </c>
      <c r="H1" s="207" t="s">
        <v>582</v>
      </c>
      <c r="I1" s="207" t="s">
        <v>583</v>
      </c>
      <c r="J1" s="207" t="s">
        <v>584</v>
      </c>
      <c r="K1" s="207" t="s">
        <v>585</v>
      </c>
    </row>
    <row r="2">
      <c r="A2" s="208">
        <v>1.0</v>
      </c>
      <c r="B2" s="14">
        <v>1030400.0</v>
      </c>
      <c r="C2" s="209">
        <f t="shared" ref="C2:C8" si="1">M2/100</f>
        <v>0.062</v>
      </c>
      <c r="D2" s="209">
        <f t="shared" ref="D2:D8" si="2">B2*C2</f>
        <v>63884.8</v>
      </c>
      <c r="E2" s="210">
        <f t="shared" ref="E2:E8" si="3">B2*A2</f>
        <v>1030400</v>
      </c>
      <c r="F2" s="69">
        <f t="shared" ref="F2:F9" si="4">D2/E2</f>
        <v>0.062</v>
      </c>
      <c r="G2" s="4"/>
      <c r="H2" s="4"/>
      <c r="I2" s="4"/>
      <c r="J2" s="4"/>
      <c r="K2" s="4"/>
      <c r="L2" s="4"/>
      <c r="M2" s="4">
        <v>6.2</v>
      </c>
    </row>
    <row r="3">
      <c r="A3" s="208">
        <v>2.0</v>
      </c>
      <c r="B3" s="14">
        <v>51200.0</v>
      </c>
      <c r="C3" s="209">
        <f t="shared" si="1"/>
        <v>0.062</v>
      </c>
      <c r="D3" s="209">
        <f t="shared" si="2"/>
        <v>3174.4</v>
      </c>
      <c r="E3" s="210">
        <f t="shared" si="3"/>
        <v>102400</v>
      </c>
      <c r="F3" s="69">
        <f t="shared" si="4"/>
        <v>0.031</v>
      </c>
      <c r="G3" s="4"/>
      <c r="H3" s="4"/>
      <c r="I3" s="4"/>
      <c r="J3" s="4"/>
      <c r="K3" s="4"/>
      <c r="L3" s="4"/>
      <c r="M3" s="4">
        <v>6.2</v>
      </c>
    </row>
    <row r="4">
      <c r="A4" s="208">
        <v>5.0</v>
      </c>
      <c r="B4" s="14">
        <v>467200.0</v>
      </c>
      <c r="C4" s="209">
        <f t="shared" si="1"/>
        <v>0.108</v>
      </c>
      <c r="D4" s="209">
        <f t="shared" si="2"/>
        <v>50457.6</v>
      </c>
      <c r="E4" s="210">
        <f t="shared" si="3"/>
        <v>2336000</v>
      </c>
      <c r="F4" s="69">
        <f t="shared" si="4"/>
        <v>0.0216</v>
      </c>
      <c r="G4" s="4"/>
      <c r="H4" s="4"/>
      <c r="I4" s="4"/>
      <c r="J4" s="4"/>
      <c r="K4" s="4"/>
      <c r="L4" s="4"/>
      <c r="M4" s="4">
        <v>10.8</v>
      </c>
    </row>
    <row r="5">
      <c r="A5" s="208">
        <v>10.0</v>
      </c>
      <c r="B5" s="14">
        <v>428800.0</v>
      </c>
      <c r="C5" s="209">
        <f t="shared" si="1"/>
        <v>0.108</v>
      </c>
      <c r="D5" s="209">
        <f t="shared" si="2"/>
        <v>46310.4</v>
      </c>
      <c r="E5" s="210">
        <f t="shared" si="3"/>
        <v>4288000</v>
      </c>
      <c r="F5" s="69">
        <f t="shared" si="4"/>
        <v>0.0108</v>
      </c>
      <c r="G5" s="4"/>
      <c r="H5" s="4"/>
      <c r="I5" s="4"/>
      <c r="J5" s="4"/>
      <c r="K5" s="4"/>
      <c r="L5" s="4"/>
      <c r="M5" s="4">
        <v>10.8</v>
      </c>
    </row>
    <row r="6">
      <c r="A6" s="208">
        <v>20.0</v>
      </c>
      <c r="B6" s="14">
        <v>3968000.0</v>
      </c>
      <c r="C6" s="209">
        <f t="shared" si="1"/>
        <v>0.112</v>
      </c>
      <c r="D6" s="209">
        <f t="shared" si="2"/>
        <v>444416</v>
      </c>
      <c r="E6" s="210">
        <f t="shared" si="3"/>
        <v>79360000</v>
      </c>
      <c r="F6" s="69">
        <f t="shared" si="4"/>
        <v>0.0056</v>
      </c>
      <c r="G6" s="4"/>
      <c r="H6" s="4"/>
      <c r="I6" s="4"/>
      <c r="J6" s="4"/>
      <c r="K6" s="4"/>
      <c r="L6" s="4"/>
      <c r="M6" s="4">
        <v>11.2</v>
      </c>
    </row>
    <row r="7">
      <c r="A7" s="208">
        <v>50.0</v>
      </c>
      <c r="B7" s="14">
        <v>499200.0</v>
      </c>
      <c r="C7" s="209">
        <f t="shared" si="1"/>
        <v>0.11</v>
      </c>
      <c r="D7" s="209">
        <f t="shared" si="2"/>
        <v>54912</v>
      </c>
      <c r="E7" s="210">
        <f t="shared" si="3"/>
        <v>24960000</v>
      </c>
      <c r="F7" s="69">
        <f t="shared" si="4"/>
        <v>0.0022</v>
      </c>
      <c r="G7" s="4"/>
      <c r="H7" s="4"/>
      <c r="I7" s="4"/>
      <c r="J7" s="4"/>
      <c r="K7" s="4"/>
      <c r="L7" s="4"/>
      <c r="M7" s="4">
        <v>11.0</v>
      </c>
    </row>
    <row r="8">
      <c r="A8" s="208">
        <v>100.0</v>
      </c>
      <c r="B8" s="14">
        <v>3196800.0</v>
      </c>
      <c r="C8" s="209">
        <f t="shared" si="1"/>
        <v>0.14</v>
      </c>
      <c r="D8" s="209">
        <f t="shared" si="2"/>
        <v>447552</v>
      </c>
      <c r="E8" s="210">
        <f t="shared" si="3"/>
        <v>319680000</v>
      </c>
      <c r="F8" s="69">
        <f t="shared" si="4"/>
        <v>0.0014</v>
      </c>
      <c r="G8" s="4"/>
      <c r="H8" s="4"/>
      <c r="I8" s="4"/>
      <c r="J8" s="4"/>
      <c r="K8" s="4"/>
      <c r="L8" s="4"/>
      <c r="M8" s="4">
        <v>14.0</v>
      </c>
    </row>
    <row r="9">
      <c r="A9" s="35" t="s">
        <v>161</v>
      </c>
      <c r="B9" s="68">
        <f t="shared" ref="B9:E9" si="5">SUM(B2:B8)</f>
        <v>9641600</v>
      </c>
      <c r="C9" s="209">
        <f t="shared" si="5"/>
        <v>0.702</v>
      </c>
      <c r="D9" s="209">
        <f t="shared" si="5"/>
        <v>1110707.2</v>
      </c>
      <c r="E9" s="210">
        <f t="shared" si="5"/>
        <v>431756800</v>
      </c>
      <c r="F9" s="69">
        <f t="shared" si="4"/>
        <v>0.00257252972</v>
      </c>
      <c r="G9" s="210">
        <f>((N9*1000000)-E9)/1000000</f>
        <v>17235.3432</v>
      </c>
      <c r="H9" s="68">
        <f>(E9/(O9*1000000))*100</f>
        <v>2.50506645</v>
      </c>
      <c r="I9" s="211">
        <v>20936.559</v>
      </c>
      <c r="J9" s="77">
        <f>100*(USA!I52/I9)</f>
        <v>96.94251248</v>
      </c>
      <c r="K9" s="77">
        <f>((((USA!I52*1000000)-E9)/1000000)/I9)*100</f>
        <v>94.88029777</v>
      </c>
      <c r="N9" s="14">
        <v>17667.1</v>
      </c>
      <c r="O9" s="212">
        <f>((N9*1000000)-E9)/1000000</f>
        <v>17235.3432</v>
      </c>
      <c r="P9" s="77">
        <f>(E9/(O9*1000000))*100</f>
        <v>2.50506645</v>
      </c>
    </row>
    <row r="12">
      <c r="A12" s="71" t="s">
        <v>586</v>
      </c>
    </row>
    <row r="13">
      <c r="A13" s="71" t="s">
        <v>587</v>
      </c>
    </row>
    <row r="14">
      <c r="A14" s="71" t="s">
        <v>588</v>
      </c>
      <c r="G14" s="212">
        <f>((N9*1000000)-E9)/1000000</f>
        <v>17235.3432</v>
      </c>
    </row>
    <row r="20">
      <c r="C20" s="35" t="s">
        <v>589</v>
      </c>
      <c r="D20" s="35" t="s">
        <v>590</v>
      </c>
    </row>
    <row r="21">
      <c r="C21" s="203" t="s">
        <v>591</v>
      </c>
      <c r="D21" s="213" t="s">
        <v>592</v>
      </c>
      <c r="E21" s="213" t="s">
        <v>593</v>
      </c>
    </row>
    <row r="22">
      <c r="C22" s="203" t="s">
        <v>594</v>
      </c>
      <c r="D22" s="213" t="s">
        <v>595</v>
      </c>
      <c r="E22" s="213" t="s">
        <v>596</v>
      </c>
    </row>
    <row r="23">
      <c r="C23" s="203" t="s">
        <v>597</v>
      </c>
      <c r="D23" s="213" t="s">
        <v>598</v>
      </c>
      <c r="E23" s="213" t="s">
        <v>599</v>
      </c>
    </row>
    <row r="24">
      <c r="C24" s="203" t="s">
        <v>600</v>
      </c>
      <c r="D24" s="213" t="s">
        <v>601</v>
      </c>
      <c r="E24" s="213" t="s">
        <v>602</v>
      </c>
    </row>
    <row r="25">
      <c r="C25" s="203" t="s">
        <v>603</v>
      </c>
      <c r="D25" s="213" t="s">
        <v>604</v>
      </c>
      <c r="E25" s="213" t="s">
        <v>605</v>
      </c>
    </row>
    <row r="26">
      <c r="C26" s="203" t="s">
        <v>606</v>
      </c>
      <c r="D26" s="213" t="s">
        <v>607</v>
      </c>
      <c r="E26" s="213" t="s">
        <v>608</v>
      </c>
    </row>
    <row r="27">
      <c r="C27" s="203" t="s">
        <v>609</v>
      </c>
      <c r="D27" s="213" t="s">
        <v>610</v>
      </c>
      <c r="E27" s="213" t="s">
        <v>611</v>
      </c>
    </row>
    <row r="28">
      <c r="C28" s="203" t="s">
        <v>196</v>
      </c>
      <c r="D28" s="213" t="s">
        <v>612</v>
      </c>
      <c r="E28" s="213" t="s">
        <v>613</v>
      </c>
    </row>
    <row r="29">
      <c r="I29" s="207" t="s">
        <v>614</v>
      </c>
      <c r="J29" s="207" t="s">
        <v>615</v>
      </c>
      <c r="K29" s="207"/>
    </row>
    <row r="30">
      <c r="I30" s="15" t="s">
        <v>616</v>
      </c>
      <c r="J30" s="77">
        <v>94.88029776826346</v>
      </c>
    </row>
    <row r="31">
      <c r="I31" s="14" t="s">
        <v>617</v>
      </c>
      <c r="J31" s="77">
        <v>96.94251248081484</v>
      </c>
    </row>
    <row r="35">
      <c r="A35" s="35" t="s">
        <v>618</v>
      </c>
      <c r="B35" s="35">
        <v>2012.0</v>
      </c>
      <c r="C35" s="35">
        <v>2013.0</v>
      </c>
      <c r="D35" s="35">
        <v>2014.0</v>
      </c>
      <c r="E35" s="35">
        <v>2015.0</v>
      </c>
      <c r="F35" s="35">
        <v>2016.0</v>
      </c>
      <c r="G35" s="35">
        <v>2017.0</v>
      </c>
      <c r="H35" s="35">
        <v>2018.0</v>
      </c>
      <c r="I35" s="35">
        <v>2019.0</v>
      </c>
      <c r="J35" s="35">
        <v>2020.0</v>
      </c>
      <c r="K35" s="214"/>
    </row>
    <row r="36">
      <c r="A36" s="203" t="s">
        <v>619</v>
      </c>
      <c r="B36" s="203" t="s">
        <v>620</v>
      </c>
      <c r="C36" s="203" t="s">
        <v>621</v>
      </c>
      <c r="D36" s="203" t="s">
        <v>622</v>
      </c>
      <c r="E36" s="203" t="s">
        <v>623</v>
      </c>
      <c r="F36" s="203" t="s">
        <v>624</v>
      </c>
      <c r="G36" s="203" t="s">
        <v>624</v>
      </c>
      <c r="H36" s="203" t="s">
        <v>625</v>
      </c>
      <c r="I36" s="203" t="s">
        <v>626</v>
      </c>
      <c r="J36" s="203" t="s">
        <v>627</v>
      </c>
      <c r="K36" s="203"/>
    </row>
    <row r="37">
      <c r="A37" s="203" t="s">
        <v>628</v>
      </c>
      <c r="B37" s="203">
        <v>134.4</v>
      </c>
      <c r="C37" s="203">
        <v>0.0</v>
      </c>
      <c r="D37" s="203">
        <v>32.0</v>
      </c>
      <c r="E37" s="203">
        <v>32.0</v>
      </c>
      <c r="F37" s="203">
        <v>179.2</v>
      </c>
      <c r="G37" s="203">
        <v>0.0</v>
      </c>
      <c r="H37" s="203">
        <v>0.0</v>
      </c>
      <c r="I37" s="203">
        <v>153.6</v>
      </c>
      <c r="J37" s="203">
        <v>0.0</v>
      </c>
      <c r="K37" s="203"/>
    </row>
    <row r="38">
      <c r="A38" s="203" t="s">
        <v>629</v>
      </c>
      <c r="B38" s="203">
        <v>729.6</v>
      </c>
      <c r="C38" s="203">
        <v>480.0</v>
      </c>
      <c r="D38" s="203">
        <v>563.2</v>
      </c>
      <c r="E38" s="203">
        <v>755.2</v>
      </c>
      <c r="F38" s="203">
        <v>819.2</v>
      </c>
      <c r="G38" s="203">
        <v>915.2</v>
      </c>
      <c r="H38" s="203">
        <v>825.6</v>
      </c>
      <c r="I38" s="203">
        <v>729.6</v>
      </c>
      <c r="J38" s="203">
        <v>467.2</v>
      </c>
      <c r="K38" s="203"/>
    </row>
    <row r="39">
      <c r="A39" s="203" t="s">
        <v>630</v>
      </c>
      <c r="B39" s="203">
        <v>652.8</v>
      </c>
      <c r="C39" s="203">
        <v>313.6</v>
      </c>
      <c r="D39" s="203">
        <v>486.4</v>
      </c>
      <c r="E39" s="203">
        <v>627.2</v>
      </c>
      <c r="F39" s="203">
        <v>480.0</v>
      </c>
      <c r="G39" s="203">
        <v>262.4</v>
      </c>
      <c r="H39" s="203">
        <v>569.6</v>
      </c>
      <c r="I39" s="203">
        <v>339.2</v>
      </c>
      <c r="J39" s="203">
        <v>460.8</v>
      </c>
      <c r="K39" s="203"/>
    </row>
    <row r="40">
      <c r="A40" s="203" t="s">
        <v>631</v>
      </c>
      <c r="B40" s="203" t="s">
        <v>632</v>
      </c>
      <c r="C40" s="203">
        <v>518.4</v>
      </c>
      <c r="D40" s="203" t="s">
        <v>633</v>
      </c>
      <c r="E40" s="203" t="s">
        <v>634</v>
      </c>
      <c r="F40" s="203" t="s">
        <v>635</v>
      </c>
      <c r="G40" s="203" t="s">
        <v>636</v>
      </c>
      <c r="H40" s="203" t="s">
        <v>637</v>
      </c>
      <c r="I40" s="203" t="s">
        <v>638</v>
      </c>
      <c r="J40" s="203" t="s">
        <v>639</v>
      </c>
      <c r="K40" s="203"/>
    </row>
    <row r="41">
      <c r="A41" s="203" t="s">
        <v>640</v>
      </c>
      <c r="B41" s="203">
        <v>246.4</v>
      </c>
      <c r="C41" s="203">
        <v>246.4</v>
      </c>
      <c r="D41" s="203">
        <v>220.8</v>
      </c>
      <c r="E41" s="203">
        <v>220.8</v>
      </c>
      <c r="F41" s="203">
        <v>224.0</v>
      </c>
      <c r="G41" s="203">
        <v>268.8</v>
      </c>
      <c r="H41" s="203">
        <v>364.8</v>
      </c>
      <c r="I41" s="203">
        <v>224.0</v>
      </c>
      <c r="J41" s="203">
        <v>236.8</v>
      </c>
      <c r="K41" s="203"/>
    </row>
    <row r="42">
      <c r="A42" s="203" t="s">
        <v>641</v>
      </c>
      <c r="B42" s="203" t="s">
        <v>642</v>
      </c>
      <c r="C42" s="203">
        <v>892.8</v>
      </c>
      <c r="D42" s="203">
        <v>0.0</v>
      </c>
      <c r="E42" s="203">
        <v>0.0</v>
      </c>
      <c r="F42" s="203">
        <v>0.0</v>
      </c>
      <c r="G42" s="203">
        <v>0.0</v>
      </c>
      <c r="H42" s="203">
        <v>0.0</v>
      </c>
      <c r="I42" s="203">
        <v>0.0</v>
      </c>
      <c r="J42" s="203">
        <v>0.0</v>
      </c>
      <c r="K42" s="203"/>
    </row>
    <row r="43">
      <c r="A43" s="203" t="s">
        <v>643</v>
      </c>
      <c r="B43" s="203" t="s">
        <v>644</v>
      </c>
      <c r="C43" s="203" t="s">
        <v>645</v>
      </c>
      <c r="D43" s="203">
        <v>649.6</v>
      </c>
      <c r="E43" s="203" t="s">
        <v>646</v>
      </c>
      <c r="F43" s="203" t="s">
        <v>647</v>
      </c>
      <c r="G43" s="203" t="s">
        <v>647</v>
      </c>
      <c r="H43" s="203" t="s">
        <v>648</v>
      </c>
      <c r="I43" s="203" t="s">
        <v>649</v>
      </c>
      <c r="J43" s="203" t="s">
        <v>650</v>
      </c>
      <c r="K43" s="203"/>
    </row>
    <row r="48">
      <c r="A48" s="35" t="s">
        <v>618</v>
      </c>
      <c r="B48" s="214" t="s">
        <v>619</v>
      </c>
      <c r="C48" s="214" t="s">
        <v>628</v>
      </c>
      <c r="D48" s="214" t="s">
        <v>629</v>
      </c>
      <c r="E48" s="214" t="s">
        <v>630</v>
      </c>
      <c r="F48" s="214" t="s">
        <v>631</v>
      </c>
      <c r="G48" s="214" t="s">
        <v>640</v>
      </c>
      <c r="H48" s="214" t="s">
        <v>641</v>
      </c>
      <c r="I48" s="214" t="s">
        <v>643</v>
      </c>
      <c r="J48" s="214" t="s">
        <v>161</v>
      </c>
    </row>
    <row r="49">
      <c r="A49" s="35">
        <v>2012.0</v>
      </c>
      <c r="B49" s="215">
        <v>2022400.0</v>
      </c>
      <c r="C49" s="203">
        <v>134.4</v>
      </c>
      <c r="D49" s="203">
        <v>729.6</v>
      </c>
      <c r="E49" s="203">
        <v>652.8</v>
      </c>
      <c r="F49" s="215">
        <v>1568000.0</v>
      </c>
      <c r="G49" s="203">
        <v>246.4</v>
      </c>
      <c r="H49" s="215">
        <v>1926400.0</v>
      </c>
      <c r="I49" s="215">
        <v>1100800.0</v>
      </c>
      <c r="J49" s="25">
        <f t="shared" ref="J49:J57" si="6">SUM(B49:I49)</f>
        <v>6619363.2</v>
      </c>
    </row>
    <row r="50">
      <c r="A50" s="35">
        <v>2013.0</v>
      </c>
      <c r="B50" s="215">
        <v>1792000.0</v>
      </c>
      <c r="C50" s="203">
        <v>0.0</v>
      </c>
      <c r="D50" s="203">
        <v>480.0</v>
      </c>
      <c r="E50" s="203">
        <v>313.6</v>
      </c>
      <c r="F50" s="203">
        <v>518.4</v>
      </c>
      <c r="G50" s="203">
        <v>246.4</v>
      </c>
      <c r="H50" s="203">
        <v>892.8</v>
      </c>
      <c r="I50" s="215">
        <v>2502400.0</v>
      </c>
      <c r="J50" s="25">
        <f t="shared" si="6"/>
        <v>4296851.2</v>
      </c>
    </row>
    <row r="51">
      <c r="A51" s="35">
        <v>2014.0</v>
      </c>
      <c r="B51" s="215">
        <v>2278400.0</v>
      </c>
      <c r="C51" s="203">
        <v>32.0</v>
      </c>
      <c r="D51" s="203">
        <v>563.2</v>
      </c>
      <c r="E51" s="203">
        <v>486.4</v>
      </c>
      <c r="F51" s="215">
        <v>1785600.0</v>
      </c>
      <c r="G51" s="203">
        <v>220.8</v>
      </c>
      <c r="H51" s="203">
        <v>0.0</v>
      </c>
      <c r="I51" s="203">
        <v>649.6</v>
      </c>
      <c r="J51" s="25">
        <f t="shared" si="6"/>
        <v>4065952</v>
      </c>
    </row>
    <row r="52">
      <c r="A52" s="35">
        <v>2015.0</v>
      </c>
      <c r="B52" s="215">
        <v>2451200.0</v>
      </c>
      <c r="C52" s="203">
        <v>32.0</v>
      </c>
      <c r="D52" s="203">
        <v>755.2</v>
      </c>
      <c r="E52" s="203">
        <v>627.2</v>
      </c>
      <c r="F52" s="215">
        <v>1868800.0</v>
      </c>
      <c r="G52" s="203">
        <v>220.8</v>
      </c>
      <c r="H52" s="203">
        <v>0.0</v>
      </c>
      <c r="I52" s="215">
        <v>1276800.0</v>
      </c>
      <c r="J52" s="25">
        <f t="shared" si="6"/>
        <v>5598435.2</v>
      </c>
    </row>
    <row r="53">
      <c r="A53" s="35">
        <v>2016.0</v>
      </c>
      <c r="B53" s="215">
        <v>2425600.0</v>
      </c>
      <c r="C53" s="203">
        <v>179.2</v>
      </c>
      <c r="D53" s="203">
        <v>819.2</v>
      </c>
      <c r="E53" s="203">
        <v>480.0</v>
      </c>
      <c r="F53" s="215">
        <v>1939200.0</v>
      </c>
      <c r="G53" s="203">
        <v>224.0</v>
      </c>
      <c r="H53" s="203">
        <v>0.0</v>
      </c>
      <c r="I53" s="215">
        <v>1516800.0</v>
      </c>
      <c r="J53" s="25">
        <f t="shared" si="6"/>
        <v>5883302.4</v>
      </c>
    </row>
    <row r="54">
      <c r="A54" s="35">
        <v>2017.0</v>
      </c>
      <c r="B54" s="215">
        <v>2425600.0</v>
      </c>
      <c r="C54" s="203">
        <v>0.0</v>
      </c>
      <c r="D54" s="203">
        <v>915.2</v>
      </c>
      <c r="E54" s="203">
        <v>262.4</v>
      </c>
      <c r="F54" s="215">
        <v>1715200.0</v>
      </c>
      <c r="G54" s="203">
        <v>268.8</v>
      </c>
      <c r="H54" s="203">
        <v>0.0</v>
      </c>
      <c r="I54" s="215">
        <v>1516800.0</v>
      </c>
      <c r="J54" s="25">
        <f t="shared" si="6"/>
        <v>5659046.4</v>
      </c>
    </row>
    <row r="55">
      <c r="A55" s="35">
        <v>2018.0</v>
      </c>
      <c r="B55" s="215">
        <v>2169600.0</v>
      </c>
      <c r="C55" s="203">
        <v>0.0</v>
      </c>
      <c r="D55" s="203">
        <v>825.6</v>
      </c>
      <c r="E55" s="203">
        <v>569.6</v>
      </c>
      <c r="F55" s="215">
        <v>1804800.0</v>
      </c>
      <c r="G55" s="203">
        <v>364.8</v>
      </c>
      <c r="H55" s="203">
        <v>0.0</v>
      </c>
      <c r="I55" s="215">
        <v>1670400.0</v>
      </c>
      <c r="J55" s="25">
        <f t="shared" si="6"/>
        <v>5646560</v>
      </c>
    </row>
    <row r="56">
      <c r="A56" s="35">
        <v>2019.0</v>
      </c>
      <c r="B56" s="215">
        <v>2118400.0</v>
      </c>
      <c r="C56" s="203">
        <v>153.6</v>
      </c>
      <c r="D56" s="203">
        <v>729.6</v>
      </c>
      <c r="E56" s="203">
        <v>339.2</v>
      </c>
      <c r="F56" s="215">
        <v>1324800.0</v>
      </c>
      <c r="G56" s="203">
        <v>224.0</v>
      </c>
      <c r="H56" s="203">
        <v>0.0</v>
      </c>
      <c r="I56" s="215">
        <v>1411200.0</v>
      </c>
      <c r="J56" s="25">
        <f t="shared" si="6"/>
        <v>4855846.4</v>
      </c>
    </row>
    <row r="57">
      <c r="A57" s="35">
        <v>2020.0</v>
      </c>
      <c r="B57" s="215">
        <v>1574400.0</v>
      </c>
      <c r="C57" s="203">
        <v>0.0</v>
      </c>
      <c r="D57" s="203">
        <v>467.2</v>
      </c>
      <c r="E57" s="203">
        <v>460.8</v>
      </c>
      <c r="F57" s="215">
        <v>1721600.0</v>
      </c>
      <c r="G57" s="203">
        <v>236.8</v>
      </c>
      <c r="H57" s="203">
        <v>0.0</v>
      </c>
      <c r="I57" s="215">
        <v>1334400.0</v>
      </c>
      <c r="J57" s="25">
        <f t="shared" si="6"/>
        <v>4631564.8</v>
      </c>
    </row>
    <row r="80">
      <c r="A80" s="35" t="s">
        <v>651</v>
      </c>
      <c r="B80" s="214">
        <v>1.0</v>
      </c>
      <c r="C80" s="214">
        <v>2.0</v>
      </c>
      <c r="D80" s="214">
        <v>5.0</v>
      </c>
      <c r="E80" s="214">
        <v>10.0</v>
      </c>
      <c r="F80" s="214">
        <v>20.0</v>
      </c>
      <c r="G80" s="214">
        <v>50.0</v>
      </c>
      <c r="H80" s="214">
        <v>100.0</v>
      </c>
      <c r="I80" s="214" t="s">
        <v>161</v>
      </c>
    </row>
    <row r="81">
      <c r="A81" s="35">
        <v>2012.0</v>
      </c>
      <c r="B81" s="216">
        <f t="shared" ref="B81:G81" si="7">B49*B$80</f>
        <v>2022400</v>
      </c>
      <c r="C81" s="216">
        <f t="shared" si="7"/>
        <v>268.8</v>
      </c>
      <c r="D81" s="216">
        <f t="shared" si="7"/>
        <v>3648</v>
      </c>
      <c r="E81" s="216">
        <f t="shared" si="7"/>
        <v>6528</v>
      </c>
      <c r="F81" s="216">
        <f t="shared" si="7"/>
        <v>31360000</v>
      </c>
      <c r="G81" s="216">
        <f t="shared" si="7"/>
        <v>12320</v>
      </c>
      <c r="H81" s="216">
        <f t="shared" ref="H81:H89" si="9">I49*H$80</f>
        <v>110080000</v>
      </c>
      <c r="I81" s="216">
        <f t="shared" ref="I81:I89" si="10">SUM(B81:H81)/1000000</f>
        <v>143.4851648</v>
      </c>
    </row>
    <row r="82">
      <c r="A82" s="35">
        <v>2013.0</v>
      </c>
      <c r="B82" s="216">
        <f t="shared" ref="B82:G82" si="8">B50*B$80</f>
        <v>1792000</v>
      </c>
      <c r="C82" s="216">
        <f t="shared" si="8"/>
        <v>0</v>
      </c>
      <c r="D82" s="216">
        <f t="shared" si="8"/>
        <v>2400</v>
      </c>
      <c r="E82" s="216">
        <f t="shared" si="8"/>
        <v>3136</v>
      </c>
      <c r="F82" s="216">
        <f t="shared" si="8"/>
        <v>10368</v>
      </c>
      <c r="G82" s="216">
        <f t="shared" si="8"/>
        <v>12320</v>
      </c>
      <c r="H82" s="216">
        <f t="shared" si="9"/>
        <v>250240000</v>
      </c>
      <c r="I82" s="216">
        <f t="shared" si="10"/>
        <v>252.060224</v>
      </c>
    </row>
    <row r="83">
      <c r="A83" s="35">
        <v>2014.0</v>
      </c>
      <c r="B83" s="216">
        <f t="shared" ref="B83:G83" si="11">B51*B$80</f>
        <v>2278400</v>
      </c>
      <c r="C83" s="216">
        <f t="shared" si="11"/>
        <v>64</v>
      </c>
      <c r="D83" s="216">
        <f t="shared" si="11"/>
        <v>2816</v>
      </c>
      <c r="E83" s="216">
        <f t="shared" si="11"/>
        <v>4864</v>
      </c>
      <c r="F83" s="216">
        <f t="shared" si="11"/>
        <v>35712000</v>
      </c>
      <c r="G83" s="216">
        <f t="shared" si="11"/>
        <v>11040</v>
      </c>
      <c r="H83" s="216">
        <f t="shared" si="9"/>
        <v>64960</v>
      </c>
      <c r="I83" s="216">
        <f t="shared" si="10"/>
        <v>38.074144</v>
      </c>
    </row>
    <row r="84">
      <c r="A84" s="35">
        <v>2015.0</v>
      </c>
      <c r="B84" s="216">
        <f t="shared" ref="B84:G84" si="12">B52*B$80</f>
        <v>2451200</v>
      </c>
      <c r="C84" s="216">
        <f t="shared" si="12"/>
        <v>64</v>
      </c>
      <c r="D84" s="216">
        <f t="shared" si="12"/>
        <v>3776</v>
      </c>
      <c r="E84" s="216">
        <f t="shared" si="12"/>
        <v>6272</v>
      </c>
      <c r="F84" s="216">
        <f t="shared" si="12"/>
        <v>37376000</v>
      </c>
      <c r="G84" s="216">
        <f t="shared" si="12"/>
        <v>11040</v>
      </c>
      <c r="H84" s="216">
        <f t="shared" si="9"/>
        <v>127680000</v>
      </c>
      <c r="I84" s="216">
        <f t="shared" si="10"/>
        <v>167.528352</v>
      </c>
    </row>
    <row r="85">
      <c r="A85" s="35">
        <v>2016.0</v>
      </c>
      <c r="B85" s="216">
        <f t="shared" ref="B85:G85" si="13">B53*B$80</f>
        <v>2425600</v>
      </c>
      <c r="C85" s="216">
        <f t="shared" si="13"/>
        <v>358.4</v>
      </c>
      <c r="D85" s="216">
        <f t="shared" si="13"/>
        <v>4096</v>
      </c>
      <c r="E85" s="216">
        <f t="shared" si="13"/>
        <v>4800</v>
      </c>
      <c r="F85" s="216">
        <f t="shared" si="13"/>
        <v>38784000</v>
      </c>
      <c r="G85" s="216">
        <f t="shared" si="13"/>
        <v>11200</v>
      </c>
      <c r="H85" s="216">
        <f t="shared" si="9"/>
        <v>151680000</v>
      </c>
      <c r="I85" s="216">
        <f t="shared" si="10"/>
        <v>192.9100544</v>
      </c>
    </row>
    <row r="86">
      <c r="A86" s="35">
        <v>2017.0</v>
      </c>
      <c r="B86" s="216">
        <f t="shared" ref="B86:G86" si="14">B54*B$80</f>
        <v>2425600</v>
      </c>
      <c r="C86" s="216">
        <f t="shared" si="14"/>
        <v>0</v>
      </c>
      <c r="D86" s="216">
        <f t="shared" si="14"/>
        <v>4576</v>
      </c>
      <c r="E86" s="216">
        <f t="shared" si="14"/>
        <v>2624</v>
      </c>
      <c r="F86" s="216">
        <f t="shared" si="14"/>
        <v>34304000</v>
      </c>
      <c r="G86" s="216">
        <f t="shared" si="14"/>
        <v>13440</v>
      </c>
      <c r="H86" s="216">
        <f t="shared" si="9"/>
        <v>151680000</v>
      </c>
      <c r="I86" s="216">
        <f t="shared" si="10"/>
        <v>188.43024</v>
      </c>
    </row>
    <row r="87">
      <c r="A87" s="35">
        <v>2018.0</v>
      </c>
      <c r="B87" s="216">
        <f t="shared" ref="B87:G87" si="15">B55*B$80</f>
        <v>2169600</v>
      </c>
      <c r="C87" s="216">
        <f t="shared" si="15"/>
        <v>0</v>
      </c>
      <c r="D87" s="216">
        <f t="shared" si="15"/>
        <v>4128</v>
      </c>
      <c r="E87" s="216">
        <f t="shared" si="15"/>
        <v>5696</v>
      </c>
      <c r="F87" s="216">
        <f t="shared" si="15"/>
        <v>36096000</v>
      </c>
      <c r="G87" s="216">
        <f t="shared" si="15"/>
        <v>18240</v>
      </c>
      <c r="H87" s="216">
        <f t="shared" si="9"/>
        <v>167040000</v>
      </c>
      <c r="I87" s="216">
        <f t="shared" si="10"/>
        <v>205.333664</v>
      </c>
    </row>
    <row r="88">
      <c r="A88" s="35">
        <v>2019.0</v>
      </c>
      <c r="B88" s="216">
        <f t="shared" ref="B88:G88" si="16">B56*B$80</f>
        <v>2118400</v>
      </c>
      <c r="C88" s="216">
        <f t="shared" si="16"/>
        <v>307.2</v>
      </c>
      <c r="D88" s="216">
        <f t="shared" si="16"/>
        <v>3648</v>
      </c>
      <c r="E88" s="216">
        <f t="shared" si="16"/>
        <v>3392</v>
      </c>
      <c r="F88" s="216">
        <f t="shared" si="16"/>
        <v>26496000</v>
      </c>
      <c r="G88" s="216">
        <f t="shared" si="16"/>
        <v>11200</v>
      </c>
      <c r="H88" s="216">
        <f t="shared" si="9"/>
        <v>141120000</v>
      </c>
      <c r="I88" s="216">
        <f t="shared" si="10"/>
        <v>169.7529472</v>
      </c>
    </row>
    <row r="89">
      <c r="A89" s="35">
        <v>2020.0</v>
      </c>
      <c r="B89" s="216">
        <f t="shared" ref="B89:G89" si="17">B57*B$80</f>
        <v>1574400</v>
      </c>
      <c r="C89" s="216">
        <f t="shared" si="17"/>
        <v>0</v>
      </c>
      <c r="D89" s="216">
        <f t="shared" si="17"/>
        <v>2336</v>
      </c>
      <c r="E89" s="216">
        <f t="shared" si="17"/>
        <v>4608</v>
      </c>
      <c r="F89" s="216">
        <f t="shared" si="17"/>
        <v>34432000</v>
      </c>
      <c r="G89" s="216">
        <f t="shared" si="17"/>
        <v>11840</v>
      </c>
      <c r="H89" s="216">
        <f t="shared" si="9"/>
        <v>133440000</v>
      </c>
      <c r="I89" s="216">
        <f t="shared" si="10"/>
        <v>169.465184</v>
      </c>
    </row>
    <row r="92">
      <c r="A92" s="35" t="s">
        <v>651</v>
      </c>
      <c r="B92" s="19" t="s">
        <v>652</v>
      </c>
    </row>
    <row r="93">
      <c r="A93" s="35">
        <v>2013.0</v>
      </c>
      <c r="B93" s="216">
        <v>252.060224</v>
      </c>
    </row>
    <row r="94">
      <c r="A94" s="35">
        <v>2014.0</v>
      </c>
      <c r="B94" s="216">
        <v>38.074144</v>
      </c>
    </row>
    <row r="95">
      <c r="A95" s="35">
        <v>2015.0</v>
      </c>
      <c r="B95" s="216">
        <v>167.528352</v>
      </c>
    </row>
    <row r="96">
      <c r="A96" s="35">
        <v>2016.0</v>
      </c>
      <c r="B96" s="216">
        <v>192.9100544</v>
      </c>
    </row>
    <row r="97">
      <c r="A97" s="35">
        <v>2017.0</v>
      </c>
      <c r="B97" s="216">
        <v>188.43024</v>
      </c>
    </row>
    <row r="98">
      <c r="A98" s="35">
        <v>2018.0</v>
      </c>
      <c r="B98" s="216">
        <v>205.333664</v>
      </c>
    </row>
    <row r="99">
      <c r="A99" s="35">
        <v>2019.0</v>
      </c>
      <c r="B99" s="216">
        <v>169.7529472</v>
      </c>
    </row>
    <row r="100">
      <c r="A100" s="35">
        <v>2020.0</v>
      </c>
      <c r="B100" s="216">
        <v>169.465184</v>
      </c>
    </row>
  </sheetData>
  <hyperlinks>
    <hyperlink r:id="rId1" ref="A12"/>
    <hyperlink r:id="rId2" ref="A13"/>
    <hyperlink r:id="rId3" ref="A14"/>
  </hyperlinks>
  <drawing r:id="rId4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7" t="s">
        <v>653</v>
      </c>
      <c r="B1" s="217" t="s">
        <v>654</v>
      </c>
      <c r="C1" s="217" t="s">
        <v>655</v>
      </c>
      <c r="D1" s="217" t="s">
        <v>656</v>
      </c>
      <c r="E1" s="217" t="s">
        <v>657</v>
      </c>
      <c r="F1" s="217" t="s">
        <v>658</v>
      </c>
      <c r="G1" s="217" t="s">
        <v>579</v>
      </c>
      <c r="H1" s="217" t="s">
        <v>659</v>
      </c>
    </row>
    <row r="2">
      <c r="A2" s="217" t="s">
        <v>660</v>
      </c>
      <c r="B2" s="217" t="s">
        <v>661</v>
      </c>
      <c r="C2" s="217" t="s">
        <v>662</v>
      </c>
      <c r="D2" s="217" t="s">
        <v>663</v>
      </c>
      <c r="E2" s="217" t="s">
        <v>664</v>
      </c>
      <c r="F2" s="217">
        <v>1970.0</v>
      </c>
      <c r="G2" s="109">
        <v>33.66589</v>
      </c>
      <c r="H2" s="217" t="s">
        <v>665</v>
      </c>
    </row>
    <row r="3">
      <c r="A3" s="217" t="s">
        <v>660</v>
      </c>
      <c r="B3" s="217" t="s">
        <v>661</v>
      </c>
      <c r="C3" s="217" t="s">
        <v>662</v>
      </c>
      <c r="D3" s="217" t="s">
        <v>663</v>
      </c>
      <c r="E3" s="217" t="s">
        <v>664</v>
      </c>
      <c r="F3" s="217">
        <v>1971.0</v>
      </c>
      <c r="G3" s="109">
        <v>34.928394</v>
      </c>
      <c r="H3" s="217" t="s">
        <v>665</v>
      </c>
    </row>
    <row r="4">
      <c r="A4" s="217" t="s">
        <v>660</v>
      </c>
      <c r="B4" s="217" t="s">
        <v>661</v>
      </c>
      <c r="C4" s="217" t="s">
        <v>662</v>
      </c>
      <c r="D4" s="217" t="s">
        <v>663</v>
      </c>
      <c r="E4" s="217" t="s">
        <v>664</v>
      </c>
      <c r="F4" s="217">
        <v>1972.0</v>
      </c>
      <c r="G4" s="109">
        <v>35.777923</v>
      </c>
      <c r="H4" s="217" t="s">
        <v>665</v>
      </c>
    </row>
    <row r="5">
      <c r="A5" s="217" t="s">
        <v>660</v>
      </c>
      <c r="B5" s="217" t="s">
        <v>661</v>
      </c>
      <c r="C5" s="217" t="s">
        <v>662</v>
      </c>
      <c r="D5" s="217" t="s">
        <v>663</v>
      </c>
      <c r="E5" s="217" t="s">
        <v>664</v>
      </c>
      <c r="F5" s="217">
        <v>1973.0</v>
      </c>
      <c r="G5" s="109">
        <v>36.627119</v>
      </c>
      <c r="H5" s="217" t="s">
        <v>665</v>
      </c>
    </row>
    <row r="6">
      <c r="A6" s="217" t="s">
        <v>660</v>
      </c>
      <c r="B6" s="217" t="s">
        <v>661</v>
      </c>
      <c r="C6" s="217" t="s">
        <v>662</v>
      </c>
      <c r="D6" s="217" t="s">
        <v>663</v>
      </c>
      <c r="E6" s="217" t="s">
        <v>664</v>
      </c>
      <c r="F6" s="217">
        <v>1974.0</v>
      </c>
      <c r="G6" s="109">
        <v>36.296677</v>
      </c>
      <c r="H6" s="217" t="s">
        <v>665</v>
      </c>
    </row>
    <row r="7">
      <c r="A7" s="217" t="s">
        <v>660</v>
      </c>
      <c r="B7" s="217" t="s">
        <v>661</v>
      </c>
      <c r="C7" s="217" t="s">
        <v>662</v>
      </c>
      <c r="D7" s="217" t="s">
        <v>663</v>
      </c>
      <c r="E7" s="217" t="s">
        <v>664</v>
      </c>
      <c r="F7" s="217">
        <v>1975.0</v>
      </c>
      <c r="G7" s="109">
        <v>37.290386</v>
      </c>
      <c r="H7" s="217" t="s">
        <v>665</v>
      </c>
    </row>
    <row r="8">
      <c r="A8" s="217" t="s">
        <v>660</v>
      </c>
      <c r="B8" s="217" t="s">
        <v>661</v>
      </c>
      <c r="C8" s="217" t="s">
        <v>662</v>
      </c>
      <c r="D8" s="217" t="s">
        <v>663</v>
      </c>
      <c r="E8" s="217" t="s">
        <v>664</v>
      </c>
      <c r="F8" s="217">
        <v>1976.0</v>
      </c>
      <c r="G8" s="109">
        <v>38.193834</v>
      </c>
      <c r="H8" s="217" t="s">
        <v>665</v>
      </c>
    </row>
    <row r="9">
      <c r="A9" s="217" t="s">
        <v>660</v>
      </c>
      <c r="B9" s="217" t="s">
        <v>661</v>
      </c>
      <c r="C9" s="217" t="s">
        <v>662</v>
      </c>
      <c r="D9" s="217" t="s">
        <v>663</v>
      </c>
      <c r="E9" s="217" t="s">
        <v>664</v>
      </c>
      <c r="F9" s="217">
        <v>1977.0</v>
      </c>
      <c r="G9" s="109">
        <v>38.601344</v>
      </c>
      <c r="H9" s="217" t="s">
        <v>665</v>
      </c>
    </row>
    <row r="10">
      <c r="A10" s="217" t="s">
        <v>660</v>
      </c>
      <c r="B10" s="217" t="s">
        <v>661</v>
      </c>
      <c r="C10" s="217" t="s">
        <v>662</v>
      </c>
      <c r="D10" s="217" t="s">
        <v>663</v>
      </c>
      <c r="E10" s="217" t="s">
        <v>664</v>
      </c>
      <c r="F10" s="217">
        <v>1978.0</v>
      </c>
      <c r="G10" s="109">
        <v>38.907074</v>
      </c>
      <c r="H10" s="217" t="s">
        <v>665</v>
      </c>
    </row>
    <row r="11">
      <c r="A11" s="217" t="s">
        <v>660</v>
      </c>
      <c r="B11" s="217" t="s">
        <v>661</v>
      </c>
      <c r="C11" s="217" t="s">
        <v>662</v>
      </c>
      <c r="D11" s="217" t="s">
        <v>663</v>
      </c>
      <c r="E11" s="217" t="s">
        <v>664</v>
      </c>
      <c r="F11" s="217">
        <v>1979.0</v>
      </c>
      <c r="G11" s="109">
        <v>39.081326</v>
      </c>
      <c r="H11" s="217" t="s">
        <v>665</v>
      </c>
    </row>
    <row r="12">
      <c r="A12" s="217" t="s">
        <v>660</v>
      </c>
      <c r="B12" s="217" t="s">
        <v>661</v>
      </c>
      <c r="C12" s="217" t="s">
        <v>662</v>
      </c>
      <c r="D12" s="217" t="s">
        <v>663</v>
      </c>
      <c r="E12" s="217" t="s">
        <v>664</v>
      </c>
      <c r="F12" s="217">
        <v>1980.0</v>
      </c>
      <c r="G12" s="109">
        <v>39.089232</v>
      </c>
      <c r="H12" s="217" t="s">
        <v>665</v>
      </c>
    </row>
    <row r="13">
      <c r="A13" s="217" t="s">
        <v>660</v>
      </c>
      <c r="B13" s="217" t="s">
        <v>661</v>
      </c>
      <c r="C13" s="217" t="s">
        <v>662</v>
      </c>
      <c r="D13" s="217" t="s">
        <v>663</v>
      </c>
      <c r="E13" s="217" t="s">
        <v>664</v>
      </c>
      <c r="F13" s="217">
        <v>1981.0</v>
      </c>
      <c r="G13" s="109">
        <v>39.996005</v>
      </c>
      <c r="H13" s="217" t="s">
        <v>665</v>
      </c>
    </row>
    <row r="14">
      <c r="A14" s="217" t="s">
        <v>660</v>
      </c>
      <c r="B14" s="217" t="s">
        <v>661</v>
      </c>
      <c r="C14" s="217" t="s">
        <v>662</v>
      </c>
      <c r="D14" s="217" t="s">
        <v>663</v>
      </c>
      <c r="E14" s="217" t="s">
        <v>664</v>
      </c>
      <c r="F14" s="217">
        <v>1982.0</v>
      </c>
      <c r="G14" s="109">
        <v>39.867512</v>
      </c>
      <c r="H14" s="217" t="s">
        <v>665</v>
      </c>
    </row>
    <row r="15">
      <c r="A15" s="217" t="s">
        <v>660</v>
      </c>
      <c r="B15" s="217" t="s">
        <v>661</v>
      </c>
      <c r="C15" s="217" t="s">
        <v>662</v>
      </c>
      <c r="D15" s="217" t="s">
        <v>663</v>
      </c>
      <c r="E15" s="217" t="s">
        <v>664</v>
      </c>
      <c r="F15" s="217">
        <v>1983.0</v>
      </c>
      <c r="G15" s="109">
        <v>40.958432</v>
      </c>
      <c r="H15" s="217" t="s">
        <v>665</v>
      </c>
    </row>
    <row r="16">
      <c r="A16" s="217" t="s">
        <v>660</v>
      </c>
      <c r="B16" s="217" t="s">
        <v>661</v>
      </c>
      <c r="C16" s="217" t="s">
        <v>662</v>
      </c>
      <c r="D16" s="217" t="s">
        <v>663</v>
      </c>
      <c r="E16" s="217" t="s">
        <v>664</v>
      </c>
      <c r="F16" s="217">
        <v>1984.0</v>
      </c>
      <c r="G16" s="109">
        <v>41.8123</v>
      </c>
      <c r="H16" s="217" t="s">
        <v>665</v>
      </c>
    </row>
    <row r="17">
      <c r="A17" s="217" t="s">
        <v>660</v>
      </c>
      <c r="B17" s="217" t="s">
        <v>661</v>
      </c>
      <c r="C17" s="217" t="s">
        <v>662</v>
      </c>
      <c r="D17" s="217" t="s">
        <v>663</v>
      </c>
      <c r="E17" s="217" t="s">
        <v>664</v>
      </c>
      <c r="F17" s="217">
        <v>1985.0</v>
      </c>
      <c r="G17" s="109">
        <v>42.581209</v>
      </c>
      <c r="H17" s="217" t="s">
        <v>665</v>
      </c>
    </row>
    <row r="18">
      <c r="A18" s="217" t="s">
        <v>660</v>
      </c>
      <c r="B18" s="217" t="s">
        <v>661</v>
      </c>
      <c r="C18" s="217" t="s">
        <v>662</v>
      </c>
      <c r="D18" s="217" t="s">
        <v>663</v>
      </c>
      <c r="E18" s="217" t="s">
        <v>664</v>
      </c>
      <c r="F18" s="217">
        <v>1986.0</v>
      </c>
      <c r="G18" s="109">
        <v>43.54441</v>
      </c>
      <c r="H18" s="217" t="s">
        <v>665</v>
      </c>
    </row>
    <row r="19">
      <c r="A19" s="217" t="s">
        <v>660</v>
      </c>
      <c r="B19" s="217" t="s">
        <v>661</v>
      </c>
      <c r="C19" s="217" t="s">
        <v>662</v>
      </c>
      <c r="D19" s="217" t="s">
        <v>663</v>
      </c>
      <c r="E19" s="217" t="s">
        <v>664</v>
      </c>
      <c r="F19" s="217">
        <v>1987.0</v>
      </c>
      <c r="G19" s="109">
        <v>43.860988</v>
      </c>
      <c r="H19" s="217" t="s">
        <v>665</v>
      </c>
    </row>
    <row r="20">
      <c r="A20" s="217" t="s">
        <v>660</v>
      </c>
      <c r="B20" s="217" t="s">
        <v>661</v>
      </c>
      <c r="C20" s="217" t="s">
        <v>662</v>
      </c>
      <c r="D20" s="217" t="s">
        <v>663</v>
      </c>
      <c r="E20" s="217" t="s">
        <v>664</v>
      </c>
      <c r="F20" s="217">
        <v>1988.0</v>
      </c>
      <c r="G20" s="109">
        <v>44.36805</v>
      </c>
      <c r="H20" s="217" t="s">
        <v>665</v>
      </c>
    </row>
    <row r="21">
      <c r="A21" s="217" t="s">
        <v>660</v>
      </c>
      <c r="B21" s="217" t="s">
        <v>661</v>
      </c>
      <c r="C21" s="217" t="s">
        <v>662</v>
      </c>
      <c r="D21" s="217" t="s">
        <v>663</v>
      </c>
      <c r="E21" s="217" t="s">
        <v>664</v>
      </c>
      <c r="F21" s="217">
        <v>1989.0</v>
      </c>
      <c r="G21" s="109">
        <v>44.758944</v>
      </c>
      <c r="H21" s="217" t="s">
        <v>665</v>
      </c>
    </row>
    <row r="22">
      <c r="A22" s="217" t="s">
        <v>660</v>
      </c>
      <c r="B22" s="217" t="s">
        <v>661</v>
      </c>
      <c r="C22" s="217" t="s">
        <v>662</v>
      </c>
      <c r="D22" s="217" t="s">
        <v>663</v>
      </c>
      <c r="E22" s="217" t="s">
        <v>664</v>
      </c>
      <c r="F22" s="217">
        <v>1990.0</v>
      </c>
      <c r="G22" s="109">
        <v>45.525382</v>
      </c>
      <c r="H22" s="217" t="s">
        <v>665</v>
      </c>
    </row>
    <row r="23">
      <c r="A23" s="217" t="s">
        <v>660</v>
      </c>
      <c r="B23" s="217" t="s">
        <v>661</v>
      </c>
      <c r="C23" s="217" t="s">
        <v>662</v>
      </c>
      <c r="D23" s="217" t="s">
        <v>663</v>
      </c>
      <c r="E23" s="217" t="s">
        <v>664</v>
      </c>
      <c r="F23" s="217">
        <v>1991.0</v>
      </c>
      <c r="G23" s="109">
        <v>46.121816</v>
      </c>
      <c r="H23" s="217" t="s">
        <v>665</v>
      </c>
    </row>
    <row r="24">
      <c r="A24" s="217" t="s">
        <v>660</v>
      </c>
      <c r="B24" s="217" t="s">
        <v>661</v>
      </c>
      <c r="C24" s="217" t="s">
        <v>662</v>
      </c>
      <c r="D24" s="217" t="s">
        <v>663</v>
      </c>
      <c r="E24" s="217" t="s">
        <v>664</v>
      </c>
      <c r="F24" s="217">
        <v>1992.0</v>
      </c>
      <c r="G24" s="109">
        <v>47.706207</v>
      </c>
      <c r="H24" s="217" t="s">
        <v>665</v>
      </c>
    </row>
    <row r="25">
      <c r="A25" s="217" t="s">
        <v>660</v>
      </c>
      <c r="B25" s="217" t="s">
        <v>661</v>
      </c>
      <c r="C25" s="217" t="s">
        <v>662</v>
      </c>
      <c r="D25" s="217" t="s">
        <v>663</v>
      </c>
      <c r="E25" s="217" t="s">
        <v>664</v>
      </c>
      <c r="F25" s="217">
        <v>1993.0</v>
      </c>
      <c r="G25" s="109">
        <v>47.888337</v>
      </c>
      <c r="H25" s="217" t="s">
        <v>665</v>
      </c>
    </row>
    <row r="26">
      <c r="A26" s="217" t="s">
        <v>660</v>
      </c>
      <c r="B26" s="217" t="s">
        <v>661</v>
      </c>
      <c r="C26" s="217" t="s">
        <v>662</v>
      </c>
      <c r="D26" s="217" t="s">
        <v>663</v>
      </c>
      <c r="E26" s="217" t="s">
        <v>664</v>
      </c>
      <c r="F26" s="217">
        <v>1994.0</v>
      </c>
      <c r="G26" s="109">
        <v>48.294025</v>
      </c>
      <c r="H26" s="217" t="s">
        <v>665</v>
      </c>
    </row>
    <row r="27">
      <c r="A27" s="217" t="s">
        <v>660</v>
      </c>
      <c r="B27" s="217" t="s">
        <v>661</v>
      </c>
      <c r="C27" s="217" t="s">
        <v>662</v>
      </c>
      <c r="D27" s="217" t="s">
        <v>663</v>
      </c>
      <c r="E27" s="217" t="s">
        <v>664</v>
      </c>
      <c r="F27" s="217">
        <v>1995.0</v>
      </c>
      <c r="G27" s="109">
        <v>48.400317</v>
      </c>
      <c r="H27" s="217" t="s">
        <v>665</v>
      </c>
    </row>
    <row r="28">
      <c r="A28" s="217" t="s">
        <v>660</v>
      </c>
      <c r="B28" s="217" t="s">
        <v>661</v>
      </c>
      <c r="C28" s="217" t="s">
        <v>662</v>
      </c>
      <c r="D28" s="217" t="s">
        <v>663</v>
      </c>
      <c r="E28" s="217" t="s">
        <v>664</v>
      </c>
      <c r="F28" s="217">
        <v>1996.0</v>
      </c>
      <c r="G28" s="109">
        <v>49.603549</v>
      </c>
      <c r="H28" s="217" t="s">
        <v>665</v>
      </c>
    </row>
    <row r="29">
      <c r="A29" s="217" t="s">
        <v>660</v>
      </c>
      <c r="B29" s="217" t="s">
        <v>661</v>
      </c>
      <c r="C29" s="217" t="s">
        <v>662</v>
      </c>
      <c r="D29" s="217" t="s">
        <v>663</v>
      </c>
      <c r="E29" s="217" t="s">
        <v>664</v>
      </c>
      <c r="F29" s="217">
        <v>1997.0</v>
      </c>
      <c r="G29" s="109">
        <v>50.322583</v>
      </c>
      <c r="H29" s="217" t="s">
        <v>665</v>
      </c>
    </row>
    <row r="30">
      <c r="A30" s="217" t="s">
        <v>660</v>
      </c>
      <c r="B30" s="217" t="s">
        <v>661</v>
      </c>
      <c r="C30" s="217" t="s">
        <v>662</v>
      </c>
      <c r="D30" s="217" t="s">
        <v>663</v>
      </c>
      <c r="E30" s="217" t="s">
        <v>664</v>
      </c>
      <c r="F30" s="217">
        <v>1998.0</v>
      </c>
      <c r="G30" s="109">
        <v>51.454705</v>
      </c>
      <c r="H30" s="217" t="s">
        <v>665</v>
      </c>
    </row>
    <row r="31">
      <c r="A31" s="217" t="s">
        <v>660</v>
      </c>
      <c r="B31" s="217" t="s">
        <v>661</v>
      </c>
      <c r="C31" s="217" t="s">
        <v>662</v>
      </c>
      <c r="D31" s="217" t="s">
        <v>663</v>
      </c>
      <c r="E31" s="217" t="s">
        <v>664</v>
      </c>
      <c r="F31" s="217">
        <v>1999.0</v>
      </c>
      <c r="G31" s="109">
        <v>52.953791</v>
      </c>
      <c r="H31" s="217" t="s">
        <v>665</v>
      </c>
    </row>
    <row r="32">
      <c r="A32" s="217" t="s">
        <v>660</v>
      </c>
      <c r="B32" s="217" t="s">
        <v>661</v>
      </c>
      <c r="C32" s="217" t="s">
        <v>662</v>
      </c>
      <c r="D32" s="217" t="s">
        <v>663</v>
      </c>
      <c r="E32" s="217" t="s">
        <v>664</v>
      </c>
      <c r="F32" s="217">
        <v>2000.0</v>
      </c>
      <c r="G32" s="109">
        <v>54.434425</v>
      </c>
      <c r="H32" s="217" t="s">
        <v>665</v>
      </c>
    </row>
    <row r="33">
      <c r="A33" s="217" t="s">
        <v>660</v>
      </c>
      <c r="B33" s="217" t="s">
        <v>661</v>
      </c>
      <c r="C33" s="217" t="s">
        <v>662</v>
      </c>
      <c r="D33" s="217" t="s">
        <v>663</v>
      </c>
      <c r="E33" s="217" t="s">
        <v>664</v>
      </c>
      <c r="F33" s="217">
        <v>2001.0</v>
      </c>
      <c r="G33" s="109">
        <v>55.652851</v>
      </c>
      <c r="H33" s="217" t="s">
        <v>665</v>
      </c>
    </row>
    <row r="34">
      <c r="A34" s="217" t="s">
        <v>660</v>
      </c>
      <c r="B34" s="217" t="s">
        <v>661</v>
      </c>
      <c r="C34" s="217" t="s">
        <v>662</v>
      </c>
      <c r="D34" s="217" t="s">
        <v>663</v>
      </c>
      <c r="E34" s="217" t="s">
        <v>664</v>
      </c>
      <c r="F34" s="217">
        <v>2002.0</v>
      </c>
      <c r="G34" s="109">
        <v>57.218158</v>
      </c>
      <c r="H34" s="217" t="s">
        <v>665</v>
      </c>
    </row>
    <row r="35">
      <c r="A35" s="217" t="s">
        <v>660</v>
      </c>
      <c r="B35" s="217" t="s">
        <v>661</v>
      </c>
      <c r="C35" s="217" t="s">
        <v>662</v>
      </c>
      <c r="D35" s="217" t="s">
        <v>663</v>
      </c>
      <c r="E35" s="217" t="s">
        <v>664</v>
      </c>
      <c r="F35" s="217">
        <v>2003.0</v>
      </c>
      <c r="G35" s="109">
        <v>58.985586</v>
      </c>
      <c r="H35" s="217" t="s">
        <v>665</v>
      </c>
    </row>
    <row r="36">
      <c r="A36" s="217" t="s">
        <v>660</v>
      </c>
      <c r="B36" s="217" t="s">
        <v>661</v>
      </c>
      <c r="C36" s="217" t="s">
        <v>662</v>
      </c>
      <c r="D36" s="217" t="s">
        <v>663</v>
      </c>
      <c r="E36" s="217" t="s">
        <v>664</v>
      </c>
      <c r="F36" s="217">
        <v>2004.0</v>
      </c>
      <c r="G36" s="109">
        <v>60.497742</v>
      </c>
      <c r="H36" s="217" t="s">
        <v>665</v>
      </c>
    </row>
    <row r="37">
      <c r="A37" s="217" t="s">
        <v>660</v>
      </c>
      <c r="B37" s="217" t="s">
        <v>661</v>
      </c>
      <c r="C37" s="217" t="s">
        <v>662</v>
      </c>
      <c r="D37" s="217" t="s">
        <v>663</v>
      </c>
      <c r="E37" s="217" t="s">
        <v>664</v>
      </c>
      <c r="F37" s="217">
        <v>2005.0</v>
      </c>
      <c r="G37" s="109">
        <v>61.779568</v>
      </c>
      <c r="H37" s="217" t="s">
        <v>665</v>
      </c>
    </row>
    <row r="38">
      <c r="A38" s="217" t="s">
        <v>660</v>
      </c>
      <c r="B38" s="217" t="s">
        <v>661</v>
      </c>
      <c r="C38" s="217" t="s">
        <v>662</v>
      </c>
      <c r="D38" s="217" t="s">
        <v>663</v>
      </c>
      <c r="E38" s="217" t="s">
        <v>664</v>
      </c>
      <c r="F38" s="217">
        <v>2006.0</v>
      </c>
      <c r="G38" s="109">
        <v>62.408346</v>
      </c>
      <c r="H38" s="217" t="s">
        <v>665</v>
      </c>
    </row>
    <row r="39">
      <c r="A39" s="217" t="s">
        <v>660</v>
      </c>
      <c r="B39" s="217" t="s">
        <v>661</v>
      </c>
      <c r="C39" s="217" t="s">
        <v>662</v>
      </c>
      <c r="D39" s="217" t="s">
        <v>663</v>
      </c>
      <c r="E39" s="217" t="s">
        <v>664</v>
      </c>
      <c r="F39" s="217">
        <v>2007.0</v>
      </c>
      <c r="G39" s="109">
        <v>63.201213</v>
      </c>
      <c r="H39" s="217" t="s">
        <v>665</v>
      </c>
    </row>
    <row r="40">
      <c r="A40" s="217" t="s">
        <v>660</v>
      </c>
      <c r="B40" s="217" t="s">
        <v>661</v>
      </c>
      <c r="C40" s="217" t="s">
        <v>662</v>
      </c>
      <c r="D40" s="217" t="s">
        <v>663</v>
      </c>
      <c r="E40" s="217" t="s">
        <v>664</v>
      </c>
      <c r="F40" s="217">
        <v>2008.0</v>
      </c>
      <c r="G40" s="109">
        <v>63.84522</v>
      </c>
      <c r="H40" s="217" t="s">
        <v>665</v>
      </c>
    </row>
    <row r="41">
      <c r="A41" s="217" t="s">
        <v>660</v>
      </c>
      <c r="B41" s="217" t="s">
        <v>661</v>
      </c>
      <c r="C41" s="217" t="s">
        <v>662</v>
      </c>
      <c r="D41" s="217" t="s">
        <v>663</v>
      </c>
      <c r="E41" s="217" t="s">
        <v>664</v>
      </c>
      <c r="F41" s="217">
        <v>2009.0</v>
      </c>
      <c r="G41" s="109">
        <v>65.928401</v>
      </c>
      <c r="H41" s="217" t="s">
        <v>665</v>
      </c>
    </row>
    <row r="42">
      <c r="A42" s="217" t="s">
        <v>660</v>
      </c>
      <c r="B42" s="217" t="s">
        <v>661</v>
      </c>
      <c r="C42" s="217" t="s">
        <v>662</v>
      </c>
      <c r="D42" s="217" t="s">
        <v>663</v>
      </c>
      <c r="E42" s="217" t="s">
        <v>664</v>
      </c>
      <c r="F42" s="217">
        <v>2010.0</v>
      </c>
      <c r="G42" s="109">
        <v>67.575254</v>
      </c>
      <c r="H42" s="217" t="s">
        <v>665</v>
      </c>
    </row>
    <row r="43">
      <c r="A43" s="217" t="s">
        <v>660</v>
      </c>
      <c r="B43" s="217" t="s">
        <v>661</v>
      </c>
      <c r="C43" s="217" t="s">
        <v>662</v>
      </c>
      <c r="D43" s="217" t="s">
        <v>663</v>
      </c>
      <c r="E43" s="217" t="s">
        <v>664</v>
      </c>
      <c r="F43" s="217">
        <v>2011.0</v>
      </c>
      <c r="G43" s="109">
        <v>67.601832</v>
      </c>
      <c r="H43" s="217" t="s">
        <v>665</v>
      </c>
    </row>
    <row r="44">
      <c r="A44" s="217" t="s">
        <v>660</v>
      </c>
      <c r="B44" s="217" t="s">
        <v>661</v>
      </c>
      <c r="C44" s="217" t="s">
        <v>662</v>
      </c>
      <c r="D44" s="217" t="s">
        <v>663</v>
      </c>
      <c r="E44" s="217" t="s">
        <v>664</v>
      </c>
      <c r="F44" s="217">
        <v>2012.0</v>
      </c>
      <c r="G44" s="109">
        <v>67.836447</v>
      </c>
      <c r="H44" s="217" t="s">
        <v>665</v>
      </c>
    </row>
    <row r="45">
      <c r="A45" s="217" t="s">
        <v>660</v>
      </c>
      <c r="B45" s="217" t="s">
        <v>661</v>
      </c>
      <c r="C45" s="217" t="s">
        <v>662</v>
      </c>
      <c r="D45" s="217" t="s">
        <v>663</v>
      </c>
      <c r="E45" s="217" t="s">
        <v>664</v>
      </c>
      <c r="F45" s="217">
        <v>2013.0</v>
      </c>
      <c r="G45" s="109">
        <v>68.124883</v>
      </c>
      <c r="H45" s="217" t="s">
        <v>665</v>
      </c>
    </row>
    <row r="46">
      <c r="A46" s="217" t="s">
        <v>660</v>
      </c>
      <c r="B46" s="217" t="s">
        <v>661</v>
      </c>
      <c r="C46" s="217" t="s">
        <v>662</v>
      </c>
      <c r="D46" s="217" t="s">
        <v>663</v>
      </c>
      <c r="E46" s="217" t="s">
        <v>664</v>
      </c>
      <c r="F46" s="217">
        <v>2014.0</v>
      </c>
      <c r="G46" s="109">
        <v>68.506223</v>
      </c>
      <c r="H46" s="217" t="s">
        <v>665</v>
      </c>
    </row>
    <row r="47">
      <c r="A47" s="217" t="s">
        <v>660</v>
      </c>
      <c r="B47" s="217" t="s">
        <v>661</v>
      </c>
      <c r="C47" s="217" t="s">
        <v>662</v>
      </c>
      <c r="D47" s="217" t="s">
        <v>663</v>
      </c>
      <c r="E47" s="217" t="s">
        <v>664</v>
      </c>
      <c r="F47" s="217">
        <v>2015.0</v>
      </c>
      <c r="G47" s="109">
        <v>69.155227</v>
      </c>
      <c r="H47" s="217" t="s">
        <v>665</v>
      </c>
    </row>
    <row r="48">
      <c r="A48" s="217" t="s">
        <v>660</v>
      </c>
      <c r="B48" s="217" t="s">
        <v>661</v>
      </c>
      <c r="C48" s="217" t="s">
        <v>662</v>
      </c>
      <c r="D48" s="217" t="s">
        <v>663</v>
      </c>
      <c r="E48" s="217" t="s">
        <v>664</v>
      </c>
      <c r="F48" s="217">
        <v>2016.0</v>
      </c>
      <c r="G48" s="109">
        <v>69.381273</v>
      </c>
      <c r="H48" s="217" t="s">
        <v>665</v>
      </c>
    </row>
    <row r="49">
      <c r="A49" s="217" t="s">
        <v>660</v>
      </c>
      <c r="B49" s="217" t="s">
        <v>661</v>
      </c>
      <c r="C49" s="217" t="s">
        <v>662</v>
      </c>
      <c r="D49" s="217" t="s">
        <v>663</v>
      </c>
      <c r="E49" s="217" t="s">
        <v>664</v>
      </c>
      <c r="F49" s="217">
        <v>2017.0</v>
      </c>
      <c r="G49" s="109">
        <v>70.092396</v>
      </c>
      <c r="H49" s="217" t="s">
        <v>665</v>
      </c>
    </row>
    <row r="50">
      <c r="A50" s="217" t="s">
        <v>660</v>
      </c>
      <c r="B50" s="217" t="s">
        <v>661</v>
      </c>
      <c r="C50" s="217" t="s">
        <v>662</v>
      </c>
      <c r="D50" s="217" t="s">
        <v>663</v>
      </c>
      <c r="E50" s="217" t="s">
        <v>664</v>
      </c>
      <c r="F50" s="217">
        <v>2018.0</v>
      </c>
      <c r="G50" s="109">
        <v>70.90677</v>
      </c>
      <c r="H50" s="217" t="s">
        <v>665</v>
      </c>
    </row>
    <row r="51">
      <c r="A51" s="217" t="s">
        <v>660</v>
      </c>
      <c r="B51" s="217" t="s">
        <v>661</v>
      </c>
      <c r="C51" s="217" t="s">
        <v>662</v>
      </c>
      <c r="D51" s="217" t="s">
        <v>663</v>
      </c>
      <c r="E51" s="217" t="s">
        <v>664</v>
      </c>
      <c r="F51" s="217">
        <v>2019.0</v>
      </c>
      <c r="G51" s="109">
        <v>71.821985</v>
      </c>
      <c r="H51" s="217" t="s">
        <v>665</v>
      </c>
    </row>
    <row r="52">
      <c r="A52" s="217" t="s">
        <v>660</v>
      </c>
      <c r="B52" s="217" t="s">
        <v>661</v>
      </c>
      <c r="C52" s="217" t="s">
        <v>662</v>
      </c>
      <c r="D52" s="217" t="s">
        <v>663</v>
      </c>
      <c r="E52" s="217" t="s">
        <v>664</v>
      </c>
      <c r="F52" s="217">
        <v>2020.0</v>
      </c>
      <c r="G52" s="109">
        <v>74.312174</v>
      </c>
      <c r="H52" s="217" t="s">
        <v>666</v>
      </c>
    </row>
    <row r="53">
      <c r="A53" s="217"/>
      <c r="B53" s="217"/>
      <c r="C53" s="217"/>
      <c r="D53" s="217"/>
      <c r="E53" s="217"/>
      <c r="F53" s="217"/>
      <c r="G53" s="218"/>
      <c r="H53" s="217"/>
    </row>
    <row r="54">
      <c r="A54" s="217"/>
      <c r="B54" s="217"/>
      <c r="C54" s="217"/>
      <c r="D54" s="217"/>
      <c r="E54" s="217"/>
      <c r="F54" s="217"/>
      <c r="G54" s="218"/>
      <c r="H54" s="217"/>
    </row>
    <row r="55">
      <c r="A55" s="217"/>
      <c r="B55" s="217"/>
      <c r="C55" s="217"/>
      <c r="D55" s="217"/>
      <c r="E55" s="217"/>
      <c r="F55" s="217"/>
      <c r="G55" s="218"/>
      <c r="H55" s="217"/>
    </row>
    <row r="56">
      <c r="A56" s="217"/>
      <c r="B56" s="217"/>
      <c r="C56" s="217"/>
      <c r="D56" s="217"/>
      <c r="E56" s="217"/>
      <c r="F56" s="217"/>
      <c r="G56" s="218"/>
      <c r="H56" s="217"/>
    </row>
    <row r="57">
      <c r="A57" s="217"/>
      <c r="B57" s="217"/>
      <c r="C57" s="217"/>
      <c r="D57" s="217"/>
      <c r="E57" s="217"/>
      <c r="F57" s="217"/>
      <c r="G57" s="218"/>
      <c r="H57" s="217"/>
    </row>
    <row r="58">
      <c r="A58" s="217"/>
      <c r="B58" s="217"/>
      <c r="C58" s="217"/>
      <c r="D58" s="217"/>
      <c r="E58" s="217"/>
      <c r="F58" s="217"/>
      <c r="G58" s="218"/>
      <c r="H58" s="217"/>
    </row>
    <row r="59">
      <c r="A59" s="217"/>
      <c r="B59" s="217"/>
      <c r="C59" s="217"/>
      <c r="D59" s="217"/>
      <c r="E59" s="217"/>
      <c r="F59" s="217"/>
      <c r="G59" s="218"/>
      <c r="H59" s="217"/>
    </row>
    <row r="60">
      <c r="A60" s="217"/>
      <c r="B60" s="217"/>
      <c r="C60" s="217"/>
      <c r="D60" s="217"/>
      <c r="E60" s="217"/>
      <c r="F60" s="217"/>
      <c r="G60" s="218"/>
      <c r="H60" s="217"/>
    </row>
    <row r="61">
      <c r="A61" s="217"/>
      <c r="B61" s="217"/>
      <c r="C61" s="217"/>
      <c r="D61" s="217"/>
      <c r="E61" s="217"/>
      <c r="F61" s="217"/>
      <c r="G61" s="218"/>
      <c r="H61" s="217"/>
    </row>
    <row r="62">
      <c r="A62" s="217"/>
      <c r="B62" s="217"/>
      <c r="C62" s="217"/>
      <c r="D62" s="217"/>
      <c r="E62" s="217"/>
      <c r="F62" s="217"/>
      <c r="G62" s="218"/>
      <c r="H62" s="217"/>
    </row>
    <row r="63">
      <c r="A63" s="217"/>
      <c r="B63" s="217"/>
      <c r="C63" s="217"/>
      <c r="D63" s="217"/>
      <c r="E63" s="217"/>
      <c r="F63" s="217"/>
      <c r="G63" s="218"/>
      <c r="H63" s="217"/>
    </row>
    <row r="64">
      <c r="A64" s="217"/>
      <c r="B64" s="217"/>
      <c r="C64" s="217"/>
      <c r="D64" s="217"/>
      <c r="E64" s="217"/>
      <c r="F64" s="217"/>
      <c r="G64" s="218"/>
      <c r="H64" s="217"/>
    </row>
    <row r="65">
      <c r="A65" s="217"/>
      <c r="B65" s="217"/>
      <c r="C65" s="217"/>
      <c r="D65" s="217"/>
      <c r="E65" s="217"/>
      <c r="F65" s="217"/>
      <c r="G65" s="218"/>
      <c r="H65" s="217"/>
    </row>
    <row r="66">
      <c r="A66" s="217"/>
      <c r="B66" s="217"/>
      <c r="C66" s="217"/>
      <c r="D66" s="217"/>
      <c r="E66" s="217"/>
      <c r="F66" s="217"/>
      <c r="G66" s="218"/>
      <c r="H66" s="217"/>
    </row>
    <row r="67">
      <c r="A67" s="217"/>
      <c r="B67" s="217"/>
      <c r="C67" s="217"/>
      <c r="D67" s="217"/>
      <c r="E67" s="217"/>
      <c r="F67" s="217"/>
      <c r="G67" s="218"/>
      <c r="H67" s="217"/>
    </row>
    <row r="68">
      <c r="A68" s="217"/>
      <c r="B68" s="217"/>
      <c r="C68" s="217"/>
      <c r="D68" s="217"/>
      <c r="E68" s="217"/>
      <c r="F68" s="217"/>
      <c r="G68" s="218"/>
      <c r="H68" s="217"/>
    </row>
    <row r="69">
      <c r="A69" s="217"/>
      <c r="B69" s="217"/>
      <c r="C69" s="217"/>
      <c r="D69" s="217"/>
      <c r="E69" s="217"/>
      <c r="F69" s="217"/>
      <c r="G69" s="218"/>
      <c r="H69" s="217"/>
    </row>
    <row r="70">
      <c r="A70" s="217"/>
      <c r="B70" s="217"/>
      <c r="C70" s="217"/>
      <c r="D70" s="217"/>
      <c r="E70" s="217"/>
      <c r="F70" s="217"/>
      <c r="G70" s="218"/>
      <c r="H70" s="217"/>
    </row>
    <row r="71">
      <c r="A71" s="217"/>
      <c r="B71" s="217"/>
      <c r="C71" s="217"/>
      <c r="D71" s="217"/>
      <c r="E71" s="217"/>
      <c r="F71" s="217"/>
      <c r="G71" s="218"/>
      <c r="H71" s="217"/>
    </row>
    <row r="72">
      <c r="A72" s="217"/>
      <c r="B72" s="217"/>
      <c r="C72" s="217"/>
      <c r="D72" s="217"/>
      <c r="E72" s="217"/>
      <c r="F72" s="217"/>
      <c r="G72" s="218"/>
      <c r="H72" s="217"/>
    </row>
    <row r="73">
      <c r="A73" s="217"/>
      <c r="B73" s="217"/>
      <c r="C73" s="217"/>
      <c r="D73" s="217"/>
      <c r="E73" s="217"/>
      <c r="F73" s="217"/>
      <c r="G73" s="218"/>
      <c r="H73" s="217"/>
    </row>
    <row r="74">
      <c r="A74" s="217"/>
      <c r="B74" s="217"/>
      <c r="C74" s="217"/>
      <c r="D74" s="217"/>
      <c r="E74" s="217"/>
      <c r="F74" s="217"/>
      <c r="G74" s="218"/>
      <c r="H74" s="217"/>
    </row>
    <row r="75">
      <c r="A75" s="217"/>
      <c r="B75" s="217"/>
      <c r="C75" s="217"/>
      <c r="D75" s="217"/>
      <c r="E75" s="217"/>
      <c r="F75" s="217"/>
      <c r="G75" s="218"/>
      <c r="H75" s="217"/>
    </row>
    <row r="76">
      <c r="A76" s="217"/>
      <c r="B76" s="217"/>
      <c r="C76" s="217"/>
      <c r="D76" s="217"/>
      <c r="E76" s="217"/>
      <c r="F76" s="217"/>
      <c r="G76" s="218"/>
      <c r="H76" s="217"/>
    </row>
    <row r="77">
      <c r="A77" s="217"/>
      <c r="B77" s="217"/>
      <c r="C77" s="217"/>
      <c r="D77" s="217"/>
      <c r="E77" s="217"/>
      <c r="F77" s="217"/>
      <c r="G77" s="218"/>
      <c r="H77" s="217"/>
    </row>
    <row r="78">
      <c r="A78" s="217"/>
      <c r="B78" s="217"/>
      <c r="C78" s="217"/>
      <c r="D78" s="217"/>
      <c r="E78" s="217"/>
      <c r="F78" s="217"/>
      <c r="G78" s="218"/>
      <c r="H78" s="217"/>
    </row>
    <row r="79">
      <c r="A79" s="217"/>
      <c r="B79" s="217"/>
      <c r="C79" s="217"/>
      <c r="D79" s="217"/>
      <c r="E79" s="217"/>
      <c r="F79" s="217"/>
      <c r="G79" s="218"/>
      <c r="H79" s="217"/>
    </row>
    <row r="80">
      <c r="A80" s="217"/>
      <c r="B80" s="217"/>
      <c r="C80" s="217"/>
      <c r="D80" s="217"/>
      <c r="E80" s="217"/>
      <c r="F80" s="217"/>
      <c r="G80" s="218"/>
      <c r="H80" s="217"/>
    </row>
    <row r="81">
      <c r="A81" s="217"/>
      <c r="B81" s="217"/>
      <c r="C81" s="217"/>
      <c r="D81" s="217"/>
      <c r="E81" s="217"/>
      <c r="F81" s="217"/>
      <c r="G81" s="218"/>
      <c r="H81" s="217"/>
    </row>
    <row r="82">
      <c r="A82" s="217"/>
      <c r="B82" s="217"/>
      <c r="C82" s="217"/>
      <c r="D82" s="217"/>
      <c r="E82" s="217"/>
      <c r="F82" s="217"/>
      <c r="G82" s="218"/>
      <c r="H82" s="217"/>
    </row>
    <row r="83">
      <c r="A83" s="217"/>
      <c r="B83" s="217"/>
      <c r="C83" s="217"/>
      <c r="D83" s="217"/>
      <c r="E83" s="217"/>
      <c r="F83" s="217"/>
      <c r="G83" s="218"/>
      <c r="H83" s="217"/>
    </row>
    <row r="84">
      <c r="A84" s="217"/>
      <c r="B84" s="217"/>
      <c r="C84" s="217"/>
      <c r="D84" s="217"/>
      <c r="E84" s="217"/>
      <c r="F84" s="217"/>
      <c r="G84" s="218"/>
      <c r="H84" s="217"/>
    </row>
    <row r="85">
      <c r="A85" s="217"/>
      <c r="B85" s="217"/>
      <c r="C85" s="217"/>
      <c r="D85" s="217"/>
      <c r="E85" s="217"/>
      <c r="F85" s="217"/>
      <c r="G85" s="218"/>
      <c r="H85" s="217"/>
    </row>
    <row r="86">
      <c r="A86" s="217"/>
      <c r="B86" s="217"/>
      <c r="C86" s="217"/>
      <c r="D86" s="217"/>
      <c r="E86" s="217"/>
      <c r="F86" s="217"/>
      <c r="G86" s="218"/>
      <c r="H86" s="217"/>
    </row>
    <row r="87">
      <c r="A87" s="217"/>
      <c r="B87" s="217"/>
      <c r="C87" s="217"/>
      <c r="D87" s="217"/>
      <c r="E87" s="217"/>
      <c r="F87" s="217"/>
      <c r="G87" s="218"/>
      <c r="H87" s="217"/>
    </row>
    <row r="88">
      <c r="A88" s="217"/>
      <c r="B88" s="217"/>
      <c r="C88" s="217"/>
      <c r="D88" s="217"/>
      <c r="E88" s="217"/>
      <c r="F88" s="217"/>
      <c r="G88" s="218"/>
      <c r="H88" s="217"/>
    </row>
    <row r="89">
      <c r="A89" s="217"/>
      <c r="B89" s="217"/>
      <c r="C89" s="217"/>
      <c r="D89" s="217"/>
      <c r="E89" s="217"/>
      <c r="F89" s="217"/>
      <c r="G89" s="218"/>
      <c r="H89" s="217"/>
    </row>
    <row r="90">
      <c r="A90" s="217"/>
      <c r="B90" s="217"/>
      <c r="C90" s="217"/>
      <c r="D90" s="217"/>
      <c r="E90" s="217"/>
      <c r="F90" s="217"/>
      <c r="G90" s="218"/>
      <c r="H90" s="217"/>
    </row>
    <row r="91">
      <c r="A91" s="217"/>
      <c r="B91" s="217"/>
      <c r="C91" s="217"/>
      <c r="D91" s="217"/>
      <c r="E91" s="217"/>
      <c r="F91" s="217"/>
      <c r="G91" s="218"/>
      <c r="H91" s="217"/>
    </row>
    <row r="92">
      <c r="A92" s="217"/>
      <c r="B92" s="217"/>
      <c r="C92" s="217"/>
      <c r="D92" s="217"/>
      <c r="E92" s="217"/>
      <c r="F92" s="217"/>
      <c r="G92" s="218"/>
      <c r="H92" s="217"/>
    </row>
    <row r="93">
      <c r="A93" s="217"/>
      <c r="B93" s="217"/>
      <c r="C93" s="217"/>
      <c r="D93" s="217"/>
      <c r="E93" s="217"/>
      <c r="F93" s="217"/>
      <c r="G93" s="218"/>
      <c r="H93" s="217"/>
    </row>
    <row r="94">
      <c r="A94" s="217"/>
      <c r="B94" s="217"/>
      <c r="C94" s="217"/>
      <c r="D94" s="217"/>
      <c r="E94" s="217"/>
      <c r="F94" s="217"/>
      <c r="G94" s="218"/>
      <c r="H94" s="217"/>
    </row>
    <row r="95">
      <c r="A95" s="217"/>
      <c r="B95" s="217"/>
      <c r="C95" s="217"/>
      <c r="D95" s="217"/>
      <c r="E95" s="217"/>
      <c r="F95" s="217"/>
      <c r="G95" s="218"/>
      <c r="H95" s="217"/>
    </row>
    <row r="96">
      <c r="A96" s="217"/>
      <c r="B96" s="217"/>
      <c r="C96" s="217"/>
      <c r="D96" s="217"/>
      <c r="E96" s="217"/>
      <c r="F96" s="217"/>
      <c r="G96" s="218"/>
      <c r="H96" s="217"/>
    </row>
    <row r="97">
      <c r="A97" s="217"/>
      <c r="B97" s="217"/>
      <c r="C97" s="217"/>
      <c r="D97" s="217"/>
      <c r="E97" s="217"/>
      <c r="F97" s="217"/>
      <c r="G97" s="218"/>
      <c r="H97" s="217"/>
    </row>
    <row r="98">
      <c r="A98" s="217"/>
      <c r="B98" s="217"/>
      <c r="C98" s="217"/>
      <c r="D98" s="217"/>
      <c r="E98" s="217"/>
      <c r="F98" s="217"/>
      <c r="G98" s="218"/>
      <c r="H98" s="217"/>
    </row>
    <row r="99">
      <c r="A99" s="217"/>
      <c r="B99" s="217"/>
      <c r="C99" s="217"/>
      <c r="D99" s="217"/>
      <c r="E99" s="217"/>
      <c r="F99" s="217"/>
      <c r="G99" s="218"/>
      <c r="H99" s="217"/>
    </row>
    <row r="100">
      <c r="A100" s="217"/>
      <c r="B100" s="217"/>
      <c r="C100" s="217"/>
      <c r="D100" s="217"/>
      <c r="E100" s="217"/>
      <c r="F100" s="217"/>
      <c r="G100" s="218"/>
      <c r="H100" s="217"/>
    </row>
    <row r="101">
      <c r="A101" s="217"/>
      <c r="B101" s="217"/>
      <c r="C101" s="217"/>
      <c r="D101" s="217"/>
      <c r="E101" s="217"/>
      <c r="F101" s="217"/>
      <c r="G101" s="218"/>
      <c r="H101" s="217"/>
    </row>
    <row r="102">
      <c r="A102" s="217"/>
      <c r="B102" s="217"/>
      <c r="C102" s="217"/>
      <c r="D102" s="217"/>
      <c r="E102" s="217"/>
      <c r="F102" s="217"/>
      <c r="G102" s="218"/>
      <c r="H102" s="217"/>
    </row>
    <row r="103">
      <c r="A103" s="217"/>
      <c r="B103" s="217"/>
      <c r="C103" s="217"/>
      <c r="D103" s="217"/>
      <c r="E103" s="217"/>
      <c r="F103" s="217"/>
      <c r="G103" s="218"/>
      <c r="H103" s="217"/>
    </row>
    <row r="104">
      <c r="A104" s="217"/>
      <c r="B104" s="217"/>
      <c r="C104" s="217"/>
      <c r="D104" s="217"/>
      <c r="E104" s="217"/>
      <c r="F104" s="217"/>
      <c r="G104" s="218"/>
      <c r="H104" s="217"/>
    </row>
    <row r="105">
      <c r="A105" s="217"/>
      <c r="B105" s="217"/>
      <c r="C105" s="217"/>
      <c r="D105" s="217"/>
      <c r="E105" s="217"/>
      <c r="F105" s="217"/>
      <c r="G105" s="218"/>
      <c r="H105" s="217"/>
    </row>
    <row r="106">
      <c r="A106" s="217"/>
      <c r="B106" s="217"/>
      <c r="C106" s="217"/>
      <c r="D106" s="217"/>
      <c r="E106" s="217"/>
      <c r="F106" s="217"/>
      <c r="G106" s="218"/>
      <c r="H106" s="217"/>
    </row>
    <row r="107">
      <c r="A107" s="217"/>
      <c r="B107" s="217"/>
      <c r="C107" s="217"/>
      <c r="D107" s="217"/>
      <c r="E107" s="217"/>
      <c r="F107" s="217"/>
      <c r="G107" s="218"/>
      <c r="H107" s="217"/>
    </row>
    <row r="108">
      <c r="A108" s="217"/>
      <c r="B108" s="217"/>
      <c r="C108" s="217"/>
      <c r="D108" s="217"/>
      <c r="E108" s="217"/>
      <c r="F108" s="217"/>
      <c r="G108" s="218"/>
      <c r="H108" s="217"/>
    </row>
    <row r="109">
      <c r="A109" s="217"/>
      <c r="B109" s="217"/>
      <c r="C109" s="217"/>
      <c r="D109" s="217"/>
      <c r="E109" s="217"/>
      <c r="F109" s="217"/>
      <c r="G109" s="218"/>
      <c r="H109" s="217"/>
    </row>
    <row r="110">
      <c r="A110" s="217"/>
      <c r="B110" s="217"/>
      <c r="C110" s="217"/>
      <c r="D110" s="217"/>
      <c r="E110" s="217"/>
      <c r="F110" s="217"/>
      <c r="G110" s="218"/>
      <c r="H110" s="217"/>
    </row>
    <row r="111">
      <c r="A111" s="217"/>
      <c r="B111" s="217"/>
      <c r="C111" s="217"/>
      <c r="D111" s="217"/>
      <c r="E111" s="217"/>
      <c r="F111" s="217"/>
      <c r="G111" s="218"/>
      <c r="H111" s="217"/>
    </row>
    <row r="112">
      <c r="A112" s="217"/>
      <c r="B112" s="217"/>
      <c r="C112" s="217"/>
      <c r="D112" s="217"/>
      <c r="E112" s="217"/>
      <c r="F112" s="217"/>
      <c r="G112" s="218"/>
      <c r="H112" s="217"/>
    </row>
    <row r="113">
      <c r="A113" s="217"/>
      <c r="B113" s="217"/>
      <c r="C113" s="217"/>
      <c r="D113" s="217"/>
      <c r="E113" s="217"/>
      <c r="F113" s="217"/>
      <c r="G113" s="218"/>
      <c r="H113" s="217"/>
    </row>
    <row r="114">
      <c r="A114" s="217"/>
      <c r="B114" s="217"/>
      <c r="C114" s="217"/>
      <c r="D114" s="217"/>
      <c r="E114" s="217"/>
      <c r="F114" s="217"/>
      <c r="G114" s="218"/>
      <c r="H114" s="217"/>
    </row>
    <row r="115">
      <c r="A115" s="217"/>
      <c r="B115" s="217"/>
      <c r="C115" s="217"/>
      <c r="D115" s="217"/>
      <c r="E115" s="217"/>
      <c r="F115" s="217"/>
      <c r="G115" s="218"/>
      <c r="H115" s="217"/>
    </row>
    <row r="116">
      <c r="A116" s="217"/>
      <c r="B116" s="217"/>
      <c r="C116" s="217"/>
      <c r="D116" s="217"/>
      <c r="E116" s="217"/>
      <c r="F116" s="217"/>
      <c r="G116" s="218"/>
      <c r="H116" s="217"/>
    </row>
    <row r="117">
      <c r="A117" s="217"/>
      <c r="B117" s="217"/>
      <c r="C117" s="217"/>
      <c r="D117" s="217"/>
      <c r="E117" s="217"/>
      <c r="F117" s="217"/>
      <c r="G117" s="218"/>
      <c r="H117" s="217"/>
    </row>
    <row r="118">
      <c r="A118" s="217"/>
      <c r="B118" s="217"/>
      <c r="C118" s="217"/>
      <c r="D118" s="217"/>
      <c r="E118" s="217"/>
      <c r="F118" s="217"/>
      <c r="G118" s="218"/>
      <c r="H118" s="217"/>
    </row>
    <row r="119">
      <c r="A119" s="217"/>
      <c r="B119" s="217"/>
      <c r="C119" s="217"/>
      <c r="D119" s="217"/>
      <c r="E119" s="217"/>
      <c r="F119" s="217"/>
      <c r="G119" s="218"/>
      <c r="H119" s="217"/>
    </row>
    <row r="120">
      <c r="A120" s="217"/>
      <c r="B120" s="217"/>
      <c r="C120" s="217"/>
      <c r="D120" s="217"/>
      <c r="E120" s="217"/>
      <c r="F120" s="217"/>
      <c r="G120" s="218"/>
      <c r="H120" s="217"/>
    </row>
    <row r="121">
      <c r="A121" s="217"/>
      <c r="B121" s="217"/>
      <c r="C121" s="217"/>
      <c r="D121" s="217"/>
      <c r="E121" s="217"/>
      <c r="F121" s="217"/>
      <c r="G121" s="218"/>
      <c r="H121" s="217"/>
    </row>
    <row r="122">
      <c r="A122" s="217"/>
      <c r="B122" s="217"/>
      <c r="C122" s="217"/>
      <c r="D122" s="217"/>
      <c r="E122" s="217"/>
      <c r="F122" s="217"/>
      <c r="G122" s="218"/>
      <c r="H122" s="217"/>
    </row>
    <row r="123">
      <c r="A123" s="217"/>
      <c r="B123" s="217"/>
      <c r="C123" s="217"/>
      <c r="D123" s="217"/>
      <c r="E123" s="217"/>
      <c r="F123" s="217"/>
      <c r="G123" s="218"/>
      <c r="H123" s="217"/>
    </row>
    <row r="124">
      <c r="A124" s="217"/>
      <c r="B124" s="217"/>
      <c r="C124" s="217"/>
      <c r="D124" s="217"/>
      <c r="E124" s="217"/>
      <c r="F124" s="217"/>
      <c r="G124" s="218"/>
      <c r="H124" s="217"/>
    </row>
    <row r="125">
      <c r="A125" s="217"/>
      <c r="B125" s="217"/>
      <c r="C125" s="217"/>
      <c r="D125" s="217"/>
      <c r="E125" s="217"/>
      <c r="F125" s="217"/>
      <c r="G125" s="218"/>
      <c r="H125" s="217"/>
    </row>
    <row r="126">
      <c r="A126" s="217"/>
      <c r="B126" s="217"/>
      <c r="C126" s="217"/>
      <c r="D126" s="217"/>
      <c r="E126" s="217"/>
      <c r="F126" s="217"/>
      <c r="G126" s="218"/>
      <c r="H126" s="217"/>
    </row>
    <row r="127">
      <c r="A127" s="217"/>
      <c r="B127" s="217"/>
      <c r="C127" s="217"/>
      <c r="D127" s="217"/>
      <c r="E127" s="217"/>
      <c r="F127" s="217"/>
      <c r="G127" s="218"/>
      <c r="H127" s="217"/>
    </row>
    <row r="128">
      <c r="A128" s="217"/>
      <c r="B128" s="217"/>
      <c r="C128" s="217"/>
      <c r="D128" s="217"/>
      <c r="E128" s="217"/>
      <c r="F128" s="217"/>
      <c r="G128" s="218"/>
      <c r="H128" s="217"/>
    </row>
    <row r="129">
      <c r="A129" s="217"/>
      <c r="B129" s="217"/>
      <c r="C129" s="217"/>
      <c r="D129" s="217"/>
      <c r="E129" s="217"/>
      <c r="F129" s="217"/>
      <c r="G129" s="218"/>
      <c r="H129" s="217"/>
    </row>
    <row r="130">
      <c r="A130" s="217"/>
      <c r="B130" s="217"/>
      <c r="C130" s="217"/>
      <c r="D130" s="217"/>
      <c r="E130" s="217"/>
      <c r="F130" s="217"/>
      <c r="G130" s="218"/>
      <c r="H130" s="217"/>
    </row>
    <row r="131">
      <c r="A131" s="217"/>
      <c r="B131" s="217"/>
      <c r="C131" s="217"/>
      <c r="D131" s="217"/>
      <c r="E131" s="217"/>
      <c r="F131" s="217"/>
      <c r="G131" s="218"/>
      <c r="H131" s="217"/>
    </row>
    <row r="132">
      <c r="A132" s="217"/>
      <c r="B132" s="217"/>
      <c r="C132" s="217"/>
      <c r="D132" s="217"/>
      <c r="E132" s="217"/>
      <c r="F132" s="217"/>
      <c r="G132" s="218"/>
      <c r="H132" s="217"/>
    </row>
    <row r="133">
      <c r="A133" s="217"/>
      <c r="B133" s="217"/>
      <c r="C133" s="217"/>
      <c r="D133" s="217"/>
      <c r="E133" s="217"/>
      <c r="F133" s="217"/>
      <c r="G133" s="218"/>
      <c r="H133" s="217"/>
    </row>
    <row r="134">
      <c r="A134" s="217"/>
      <c r="B134" s="217"/>
      <c r="C134" s="217"/>
      <c r="D134" s="217"/>
      <c r="E134" s="217"/>
      <c r="F134" s="217"/>
      <c r="G134" s="218"/>
      <c r="H134" s="217"/>
    </row>
    <row r="135">
      <c r="A135" s="217"/>
      <c r="B135" s="217"/>
      <c r="C135" s="217"/>
      <c r="D135" s="217"/>
      <c r="E135" s="217"/>
      <c r="F135" s="217"/>
      <c r="G135" s="218"/>
      <c r="H135" s="217"/>
    </row>
    <row r="136">
      <c r="A136" s="217"/>
      <c r="B136" s="217"/>
      <c r="C136" s="217"/>
      <c r="D136" s="217"/>
      <c r="E136" s="217"/>
      <c r="F136" s="217"/>
      <c r="G136" s="218"/>
      <c r="H136" s="217"/>
    </row>
    <row r="137">
      <c r="A137" s="217"/>
      <c r="B137" s="217"/>
      <c r="C137" s="217"/>
      <c r="D137" s="217"/>
      <c r="E137" s="217"/>
      <c r="F137" s="217"/>
      <c r="G137" s="218"/>
      <c r="H137" s="217"/>
    </row>
    <row r="138">
      <c r="A138" s="217"/>
      <c r="B138" s="217"/>
      <c r="C138" s="217"/>
      <c r="D138" s="217"/>
      <c r="E138" s="217"/>
      <c r="F138" s="217"/>
      <c r="G138" s="218"/>
      <c r="H138" s="217"/>
    </row>
    <row r="139">
      <c r="A139" s="217"/>
      <c r="B139" s="217"/>
      <c r="C139" s="217"/>
      <c r="D139" s="217"/>
      <c r="E139" s="217"/>
      <c r="F139" s="217"/>
      <c r="G139" s="218"/>
      <c r="H139" s="217"/>
    </row>
    <row r="140">
      <c r="A140" s="217"/>
      <c r="B140" s="217"/>
      <c r="C140" s="217"/>
      <c r="D140" s="217"/>
      <c r="E140" s="217"/>
      <c r="F140" s="217"/>
      <c r="G140" s="218"/>
      <c r="H140" s="217"/>
    </row>
    <row r="141">
      <c r="A141" s="217"/>
      <c r="B141" s="217"/>
      <c r="C141" s="217"/>
      <c r="D141" s="217"/>
      <c r="E141" s="217"/>
      <c r="F141" s="217"/>
      <c r="G141" s="218"/>
      <c r="H141" s="217"/>
    </row>
    <row r="142">
      <c r="A142" s="217"/>
      <c r="B142" s="217"/>
      <c r="C142" s="217"/>
      <c r="D142" s="217"/>
      <c r="E142" s="217"/>
      <c r="F142" s="217"/>
      <c r="G142" s="218"/>
      <c r="H142" s="217"/>
    </row>
    <row r="143">
      <c r="A143" s="217"/>
      <c r="B143" s="217"/>
      <c r="C143" s="217"/>
      <c r="D143" s="217"/>
      <c r="E143" s="217"/>
      <c r="F143" s="217"/>
      <c r="G143" s="218"/>
      <c r="H143" s="217"/>
    </row>
    <row r="144">
      <c r="A144" s="217"/>
      <c r="B144" s="217"/>
      <c r="C144" s="217"/>
      <c r="D144" s="217"/>
      <c r="E144" s="217"/>
      <c r="F144" s="217"/>
      <c r="G144" s="218"/>
      <c r="H144" s="217"/>
    </row>
    <row r="145">
      <c r="A145" s="217"/>
      <c r="B145" s="217"/>
      <c r="C145" s="217"/>
      <c r="D145" s="217"/>
      <c r="E145" s="217"/>
      <c r="F145" s="217"/>
      <c r="G145" s="218"/>
      <c r="H145" s="217"/>
    </row>
    <row r="146">
      <c r="A146" s="217"/>
      <c r="B146" s="217"/>
      <c r="C146" s="217"/>
      <c r="D146" s="217"/>
      <c r="E146" s="217"/>
      <c r="F146" s="217"/>
      <c r="G146" s="218"/>
      <c r="H146" s="217"/>
    </row>
    <row r="147">
      <c r="A147" s="217"/>
      <c r="B147" s="217"/>
      <c r="C147" s="217"/>
      <c r="D147" s="217"/>
      <c r="E147" s="217"/>
      <c r="F147" s="217"/>
      <c r="G147" s="218"/>
      <c r="H147" s="217"/>
    </row>
    <row r="148">
      <c r="A148" s="217"/>
      <c r="B148" s="217"/>
      <c r="C148" s="217"/>
      <c r="D148" s="217"/>
      <c r="E148" s="217"/>
      <c r="F148" s="217"/>
      <c r="G148" s="218"/>
      <c r="H148" s="217"/>
    </row>
    <row r="149">
      <c r="A149" s="217"/>
      <c r="B149" s="217"/>
      <c r="C149" s="217"/>
      <c r="D149" s="217"/>
      <c r="E149" s="217"/>
      <c r="F149" s="217"/>
      <c r="G149" s="218"/>
      <c r="H149" s="217"/>
    </row>
    <row r="150">
      <c r="A150" s="217"/>
      <c r="B150" s="217"/>
      <c r="C150" s="217"/>
      <c r="D150" s="217"/>
      <c r="E150" s="217"/>
      <c r="F150" s="217"/>
      <c r="G150" s="218"/>
      <c r="H150" s="217"/>
    </row>
    <row r="151">
      <c r="A151" s="217"/>
      <c r="B151" s="217"/>
      <c r="C151" s="217"/>
      <c r="D151" s="217"/>
      <c r="E151" s="217"/>
      <c r="F151" s="217"/>
      <c r="G151" s="218"/>
      <c r="H151" s="217"/>
    </row>
    <row r="152">
      <c r="A152" s="217"/>
      <c r="B152" s="217"/>
      <c r="C152" s="217"/>
      <c r="D152" s="217"/>
      <c r="E152" s="217"/>
      <c r="F152" s="217"/>
      <c r="G152" s="218"/>
      <c r="H152" s="217"/>
    </row>
    <row r="153">
      <c r="A153" s="217"/>
      <c r="B153" s="217"/>
      <c r="C153" s="217"/>
      <c r="D153" s="217"/>
      <c r="E153" s="217"/>
      <c r="F153" s="217"/>
      <c r="G153" s="218"/>
      <c r="H153" s="217"/>
    </row>
    <row r="154">
      <c r="A154" s="217"/>
      <c r="B154" s="217"/>
      <c r="C154" s="217"/>
      <c r="D154" s="217"/>
      <c r="E154" s="217"/>
      <c r="F154" s="217"/>
      <c r="G154" s="218"/>
      <c r="H154" s="217"/>
    </row>
    <row r="155">
      <c r="A155" s="217"/>
      <c r="B155" s="217"/>
      <c r="C155" s="217"/>
      <c r="D155" s="217"/>
      <c r="E155" s="217"/>
      <c r="F155" s="217"/>
      <c r="G155" s="218"/>
      <c r="H155" s="217"/>
    </row>
    <row r="156">
      <c r="A156" s="217"/>
      <c r="B156" s="217"/>
      <c r="C156" s="217"/>
      <c r="D156" s="217"/>
      <c r="E156" s="217"/>
      <c r="F156" s="217"/>
      <c r="G156" s="218"/>
      <c r="H156" s="217"/>
    </row>
    <row r="157">
      <c r="A157" s="217"/>
      <c r="B157" s="217"/>
      <c r="C157" s="217"/>
      <c r="D157" s="217"/>
      <c r="E157" s="217"/>
      <c r="F157" s="217"/>
      <c r="G157" s="218"/>
      <c r="H157" s="217"/>
    </row>
    <row r="158">
      <c r="A158" s="217"/>
      <c r="B158" s="217"/>
      <c r="C158" s="217"/>
      <c r="D158" s="217"/>
      <c r="E158" s="217"/>
      <c r="F158" s="217"/>
      <c r="G158" s="218"/>
      <c r="H158" s="217"/>
    </row>
    <row r="159">
      <c r="A159" s="217"/>
      <c r="B159" s="217"/>
      <c r="C159" s="217"/>
      <c r="D159" s="217"/>
      <c r="E159" s="217"/>
      <c r="F159" s="217"/>
      <c r="G159" s="218"/>
      <c r="H159" s="217"/>
    </row>
    <row r="160">
      <c r="A160" s="217"/>
      <c r="B160" s="217"/>
      <c r="C160" s="217"/>
      <c r="D160" s="217"/>
      <c r="E160" s="217"/>
      <c r="F160" s="217"/>
      <c r="G160" s="218"/>
      <c r="H160" s="217"/>
    </row>
    <row r="161">
      <c r="A161" s="217"/>
      <c r="B161" s="217"/>
      <c r="C161" s="217"/>
      <c r="D161" s="217"/>
      <c r="E161" s="217"/>
      <c r="F161" s="217"/>
      <c r="G161" s="218"/>
      <c r="H161" s="217"/>
    </row>
    <row r="162">
      <c r="A162" s="217"/>
      <c r="B162" s="217"/>
      <c r="C162" s="217"/>
      <c r="D162" s="217"/>
      <c r="E162" s="217"/>
      <c r="F162" s="217"/>
      <c r="G162" s="218"/>
      <c r="H162" s="217"/>
    </row>
    <row r="163">
      <c r="A163" s="217"/>
      <c r="B163" s="217"/>
      <c r="C163" s="217"/>
      <c r="D163" s="217"/>
      <c r="E163" s="217"/>
      <c r="F163" s="217"/>
      <c r="G163" s="218"/>
      <c r="H163" s="217"/>
    </row>
    <row r="164">
      <c r="A164" s="217"/>
      <c r="B164" s="217"/>
      <c r="C164" s="217"/>
      <c r="D164" s="217"/>
      <c r="E164" s="217"/>
      <c r="F164" s="217"/>
      <c r="G164" s="218"/>
      <c r="H164" s="217"/>
    </row>
    <row r="165">
      <c r="A165" s="217"/>
      <c r="B165" s="217"/>
      <c r="C165" s="217"/>
      <c r="D165" s="217"/>
      <c r="E165" s="217"/>
      <c r="F165" s="217"/>
      <c r="G165" s="218"/>
      <c r="H165" s="217"/>
    </row>
    <row r="166">
      <c r="A166" s="217"/>
      <c r="B166" s="217"/>
      <c r="C166" s="217"/>
      <c r="D166" s="217"/>
      <c r="E166" s="217"/>
      <c r="F166" s="217"/>
      <c r="G166" s="218"/>
      <c r="H166" s="217"/>
    </row>
    <row r="167">
      <c r="A167" s="217"/>
      <c r="B167" s="217"/>
      <c r="C167" s="217"/>
      <c r="D167" s="217"/>
      <c r="E167" s="217"/>
      <c r="F167" s="217"/>
      <c r="G167" s="218"/>
      <c r="H167" s="217"/>
    </row>
    <row r="168">
      <c r="A168" s="217"/>
      <c r="B168" s="217"/>
      <c r="C168" s="217"/>
      <c r="D168" s="217"/>
      <c r="E168" s="217"/>
      <c r="F168" s="217"/>
      <c r="G168" s="218"/>
      <c r="H168" s="217"/>
    </row>
    <row r="169">
      <c r="A169" s="217"/>
      <c r="B169" s="217"/>
      <c r="C169" s="217"/>
      <c r="D169" s="217"/>
      <c r="E169" s="217"/>
      <c r="F169" s="217"/>
      <c r="G169" s="218"/>
      <c r="H169" s="217"/>
    </row>
    <row r="170">
      <c r="A170" s="217"/>
      <c r="B170" s="217"/>
      <c r="C170" s="217"/>
      <c r="D170" s="217"/>
      <c r="E170" s="217"/>
      <c r="F170" s="217"/>
      <c r="G170" s="218"/>
      <c r="H170" s="217"/>
    </row>
    <row r="171">
      <c r="A171" s="217"/>
      <c r="B171" s="217"/>
      <c r="C171" s="217"/>
      <c r="D171" s="217"/>
      <c r="E171" s="217"/>
      <c r="F171" s="217"/>
      <c r="G171" s="218"/>
      <c r="H171" s="217"/>
    </row>
    <row r="172">
      <c r="A172" s="217"/>
      <c r="B172" s="217"/>
      <c r="C172" s="217"/>
      <c r="D172" s="217"/>
      <c r="E172" s="217"/>
      <c r="F172" s="217"/>
      <c r="G172" s="218"/>
      <c r="H172" s="217"/>
    </row>
    <row r="173">
      <c r="A173" s="217"/>
      <c r="B173" s="217"/>
      <c r="C173" s="217"/>
      <c r="D173" s="217"/>
      <c r="E173" s="217"/>
      <c r="F173" s="217"/>
      <c r="G173" s="218"/>
      <c r="H173" s="217"/>
    </row>
    <row r="174">
      <c r="A174" s="217"/>
      <c r="B174" s="217"/>
      <c r="C174" s="217"/>
      <c r="D174" s="217"/>
      <c r="E174" s="217"/>
      <c r="F174" s="217"/>
      <c r="G174" s="218"/>
      <c r="H174" s="217"/>
    </row>
    <row r="175">
      <c r="A175" s="217"/>
      <c r="B175" s="217"/>
      <c r="C175" s="217"/>
      <c r="D175" s="217"/>
      <c r="E175" s="217"/>
      <c r="F175" s="217"/>
      <c r="G175" s="218"/>
      <c r="H175" s="217"/>
    </row>
    <row r="176">
      <c r="A176" s="217"/>
      <c r="B176" s="217"/>
      <c r="C176" s="217"/>
      <c r="D176" s="217"/>
      <c r="E176" s="217"/>
      <c r="F176" s="217"/>
      <c r="G176" s="218"/>
      <c r="H176" s="217"/>
    </row>
    <row r="177">
      <c r="A177" s="217"/>
      <c r="B177" s="217"/>
      <c r="C177" s="217"/>
      <c r="D177" s="217"/>
      <c r="E177" s="217"/>
      <c r="F177" s="217"/>
      <c r="G177" s="218"/>
      <c r="H177" s="217"/>
    </row>
    <row r="178">
      <c r="A178" s="217"/>
      <c r="B178" s="217"/>
      <c r="C178" s="217"/>
      <c r="D178" s="217"/>
      <c r="E178" s="217"/>
      <c r="F178" s="217"/>
      <c r="G178" s="218"/>
      <c r="H178" s="217"/>
    </row>
    <row r="179">
      <c r="A179" s="217"/>
      <c r="B179" s="217"/>
      <c r="C179" s="217"/>
      <c r="D179" s="217"/>
      <c r="E179" s="217"/>
      <c r="F179" s="217"/>
      <c r="G179" s="218"/>
      <c r="H179" s="217"/>
    </row>
    <row r="180">
      <c r="A180" s="217"/>
      <c r="B180" s="217"/>
      <c r="C180" s="217"/>
      <c r="D180" s="217"/>
      <c r="E180" s="217"/>
      <c r="F180" s="217"/>
      <c r="G180" s="218"/>
      <c r="H180" s="217"/>
    </row>
    <row r="181">
      <c r="A181" s="217"/>
      <c r="B181" s="217"/>
      <c r="C181" s="217"/>
      <c r="D181" s="217"/>
      <c r="E181" s="217"/>
      <c r="F181" s="217"/>
      <c r="G181" s="218"/>
      <c r="H181" s="217"/>
    </row>
    <row r="182">
      <c r="A182" s="217"/>
      <c r="B182" s="217"/>
      <c r="C182" s="217"/>
      <c r="D182" s="217"/>
      <c r="E182" s="217"/>
      <c r="F182" s="217"/>
      <c r="G182" s="218"/>
      <c r="H182" s="217"/>
    </row>
    <row r="183">
      <c r="A183" s="217"/>
      <c r="B183" s="217"/>
      <c r="C183" s="217"/>
      <c r="D183" s="217"/>
      <c r="E183" s="217"/>
      <c r="F183" s="217"/>
      <c r="G183" s="218"/>
      <c r="H183" s="217"/>
    </row>
    <row r="184">
      <c r="A184" s="217"/>
      <c r="B184" s="217"/>
      <c r="C184" s="217"/>
      <c r="D184" s="217"/>
      <c r="E184" s="217"/>
      <c r="F184" s="217"/>
      <c r="G184" s="218"/>
      <c r="H184" s="217"/>
    </row>
    <row r="185">
      <c r="A185" s="217"/>
      <c r="B185" s="217"/>
      <c r="C185" s="217"/>
      <c r="D185" s="217"/>
      <c r="E185" s="217"/>
      <c r="F185" s="217"/>
      <c r="G185" s="218"/>
      <c r="H185" s="217"/>
    </row>
    <row r="186">
      <c r="A186" s="217"/>
      <c r="B186" s="217"/>
      <c r="C186" s="217"/>
      <c r="D186" s="217"/>
      <c r="E186" s="217"/>
      <c r="F186" s="217"/>
      <c r="G186" s="218"/>
      <c r="H186" s="217"/>
    </row>
    <row r="187">
      <c r="A187" s="217"/>
      <c r="B187" s="217"/>
      <c r="C187" s="217"/>
      <c r="D187" s="217"/>
      <c r="E187" s="217"/>
      <c r="F187" s="217"/>
      <c r="G187" s="218"/>
      <c r="H187" s="217"/>
    </row>
    <row r="188">
      <c r="A188" s="217"/>
      <c r="B188" s="217"/>
      <c r="C188" s="217"/>
      <c r="D188" s="217"/>
      <c r="E188" s="217"/>
      <c r="F188" s="217"/>
      <c r="G188" s="218"/>
      <c r="H188" s="217"/>
    </row>
    <row r="189">
      <c r="A189" s="217"/>
      <c r="B189" s="217"/>
      <c r="C189" s="217"/>
      <c r="D189" s="217"/>
      <c r="E189" s="217"/>
      <c r="F189" s="217"/>
      <c r="G189" s="218"/>
      <c r="H189" s="217"/>
    </row>
    <row r="190">
      <c r="A190" s="217"/>
      <c r="B190" s="217"/>
      <c r="C190" s="217"/>
      <c r="D190" s="217"/>
      <c r="E190" s="217"/>
      <c r="F190" s="217"/>
      <c r="G190" s="218"/>
      <c r="H190" s="217"/>
    </row>
    <row r="191">
      <c r="A191" s="217"/>
      <c r="B191" s="217"/>
      <c r="C191" s="217"/>
      <c r="D191" s="217"/>
      <c r="E191" s="217"/>
      <c r="F191" s="217"/>
      <c r="G191" s="218"/>
      <c r="H191" s="217"/>
    </row>
    <row r="192">
      <c r="A192" s="217"/>
      <c r="B192" s="217"/>
      <c r="C192" s="217"/>
      <c r="D192" s="217"/>
      <c r="E192" s="217"/>
      <c r="F192" s="217"/>
      <c r="G192" s="218"/>
      <c r="H192" s="217"/>
    </row>
    <row r="193">
      <c r="A193" s="217"/>
      <c r="B193" s="217"/>
      <c r="C193" s="217"/>
      <c r="D193" s="217"/>
      <c r="E193" s="217"/>
      <c r="F193" s="217"/>
      <c r="G193" s="218"/>
      <c r="H193" s="217"/>
    </row>
    <row r="194">
      <c r="A194" s="217"/>
      <c r="B194" s="217"/>
      <c r="C194" s="217"/>
      <c r="D194" s="217"/>
      <c r="E194" s="217"/>
      <c r="F194" s="217"/>
      <c r="G194" s="218"/>
      <c r="H194" s="217"/>
    </row>
    <row r="195">
      <c r="A195" s="217"/>
      <c r="B195" s="217"/>
      <c r="C195" s="217"/>
      <c r="D195" s="217"/>
      <c r="E195" s="217"/>
      <c r="F195" s="217"/>
      <c r="G195" s="218"/>
      <c r="H195" s="217"/>
    </row>
    <row r="196">
      <c r="A196" s="217"/>
      <c r="B196" s="217"/>
      <c r="C196" s="217"/>
      <c r="D196" s="217"/>
      <c r="E196" s="217"/>
      <c r="F196" s="217"/>
      <c r="G196" s="218"/>
      <c r="H196" s="217"/>
    </row>
    <row r="197">
      <c r="A197" s="217"/>
      <c r="B197" s="217"/>
      <c r="C197" s="217"/>
      <c r="D197" s="217"/>
      <c r="E197" s="217"/>
      <c r="F197" s="217"/>
      <c r="G197" s="218"/>
      <c r="H197" s="217"/>
    </row>
    <row r="198">
      <c r="A198" s="217"/>
      <c r="B198" s="217"/>
      <c r="C198" s="217"/>
      <c r="D198" s="217"/>
      <c r="E198" s="217"/>
      <c r="F198" s="217"/>
      <c r="G198" s="218"/>
      <c r="H198" s="217"/>
    </row>
    <row r="199">
      <c r="A199" s="217"/>
      <c r="B199" s="217"/>
      <c r="C199" s="217"/>
      <c r="D199" s="217"/>
      <c r="E199" s="217"/>
      <c r="F199" s="217"/>
      <c r="G199" s="218"/>
      <c r="H199" s="217"/>
    </row>
    <row r="200">
      <c r="A200" s="217"/>
      <c r="B200" s="217"/>
      <c r="C200" s="217"/>
      <c r="D200" s="217"/>
      <c r="E200" s="217"/>
      <c r="F200" s="217"/>
      <c r="G200" s="218"/>
      <c r="H200" s="217"/>
    </row>
    <row r="201">
      <c r="A201" s="217"/>
      <c r="B201" s="217"/>
      <c r="C201" s="217"/>
      <c r="D201" s="217"/>
      <c r="E201" s="217"/>
      <c r="F201" s="217"/>
      <c r="G201" s="218"/>
      <c r="H201" s="217"/>
    </row>
    <row r="202">
      <c r="A202" s="217"/>
      <c r="B202" s="217"/>
      <c r="C202" s="217"/>
      <c r="D202" s="217"/>
      <c r="E202" s="217"/>
      <c r="F202" s="217"/>
      <c r="G202" s="218"/>
      <c r="H202" s="217"/>
    </row>
    <row r="203">
      <c r="A203" s="217"/>
      <c r="B203" s="217"/>
      <c r="C203" s="217"/>
      <c r="D203" s="217"/>
      <c r="E203" s="217"/>
      <c r="F203" s="217"/>
      <c r="G203" s="218"/>
      <c r="H203" s="217"/>
    </row>
    <row r="204">
      <c r="A204" s="217"/>
      <c r="B204" s="217"/>
      <c r="C204" s="217"/>
      <c r="D204" s="217"/>
      <c r="E204" s="217"/>
      <c r="F204" s="217"/>
      <c r="G204" s="218"/>
      <c r="H204" s="217"/>
    </row>
    <row r="205">
      <c r="A205" s="217"/>
      <c r="B205" s="217"/>
      <c r="C205" s="217"/>
      <c r="D205" s="217"/>
      <c r="E205" s="217"/>
      <c r="F205" s="217"/>
      <c r="G205" s="218"/>
      <c r="H205" s="217"/>
    </row>
    <row r="206">
      <c r="A206" s="217"/>
      <c r="B206" s="217"/>
      <c r="C206" s="217"/>
      <c r="D206" s="217"/>
      <c r="E206" s="217"/>
      <c r="F206" s="217"/>
      <c r="G206" s="218"/>
      <c r="H206" s="217"/>
    </row>
    <row r="207">
      <c r="A207" s="217"/>
      <c r="B207" s="217"/>
      <c r="C207" s="217"/>
      <c r="D207" s="217"/>
      <c r="E207" s="217"/>
      <c r="F207" s="217"/>
      <c r="G207" s="218"/>
      <c r="H207" s="217"/>
    </row>
    <row r="208">
      <c r="A208" s="217"/>
      <c r="B208" s="217"/>
      <c r="C208" s="217"/>
      <c r="D208" s="217"/>
      <c r="E208" s="217"/>
      <c r="F208" s="217"/>
      <c r="G208" s="218"/>
      <c r="H208" s="217"/>
    </row>
    <row r="209">
      <c r="A209" s="217"/>
      <c r="B209" s="217"/>
      <c r="C209" s="217"/>
      <c r="D209" s="217"/>
      <c r="E209" s="217"/>
      <c r="F209" s="217"/>
      <c r="G209" s="218"/>
      <c r="H209" s="217"/>
    </row>
    <row r="210">
      <c r="A210" s="217"/>
      <c r="B210" s="217"/>
      <c r="C210" s="217"/>
      <c r="D210" s="217"/>
      <c r="E210" s="217"/>
      <c r="F210" s="217"/>
      <c r="G210" s="218"/>
      <c r="H210" s="217"/>
    </row>
    <row r="211">
      <c r="A211" s="217"/>
      <c r="B211" s="217"/>
      <c r="C211" s="217"/>
      <c r="D211" s="217"/>
      <c r="E211" s="217"/>
      <c r="F211" s="217"/>
      <c r="G211" s="218"/>
      <c r="H211" s="217"/>
    </row>
    <row r="212">
      <c r="A212" s="217"/>
      <c r="B212" s="217"/>
      <c r="C212" s="217"/>
      <c r="D212" s="217"/>
      <c r="E212" s="217"/>
      <c r="F212" s="217"/>
      <c r="G212" s="218"/>
      <c r="H212" s="217"/>
    </row>
    <row r="213">
      <c r="A213" s="217"/>
      <c r="B213" s="217"/>
      <c r="C213" s="217"/>
      <c r="D213" s="217"/>
      <c r="E213" s="217"/>
      <c r="F213" s="217"/>
      <c r="G213" s="218"/>
      <c r="H213" s="217"/>
    </row>
    <row r="214">
      <c r="A214" s="217"/>
      <c r="B214" s="217"/>
      <c r="C214" s="217"/>
      <c r="D214" s="217"/>
      <c r="E214" s="217"/>
      <c r="F214" s="217"/>
      <c r="G214" s="218"/>
      <c r="H214" s="217"/>
    </row>
    <row r="215">
      <c r="A215" s="217"/>
      <c r="B215" s="217"/>
      <c r="C215" s="217"/>
      <c r="D215" s="217"/>
      <c r="E215" s="217"/>
      <c r="F215" s="217"/>
      <c r="G215" s="218"/>
      <c r="H215" s="217"/>
    </row>
    <row r="216">
      <c r="A216" s="217"/>
      <c r="B216" s="217"/>
      <c r="C216" s="217"/>
      <c r="D216" s="217"/>
      <c r="E216" s="217"/>
      <c r="F216" s="217"/>
      <c r="G216" s="218"/>
      <c r="H216" s="217"/>
    </row>
    <row r="217">
      <c r="A217" s="217"/>
      <c r="B217" s="217"/>
      <c r="C217" s="217"/>
      <c r="D217" s="217"/>
      <c r="E217" s="217"/>
      <c r="F217" s="217"/>
      <c r="G217" s="218"/>
      <c r="H217" s="217"/>
    </row>
    <row r="218">
      <c r="A218" s="217"/>
      <c r="B218" s="217"/>
      <c r="C218" s="217"/>
      <c r="D218" s="217"/>
      <c r="E218" s="217"/>
      <c r="F218" s="217"/>
      <c r="G218" s="218"/>
      <c r="H218" s="217"/>
    </row>
    <row r="219">
      <c r="A219" s="217"/>
      <c r="B219" s="217"/>
      <c r="C219" s="217"/>
      <c r="D219" s="217"/>
      <c r="E219" s="217"/>
      <c r="F219" s="217"/>
      <c r="G219" s="218"/>
      <c r="H219" s="217"/>
    </row>
    <row r="220">
      <c r="A220" s="217"/>
      <c r="B220" s="217"/>
      <c r="C220" s="217"/>
      <c r="D220" s="217"/>
      <c r="E220" s="217"/>
      <c r="F220" s="217"/>
      <c r="G220" s="218"/>
      <c r="H220" s="217"/>
    </row>
    <row r="221">
      <c r="A221" s="217"/>
      <c r="B221" s="217"/>
      <c r="C221" s="217"/>
      <c r="D221" s="217"/>
      <c r="E221" s="217"/>
      <c r="F221" s="217"/>
      <c r="G221" s="218"/>
      <c r="H221" s="217"/>
    </row>
    <row r="222">
      <c r="A222" s="217"/>
      <c r="B222" s="217"/>
      <c r="C222" s="217"/>
      <c r="D222" s="217"/>
      <c r="E222" s="217"/>
      <c r="F222" s="217"/>
      <c r="G222" s="218"/>
      <c r="H222" s="217"/>
    </row>
    <row r="223">
      <c r="A223" s="217"/>
      <c r="B223" s="217"/>
      <c r="C223" s="217"/>
      <c r="D223" s="217"/>
      <c r="E223" s="217"/>
      <c r="F223" s="217"/>
      <c r="G223" s="218"/>
      <c r="H223" s="217"/>
    </row>
    <row r="224">
      <c r="A224" s="217"/>
      <c r="B224" s="217"/>
      <c r="C224" s="217"/>
      <c r="D224" s="217"/>
      <c r="E224" s="217"/>
      <c r="F224" s="217"/>
      <c r="G224" s="218"/>
      <c r="H224" s="217"/>
    </row>
    <row r="225">
      <c r="A225" s="217"/>
      <c r="B225" s="217"/>
      <c r="C225" s="217"/>
      <c r="D225" s="217"/>
      <c r="E225" s="217"/>
      <c r="F225" s="217"/>
      <c r="G225" s="218"/>
      <c r="H225" s="217"/>
    </row>
    <row r="226">
      <c r="A226" s="217"/>
      <c r="B226" s="217"/>
      <c r="C226" s="217"/>
      <c r="D226" s="217"/>
      <c r="E226" s="217"/>
      <c r="F226" s="217"/>
      <c r="G226" s="218"/>
      <c r="H226" s="217"/>
    </row>
    <row r="227">
      <c r="A227" s="217"/>
      <c r="B227" s="217"/>
      <c r="C227" s="217"/>
      <c r="D227" s="217"/>
      <c r="E227" s="217"/>
      <c r="F227" s="217"/>
      <c r="G227" s="218"/>
      <c r="H227" s="217"/>
    </row>
    <row r="228">
      <c r="A228" s="217"/>
      <c r="B228" s="217"/>
      <c r="C228" s="217"/>
      <c r="D228" s="217"/>
      <c r="E228" s="217"/>
      <c r="F228" s="217"/>
      <c r="G228" s="218"/>
      <c r="H228" s="217"/>
    </row>
    <row r="229">
      <c r="A229" s="217"/>
      <c r="B229" s="217"/>
      <c r="C229" s="217"/>
      <c r="D229" s="217"/>
      <c r="E229" s="217"/>
      <c r="F229" s="217"/>
      <c r="G229" s="218"/>
      <c r="H229" s="217"/>
    </row>
    <row r="230">
      <c r="A230" s="217"/>
      <c r="B230" s="217"/>
      <c r="C230" s="217"/>
      <c r="D230" s="217"/>
      <c r="E230" s="217"/>
      <c r="F230" s="217"/>
      <c r="G230" s="218"/>
      <c r="H230" s="217"/>
    </row>
    <row r="231">
      <c r="A231" s="217"/>
      <c r="B231" s="217"/>
      <c r="C231" s="217"/>
      <c r="D231" s="217"/>
      <c r="E231" s="217"/>
      <c r="F231" s="217"/>
      <c r="G231" s="218"/>
      <c r="H231" s="217"/>
    </row>
    <row r="232">
      <c r="A232" s="217"/>
      <c r="B232" s="217"/>
      <c r="C232" s="217"/>
      <c r="D232" s="217"/>
      <c r="E232" s="217"/>
      <c r="F232" s="217"/>
      <c r="G232" s="218"/>
      <c r="H232" s="217"/>
    </row>
    <row r="233">
      <c r="A233" s="217"/>
      <c r="B233" s="217"/>
      <c r="C233" s="217"/>
      <c r="D233" s="217"/>
      <c r="E233" s="217"/>
      <c r="F233" s="217"/>
      <c r="G233" s="218"/>
      <c r="H233" s="217"/>
    </row>
    <row r="234">
      <c r="A234" s="217"/>
      <c r="B234" s="217"/>
      <c r="C234" s="217"/>
      <c r="D234" s="217"/>
      <c r="E234" s="217"/>
      <c r="F234" s="217"/>
      <c r="G234" s="218"/>
      <c r="H234" s="217"/>
    </row>
    <row r="235">
      <c r="A235" s="217"/>
      <c r="B235" s="217"/>
      <c r="C235" s="217"/>
      <c r="D235" s="217"/>
      <c r="E235" s="217"/>
      <c r="F235" s="217"/>
      <c r="G235" s="218"/>
      <c r="H235" s="217"/>
    </row>
    <row r="236">
      <c r="A236" s="217"/>
      <c r="B236" s="217"/>
      <c r="C236" s="217"/>
      <c r="D236" s="217"/>
      <c r="E236" s="217"/>
      <c r="F236" s="217"/>
      <c r="G236" s="218"/>
      <c r="H236" s="217"/>
    </row>
    <row r="237">
      <c r="A237" s="217"/>
      <c r="B237" s="217"/>
      <c r="C237" s="217"/>
      <c r="D237" s="217"/>
      <c r="E237" s="217"/>
      <c r="F237" s="217"/>
      <c r="G237" s="218"/>
      <c r="H237" s="217"/>
    </row>
    <row r="238">
      <c r="A238" s="217"/>
      <c r="B238" s="217"/>
      <c r="C238" s="217"/>
      <c r="D238" s="217"/>
      <c r="E238" s="217"/>
      <c r="F238" s="217"/>
      <c r="G238" s="218"/>
      <c r="H238" s="217"/>
    </row>
    <row r="239">
      <c r="A239" s="217"/>
      <c r="B239" s="217"/>
      <c r="C239" s="217"/>
      <c r="D239" s="217"/>
      <c r="E239" s="217"/>
      <c r="F239" s="217"/>
      <c r="G239" s="218"/>
      <c r="H239" s="217"/>
    </row>
    <row r="240">
      <c r="A240" s="217"/>
      <c r="B240" s="217"/>
      <c r="C240" s="217"/>
      <c r="D240" s="217"/>
      <c r="E240" s="217"/>
      <c r="F240" s="217"/>
      <c r="G240" s="218"/>
      <c r="H240" s="217"/>
    </row>
    <row r="241">
      <c r="A241" s="217"/>
      <c r="B241" s="217"/>
      <c r="C241" s="217"/>
      <c r="D241" s="217"/>
      <c r="E241" s="217"/>
      <c r="F241" s="217"/>
      <c r="G241" s="218"/>
      <c r="H241" s="217"/>
    </row>
    <row r="242">
      <c r="A242" s="217"/>
      <c r="B242" s="217"/>
      <c r="C242" s="217"/>
      <c r="D242" s="217"/>
      <c r="E242" s="217"/>
      <c r="F242" s="217"/>
      <c r="G242" s="218"/>
      <c r="H242" s="217"/>
    </row>
    <row r="243">
      <c r="A243" s="217"/>
      <c r="B243" s="217"/>
      <c r="C243" s="217"/>
      <c r="D243" s="217"/>
      <c r="E243" s="217"/>
      <c r="F243" s="217"/>
      <c r="G243" s="218"/>
      <c r="H243" s="217"/>
    </row>
    <row r="244">
      <c r="A244" s="217"/>
      <c r="B244" s="217"/>
      <c r="C244" s="217"/>
      <c r="D244" s="217"/>
      <c r="E244" s="217"/>
      <c r="F244" s="217"/>
      <c r="G244" s="218"/>
      <c r="H244" s="217"/>
    </row>
    <row r="245">
      <c r="A245" s="217"/>
      <c r="B245" s="217"/>
      <c r="C245" s="217"/>
      <c r="D245" s="217"/>
      <c r="E245" s="217"/>
      <c r="F245" s="217"/>
      <c r="G245" s="218"/>
      <c r="H245" s="217"/>
    </row>
    <row r="246">
      <c r="A246" s="217"/>
      <c r="B246" s="217"/>
      <c r="C246" s="217"/>
      <c r="D246" s="217"/>
      <c r="E246" s="217"/>
      <c r="F246" s="217"/>
      <c r="G246" s="218"/>
      <c r="H246" s="217"/>
    </row>
    <row r="247">
      <c r="A247" s="217"/>
      <c r="B247" s="217"/>
      <c r="C247" s="217"/>
      <c r="D247" s="217"/>
      <c r="E247" s="217"/>
      <c r="F247" s="217"/>
      <c r="G247" s="218"/>
      <c r="H247" s="217"/>
    </row>
    <row r="248">
      <c r="A248" s="217"/>
      <c r="B248" s="217"/>
      <c r="C248" s="217"/>
      <c r="D248" s="217"/>
      <c r="E248" s="217"/>
      <c r="F248" s="217"/>
      <c r="G248" s="218"/>
      <c r="H248" s="217"/>
    </row>
    <row r="249">
      <c r="A249" s="217"/>
      <c r="B249" s="217"/>
      <c r="C249" s="217"/>
      <c r="D249" s="217"/>
      <c r="E249" s="217"/>
      <c r="F249" s="217"/>
      <c r="G249" s="218"/>
      <c r="H249" s="217"/>
    </row>
    <row r="250">
      <c r="A250" s="217"/>
      <c r="B250" s="217"/>
      <c r="C250" s="217"/>
      <c r="D250" s="217"/>
      <c r="E250" s="217"/>
      <c r="F250" s="217"/>
      <c r="G250" s="218"/>
      <c r="H250" s="217"/>
    </row>
    <row r="251">
      <c r="A251" s="217"/>
      <c r="B251" s="217"/>
      <c r="C251" s="217"/>
      <c r="D251" s="217"/>
      <c r="E251" s="217"/>
      <c r="F251" s="217"/>
      <c r="G251" s="218"/>
      <c r="H251" s="217"/>
    </row>
    <row r="252">
      <c r="A252" s="217"/>
      <c r="B252" s="217"/>
      <c r="C252" s="217"/>
      <c r="D252" s="217"/>
      <c r="E252" s="217"/>
      <c r="F252" s="217"/>
      <c r="G252" s="218"/>
      <c r="H252" s="217"/>
    </row>
    <row r="253">
      <c r="A253" s="217"/>
      <c r="B253" s="217"/>
      <c r="C253" s="217"/>
      <c r="D253" s="217"/>
      <c r="E253" s="217"/>
      <c r="F253" s="217"/>
      <c r="G253" s="218"/>
      <c r="H253" s="217"/>
    </row>
    <row r="254">
      <c r="A254" s="217"/>
      <c r="B254" s="217"/>
      <c r="C254" s="217"/>
      <c r="D254" s="217"/>
      <c r="E254" s="217"/>
      <c r="F254" s="217"/>
      <c r="G254" s="218"/>
      <c r="H254" s="217"/>
    </row>
    <row r="255">
      <c r="A255" s="217"/>
      <c r="B255" s="217"/>
      <c r="C255" s="217"/>
      <c r="D255" s="217"/>
      <c r="E255" s="217"/>
      <c r="F255" s="217"/>
      <c r="G255" s="218"/>
      <c r="H255" s="217"/>
    </row>
    <row r="256">
      <c r="A256" s="217"/>
      <c r="B256" s="217"/>
      <c r="C256" s="217"/>
      <c r="D256" s="217"/>
      <c r="E256" s="217"/>
      <c r="F256" s="217"/>
      <c r="G256" s="218"/>
      <c r="H256" s="217"/>
    </row>
    <row r="257">
      <c r="A257" s="217"/>
      <c r="B257" s="217"/>
      <c r="C257" s="217"/>
      <c r="D257" s="217"/>
      <c r="E257" s="217"/>
      <c r="F257" s="217"/>
      <c r="G257" s="218"/>
      <c r="H257" s="217"/>
    </row>
    <row r="258">
      <c r="A258" s="217"/>
      <c r="B258" s="217"/>
      <c r="C258" s="217"/>
      <c r="D258" s="217"/>
      <c r="E258" s="217"/>
      <c r="F258" s="217"/>
      <c r="G258" s="218"/>
      <c r="H258" s="217"/>
    </row>
    <row r="259">
      <c r="A259" s="217"/>
      <c r="B259" s="217"/>
      <c r="C259" s="217"/>
      <c r="D259" s="217"/>
      <c r="E259" s="217"/>
      <c r="F259" s="217"/>
      <c r="G259" s="218"/>
      <c r="H259" s="217"/>
    </row>
    <row r="260">
      <c r="A260" s="217"/>
      <c r="B260" s="217"/>
      <c r="C260" s="217"/>
      <c r="D260" s="217"/>
      <c r="E260" s="217"/>
      <c r="F260" s="217"/>
      <c r="G260" s="218"/>
      <c r="H260" s="217"/>
    </row>
    <row r="261">
      <c r="A261" s="217"/>
      <c r="B261" s="217"/>
      <c r="C261" s="217"/>
      <c r="D261" s="217"/>
      <c r="E261" s="217"/>
      <c r="F261" s="217"/>
      <c r="G261" s="218"/>
      <c r="H261" s="217"/>
    </row>
    <row r="262">
      <c r="A262" s="217"/>
      <c r="B262" s="217"/>
      <c r="C262" s="217"/>
      <c r="D262" s="217"/>
      <c r="E262" s="217"/>
      <c r="F262" s="217"/>
      <c r="G262" s="218"/>
      <c r="H262" s="217"/>
    </row>
    <row r="263">
      <c r="A263" s="217"/>
      <c r="B263" s="217"/>
      <c r="C263" s="217"/>
      <c r="D263" s="217"/>
      <c r="E263" s="217"/>
      <c r="F263" s="217"/>
      <c r="G263" s="218"/>
      <c r="H263" s="217"/>
    </row>
    <row r="264">
      <c r="A264" s="217"/>
      <c r="B264" s="217"/>
      <c r="C264" s="217"/>
      <c r="D264" s="217"/>
      <c r="E264" s="217"/>
      <c r="F264" s="217"/>
      <c r="G264" s="218"/>
      <c r="H264" s="217"/>
    </row>
    <row r="265">
      <c r="A265" s="217"/>
      <c r="B265" s="217"/>
      <c r="C265" s="217"/>
      <c r="D265" s="217"/>
      <c r="E265" s="217"/>
      <c r="F265" s="217"/>
      <c r="G265" s="218"/>
      <c r="H265" s="217"/>
    </row>
    <row r="266">
      <c r="A266" s="217"/>
      <c r="B266" s="217"/>
      <c r="C266" s="217"/>
      <c r="D266" s="217"/>
      <c r="E266" s="217"/>
      <c r="F266" s="217"/>
      <c r="G266" s="218"/>
      <c r="H266" s="217"/>
    </row>
    <row r="267">
      <c r="A267" s="217"/>
      <c r="B267" s="217"/>
      <c r="C267" s="217"/>
      <c r="D267" s="217"/>
      <c r="E267" s="217"/>
      <c r="F267" s="217"/>
      <c r="G267" s="218"/>
      <c r="H267" s="217"/>
    </row>
    <row r="268">
      <c r="A268" s="217"/>
      <c r="B268" s="217"/>
      <c r="C268" s="217"/>
      <c r="D268" s="217"/>
      <c r="E268" s="217"/>
      <c r="F268" s="217"/>
      <c r="G268" s="218"/>
      <c r="H268" s="217"/>
    </row>
    <row r="269">
      <c r="A269" s="217"/>
      <c r="B269" s="217"/>
      <c r="C269" s="217"/>
      <c r="D269" s="217"/>
      <c r="E269" s="217"/>
      <c r="F269" s="217"/>
      <c r="G269" s="218"/>
      <c r="H269" s="217"/>
    </row>
    <row r="270">
      <c r="A270" s="217"/>
      <c r="B270" s="217"/>
      <c r="C270" s="217"/>
      <c r="D270" s="217"/>
      <c r="E270" s="217"/>
      <c r="F270" s="217"/>
      <c r="G270" s="218"/>
      <c r="H270" s="217"/>
    </row>
    <row r="271">
      <c r="A271" s="217"/>
      <c r="B271" s="217"/>
      <c r="C271" s="217"/>
      <c r="D271" s="217"/>
      <c r="E271" s="217"/>
      <c r="F271" s="217"/>
      <c r="G271" s="218"/>
      <c r="H271" s="217"/>
    </row>
    <row r="272">
      <c r="A272" s="217"/>
      <c r="B272" s="217"/>
      <c r="C272" s="217"/>
      <c r="D272" s="217"/>
      <c r="E272" s="217"/>
      <c r="F272" s="217"/>
      <c r="G272" s="218"/>
      <c r="H272" s="217"/>
    </row>
    <row r="273">
      <c r="A273" s="217"/>
      <c r="B273" s="217"/>
      <c r="C273" s="217"/>
      <c r="D273" s="217"/>
      <c r="E273" s="217"/>
      <c r="F273" s="217"/>
      <c r="G273" s="218"/>
      <c r="H273" s="217"/>
    </row>
    <row r="274">
      <c r="A274" s="217"/>
      <c r="B274" s="217"/>
      <c r="C274" s="217"/>
      <c r="D274" s="217"/>
      <c r="E274" s="217"/>
      <c r="F274" s="217"/>
      <c r="G274" s="218"/>
      <c r="H274" s="217"/>
    </row>
    <row r="275">
      <c r="A275" s="217"/>
      <c r="B275" s="217"/>
      <c r="C275" s="217"/>
      <c r="D275" s="217"/>
      <c r="E275" s="217"/>
      <c r="F275" s="217"/>
      <c r="G275" s="218"/>
      <c r="H275" s="217"/>
    </row>
    <row r="276">
      <c r="A276" s="217"/>
      <c r="B276" s="217"/>
      <c r="C276" s="217"/>
      <c r="D276" s="217"/>
      <c r="E276" s="217"/>
      <c r="F276" s="217"/>
      <c r="G276" s="218"/>
      <c r="H276" s="217"/>
    </row>
    <row r="277">
      <c r="A277" s="217"/>
      <c r="B277" s="217"/>
      <c r="C277" s="217"/>
      <c r="D277" s="217"/>
      <c r="E277" s="217"/>
      <c r="F277" s="217"/>
      <c r="G277" s="218"/>
      <c r="H277" s="217"/>
    </row>
    <row r="278">
      <c r="A278" s="217"/>
      <c r="B278" s="217"/>
      <c r="C278" s="217"/>
      <c r="D278" s="217"/>
      <c r="E278" s="217"/>
      <c r="F278" s="217"/>
      <c r="G278" s="218"/>
      <c r="H278" s="217"/>
    </row>
    <row r="279">
      <c r="A279" s="217"/>
      <c r="B279" s="217"/>
      <c r="C279" s="217"/>
      <c r="D279" s="217"/>
      <c r="E279" s="217"/>
      <c r="F279" s="217"/>
      <c r="G279" s="218"/>
      <c r="H279" s="217"/>
    </row>
    <row r="280">
      <c r="A280" s="217"/>
      <c r="B280" s="217"/>
      <c r="C280" s="217"/>
      <c r="D280" s="217"/>
      <c r="E280" s="217"/>
      <c r="F280" s="217"/>
      <c r="G280" s="218"/>
      <c r="H280" s="217"/>
    </row>
    <row r="281">
      <c r="A281" s="217"/>
      <c r="B281" s="217"/>
      <c r="C281" s="217"/>
      <c r="D281" s="217"/>
      <c r="E281" s="217"/>
      <c r="F281" s="217"/>
      <c r="G281" s="218"/>
      <c r="H281" s="217"/>
    </row>
    <row r="282">
      <c r="A282" s="217"/>
      <c r="B282" s="217"/>
      <c r="C282" s="217"/>
      <c r="D282" s="217"/>
      <c r="E282" s="217"/>
      <c r="F282" s="217"/>
      <c r="G282" s="218"/>
      <c r="H282" s="217"/>
    </row>
    <row r="283">
      <c r="A283" s="217"/>
      <c r="B283" s="217"/>
      <c r="C283" s="217"/>
      <c r="D283" s="217"/>
      <c r="E283" s="217"/>
      <c r="F283" s="217"/>
      <c r="G283" s="218"/>
      <c r="H283" s="217"/>
    </row>
    <row r="284">
      <c r="A284" s="217"/>
      <c r="B284" s="217"/>
      <c r="C284" s="217"/>
      <c r="D284" s="217"/>
      <c r="E284" s="217"/>
      <c r="F284" s="217"/>
      <c r="G284" s="218"/>
      <c r="H284" s="217"/>
    </row>
    <row r="285">
      <c r="A285" s="217"/>
      <c r="B285" s="217"/>
      <c r="C285" s="217"/>
      <c r="D285" s="217"/>
      <c r="E285" s="217"/>
      <c r="F285" s="217"/>
      <c r="G285" s="218"/>
      <c r="H285" s="217"/>
    </row>
    <row r="286">
      <c r="A286" s="217"/>
      <c r="B286" s="217"/>
      <c r="C286" s="217"/>
      <c r="D286" s="217"/>
      <c r="E286" s="217"/>
      <c r="F286" s="217"/>
      <c r="G286" s="218"/>
      <c r="H286" s="217"/>
    </row>
    <row r="287">
      <c r="A287" s="217"/>
      <c r="B287" s="217"/>
      <c r="C287" s="217"/>
      <c r="D287" s="217"/>
      <c r="E287" s="217"/>
      <c r="F287" s="217"/>
      <c r="G287" s="218"/>
      <c r="H287" s="217"/>
    </row>
    <row r="288">
      <c r="A288" s="217"/>
      <c r="B288" s="217"/>
      <c r="C288" s="217"/>
      <c r="D288" s="217"/>
      <c r="E288" s="217"/>
      <c r="F288" s="217"/>
      <c r="G288" s="218"/>
      <c r="H288" s="217"/>
    </row>
    <row r="289">
      <c r="A289" s="217"/>
      <c r="B289" s="217"/>
      <c r="C289" s="217"/>
      <c r="D289" s="217"/>
      <c r="E289" s="217"/>
      <c r="F289" s="217"/>
      <c r="G289" s="218"/>
      <c r="H289" s="217"/>
    </row>
    <row r="290">
      <c r="A290" s="217"/>
      <c r="B290" s="217"/>
      <c r="C290" s="217"/>
      <c r="D290" s="217"/>
      <c r="E290" s="217"/>
      <c r="F290" s="217"/>
      <c r="G290" s="218"/>
      <c r="H290" s="217"/>
    </row>
    <row r="291">
      <c r="A291" s="217"/>
      <c r="B291" s="217"/>
      <c r="C291" s="217"/>
      <c r="D291" s="217"/>
      <c r="E291" s="217"/>
      <c r="F291" s="217"/>
      <c r="G291" s="218"/>
      <c r="H291" s="217"/>
    </row>
    <row r="292">
      <c r="A292" s="217"/>
      <c r="B292" s="217"/>
      <c r="C292" s="217"/>
      <c r="D292" s="217"/>
      <c r="E292" s="217"/>
      <c r="F292" s="217"/>
      <c r="G292" s="218"/>
      <c r="H292" s="217"/>
    </row>
    <row r="293">
      <c r="A293" s="217"/>
      <c r="B293" s="217"/>
      <c r="C293" s="217"/>
      <c r="D293" s="217"/>
      <c r="E293" s="217"/>
      <c r="F293" s="217"/>
      <c r="G293" s="218"/>
      <c r="H293" s="217"/>
    </row>
    <row r="294">
      <c r="A294" s="217"/>
      <c r="B294" s="217"/>
      <c r="C294" s="217"/>
      <c r="D294" s="217"/>
      <c r="E294" s="217"/>
      <c r="F294" s="217"/>
      <c r="G294" s="218"/>
      <c r="H294" s="217"/>
    </row>
    <row r="295">
      <c r="A295" s="217"/>
      <c r="B295" s="217"/>
      <c r="C295" s="217"/>
      <c r="D295" s="217"/>
      <c r="E295" s="217"/>
      <c r="F295" s="217"/>
      <c r="G295" s="218"/>
      <c r="H295" s="217"/>
    </row>
    <row r="296">
      <c r="A296" s="217"/>
      <c r="B296" s="217"/>
      <c r="C296" s="217"/>
      <c r="D296" s="217"/>
      <c r="E296" s="217"/>
      <c r="F296" s="217"/>
      <c r="G296" s="218"/>
      <c r="H296" s="217"/>
    </row>
    <row r="297">
      <c r="A297" s="217"/>
      <c r="B297" s="217"/>
      <c r="C297" s="217"/>
      <c r="D297" s="217"/>
      <c r="E297" s="217"/>
      <c r="F297" s="217"/>
      <c r="G297" s="218"/>
      <c r="H297" s="217"/>
    </row>
    <row r="298">
      <c r="A298" s="217"/>
      <c r="B298" s="217"/>
      <c r="C298" s="217"/>
      <c r="D298" s="217"/>
      <c r="E298" s="217"/>
      <c r="F298" s="217"/>
      <c r="G298" s="218"/>
      <c r="H298" s="217"/>
    </row>
    <row r="299">
      <c r="A299" s="217"/>
      <c r="B299" s="217"/>
      <c r="C299" s="217"/>
      <c r="D299" s="217"/>
      <c r="E299" s="217"/>
      <c r="F299" s="217"/>
      <c r="G299" s="218"/>
      <c r="H299" s="217"/>
    </row>
    <row r="300">
      <c r="A300" s="217"/>
      <c r="B300" s="217"/>
      <c r="C300" s="217"/>
      <c r="D300" s="217"/>
      <c r="E300" s="217"/>
      <c r="F300" s="217"/>
      <c r="G300" s="218"/>
      <c r="H300" s="217"/>
    </row>
    <row r="301">
      <c r="A301" s="217"/>
      <c r="B301" s="217"/>
      <c r="C301" s="217"/>
      <c r="D301" s="217"/>
      <c r="E301" s="217"/>
      <c r="F301" s="217"/>
      <c r="G301" s="218"/>
      <c r="H301" s="217"/>
    </row>
    <row r="302">
      <c r="A302" s="217"/>
      <c r="B302" s="217"/>
      <c r="C302" s="217"/>
      <c r="D302" s="217"/>
      <c r="E302" s="217"/>
      <c r="F302" s="217"/>
      <c r="G302" s="218"/>
      <c r="H302" s="217"/>
    </row>
    <row r="303">
      <c r="A303" s="217"/>
      <c r="B303" s="217"/>
      <c r="C303" s="217"/>
      <c r="D303" s="217"/>
      <c r="E303" s="217"/>
      <c r="F303" s="217"/>
      <c r="G303" s="218"/>
      <c r="H303" s="217"/>
    </row>
    <row r="304">
      <c r="A304" s="217"/>
      <c r="B304" s="217"/>
      <c r="C304" s="217"/>
      <c r="D304" s="217"/>
      <c r="E304" s="217"/>
      <c r="F304" s="217"/>
      <c r="G304" s="218"/>
      <c r="H304" s="217"/>
    </row>
    <row r="305">
      <c r="A305" s="217"/>
      <c r="B305" s="217"/>
      <c r="C305" s="217"/>
      <c r="D305" s="217"/>
      <c r="E305" s="217"/>
      <c r="F305" s="217"/>
      <c r="G305" s="218"/>
      <c r="H305" s="217"/>
    </row>
    <row r="306">
      <c r="A306" s="217"/>
      <c r="B306" s="217"/>
      <c r="C306" s="217"/>
      <c r="D306" s="217"/>
      <c r="E306" s="217"/>
      <c r="F306" s="217"/>
      <c r="G306" s="218"/>
      <c r="H306" s="217"/>
    </row>
    <row r="307">
      <c r="A307" s="217"/>
      <c r="B307" s="217"/>
      <c r="C307" s="217"/>
      <c r="D307" s="217"/>
      <c r="E307" s="217"/>
      <c r="F307" s="217"/>
      <c r="G307" s="218"/>
      <c r="H307" s="217"/>
    </row>
    <row r="308">
      <c r="A308" s="217"/>
      <c r="B308" s="217"/>
      <c r="C308" s="217"/>
      <c r="D308" s="217"/>
      <c r="E308" s="217"/>
      <c r="F308" s="217"/>
      <c r="G308" s="218"/>
      <c r="H308" s="217"/>
    </row>
    <row r="309">
      <c r="A309" s="217"/>
      <c r="B309" s="217"/>
      <c r="C309" s="217"/>
      <c r="D309" s="217"/>
      <c r="E309" s="217"/>
      <c r="F309" s="217"/>
      <c r="G309" s="218"/>
      <c r="H309" s="217"/>
    </row>
    <row r="310">
      <c r="A310" s="217"/>
      <c r="B310" s="217"/>
      <c r="C310" s="217"/>
      <c r="D310" s="217"/>
      <c r="E310" s="217"/>
      <c r="F310" s="217"/>
      <c r="G310" s="218"/>
      <c r="H310" s="217"/>
    </row>
    <row r="311">
      <c r="A311" s="217"/>
      <c r="B311" s="217"/>
      <c r="C311" s="217"/>
      <c r="D311" s="217"/>
      <c r="E311" s="217"/>
      <c r="F311" s="217"/>
      <c r="G311" s="218"/>
      <c r="H311" s="217"/>
    </row>
    <row r="312">
      <c r="A312" s="217"/>
      <c r="B312" s="217"/>
      <c r="C312" s="217"/>
      <c r="D312" s="217"/>
      <c r="E312" s="217"/>
      <c r="F312" s="217"/>
      <c r="G312" s="218"/>
      <c r="H312" s="217"/>
    </row>
    <row r="313">
      <c r="A313" s="217"/>
      <c r="B313" s="217"/>
      <c r="C313" s="217"/>
      <c r="D313" s="217"/>
      <c r="E313" s="217"/>
      <c r="F313" s="217"/>
      <c r="G313" s="218"/>
      <c r="H313" s="217"/>
    </row>
    <row r="314">
      <c r="A314" s="217"/>
      <c r="B314" s="217"/>
      <c r="C314" s="217"/>
      <c r="D314" s="217"/>
      <c r="E314" s="217"/>
      <c r="F314" s="217"/>
      <c r="G314" s="218"/>
      <c r="H314" s="217"/>
    </row>
    <row r="315">
      <c r="A315" s="217"/>
      <c r="B315" s="217"/>
      <c r="C315" s="217"/>
      <c r="D315" s="217"/>
      <c r="E315" s="217"/>
      <c r="F315" s="217"/>
      <c r="G315" s="218"/>
      <c r="H315" s="217"/>
    </row>
    <row r="316">
      <c r="A316" s="217"/>
      <c r="B316" s="217"/>
      <c r="C316" s="217"/>
      <c r="D316" s="217"/>
      <c r="E316" s="217"/>
      <c r="F316" s="217"/>
      <c r="G316" s="218"/>
      <c r="H316" s="217"/>
    </row>
    <row r="317">
      <c r="A317" s="217"/>
      <c r="B317" s="217"/>
      <c r="C317" s="217"/>
      <c r="D317" s="217"/>
      <c r="E317" s="217"/>
      <c r="F317" s="217"/>
      <c r="G317" s="218"/>
      <c r="H317" s="217"/>
    </row>
    <row r="318">
      <c r="A318" s="217"/>
      <c r="B318" s="217"/>
      <c r="C318" s="217"/>
      <c r="D318" s="217"/>
      <c r="E318" s="217"/>
      <c r="F318" s="217"/>
      <c r="G318" s="218"/>
      <c r="H318" s="217"/>
    </row>
    <row r="319">
      <c r="A319" s="217"/>
      <c r="B319" s="217"/>
      <c r="C319" s="217"/>
      <c r="D319" s="217"/>
      <c r="E319" s="217"/>
      <c r="F319" s="217"/>
      <c r="G319" s="218"/>
      <c r="H319" s="217"/>
    </row>
    <row r="320">
      <c r="A320" s="217"/>
      <c r="B320" s="217"/>
      <c r="C320" s="217"/>
      <c r="D320" s="217"/>
      <c r="E320" s="217"/>
      <c r="F320" s="217"/>
      <c r="G320" s="218"/>
      <c r="H320" s="217"/>
    </row>
    <row r="321">
      <c r="A321" s="217"/>
      <c r="B321" s="217"/>
      <c r="C321" s="217"/>
      <c r="D321" s="217"/>
      <c r="E321" s="217"/>
      <c r="F321" s="217"/>
      <c r="G321" s="218"/>
      <c r="H321" s="217"/>
    </row>
    <row r="322">
      <c r="A322" s="217"/>
      <c r="B322" s="217"/>
      <c r="C322" s="217"/>
      <c r="D322" s="217"/>
      <c r="E322" s="217"/>
      <c r="F322" s="217"/>
      <c r="G322" s="218"/>
      <c r="H322" s="217"/>
    </row>
    <row r="323">
      <c r="A323" s="217"/>
      <c r="B323" s="217"/>
      <c r="C323" s="217"/>
      <c r="D323" s="217"/>
      <c r="E323" s="217"/>
      <c r="F323" s="217"/>
      <c r="G323" s="218"/>
      <c r="H323" s="217"/>
    </row>
    <row r="324">
      <c r="A324" s="217"/>
      <c r="B324" s="217"/>
      <c r="C324" s="217"/>
      <c r="D324" s="217"/>
      <c r="E324" s="217"/>
      <c r="F324" s="217"/>
      <c r="G324" s="218"/>
      <c r="H324" s="217"/>
    </row>
    <row r="325">
      <c r="A325" s="217"/>
      <c r="B325" s="217"/>
      <c r="C325" s="217"/>
      <c r="D325" s="217"/>
      <c r="E325" s="217"/>
      <c r="F325" s="217"/>
      <c r="G325" s="218"/>
      <c r="H325" s="217"/>
    </row>
    <row r="326">
      <c r="A326" s="217"/>
      <c r="B326" s="217"/>
      <c r="C326" s="217"/>
      <c r="D326" s="217"/>
      <c r="E326" s="217"/>
      <c r="F326" s="217"/>
      <c r="G326" s="218"/>
      <c r="H326" s="217"/>
    </row>
    <row r="327">
      <c r="A327" s="217"/>
      <c r="B327" s="217"/>
      <c r="C327" s="217"/>
      <c r="D327" s="217"/>
      <c r="E327" s="217"/>
      <c r="F327" s="217"/>
      <c r="G327" s="218"/>
      <c r="H327" s="217"/>
    </row>
    <row r="328">
      <c r="A328" s="217"/>
      <c r="B328" s="217"/>
      <c r="C328" s="217"/>
      <c r="D328" s="217"/>
      <c r="E328" s="217"/>
      <c r="F328" s="217"/>
      <c r="G328" s="218"/>
      <c r="H328" s="217"/>
    </row>
    <row r="329">
      <c r="A329" s="217"/>
      <c r="B329" s="217"/>
      <c r="C329" s="217"/>
      <c r="D329" s="217"/>
      <c r="E329" s="217"/>
      <c r="F329" s="217"/>
      <c r="G329" s="218"/>
      <c r="H329" s="217"/>
    </row>
    <row r="330">
      <c r="A330" s="217"/>
      <c r="B330" s="217"/>
      <c r="C330" s="217"/>
      <c r="D330" s="217"/>
      <c r="E330" s="217"/>
      <c r="F330" s="217"/>
      <c r="G330" s="218"/>
      <c r="H330" s="217"/>
    </row>
    <row r="331">
      <c r="A331" s="217"/>
      <c r="B331" s="217"/>
      <c r="C331" s="217"/>
      <c r="D331" s="217"/>
      <c r="E331" s="217"/>
      <c r="F331" s="217"/>
      <c r="G331" s="218"/>
      <c r="H331" s="217"/>
    </row>
    <row r="332">
      <c r="A332" s="217"/>
      <c r="B332" s="217"/>
      <c r="C332" s="217"/>
      <c r="D332" s="217"/>
      <c r="E332" s="217"/>
      <c r="F332" s="217"/>
      <c r="G332" s="218"/>
      <c r="H332" s="217"/>
    </row>
    <row r="333">
      <c r="A333" s="217"/>
      <c r="B333" s="217"/>
      <c r="C333" s="217"/>
      <c r="D333" s="217"/>
      <c r="E333" s="217"/>
      <c r="F333" s="217"/>
      <c r="G333" s="218"/>
      <c r="H333" s="217"/>
    </row>
    <row r="334">
      <c r="A334" s="217"/>
      <c r="B334" s="217"/>
      <c r="C334" s="217"/>
      <c r="D334" s="217"/>
      <c r="E334" s="217"/>
      <c r="F334" s="217"/>
      <c r="G334" s="218"/>
      <c r="H334" s="217"/>
    </row>
    <row r="335">
      <c r="A335" s="217"/>
      <c r="B335" s="217"/>
      <c r="C335" s="217"/>
      <c r="D335" s="217"/>
      <c r="E335" s="217"/>
      <c r="F335" s="217"/>
      <c r="G335" s="218"/>
      <c r="H335" s="217"/>
    </row>
    <row r="336">
      <c r="A336" s="217"/>
      <c r="B336" s="217"/>
      <c r="C336" s="217"/>
      <c r="D336" s="217"/>
      <c r="E336" s="217"/>
      <c r="F336" s="217"/>
      <c r="G336" s="218"/>
      <c r="H336" s="217"/>
    </row>
    <row r="337">
      <c r="A337" s="217"/>
      <c r="B337" s="217"/>
      <c r="C337" s="217"/>
      <c r="D337" s="217"/>
      <c r="E337" s="217"/>
      <c r="F337" s="217"/>
      <c r="G337" s="218"/>
      <c r="H337" s="217"/>
    </row>
    <row r="338">
      <c r="A338" s="217"/>
      <c r="B338" s="217"/>
      <c r="C338" s="217"/>
      <c r="D338" s="217"/>
      <c r="E338" s="217"/>
      <c r="F338" s="217"/>
      <c r="G338" s="218"/>
      <c r="H338" s="217"/>
    </row>
    <row r="339">
      <c r="A339" s="217"/>
      <c r="B339" s="217"/>
      <c r="C339" s="217"/>
      <c r="D339" s="217"/>
      <c r="E339" s="217"/>
      <c r="F339" s="217"/>
      <c r="G339" s="218"/>
      <c r="H339" s="217"/>
    </row>
    <row r="340">
      <c r="A340" s="217"/>
      <c r="B340" s="217"/>
      <c r="C340" s="217"/>
      <c r="D340" s="217"/>
      <c r="E340" s="217"/>
      <c r="F340" s="217"/>
      <c r="G340" s="218"/>
      <c r="H340" s="217"/>
    </row>
    <row r="341">
      <c r="A341" s="217"/>
      <c r="B341" s="217"/>
      <c r="C341" s="217"/>
      <c r="D341" s="217"/>
      <c r="E341" s="217"/>
      <c r="F341" s="217"/>
      <c r="G341" s="218"/>
      <c r="H341" s="217"/>
    </row>
    <row r="342">
      <c r="A342" s="217"/>
      <c r="B342" s="217"/>
      <c r="C342" s="217"/>
      <c r="D342" s="217"/>
      <c r="E342" s="217"/>
      <c r="F342" s="217"/>
      <c r="G342" s="218"/>
      <c r="H342" s="217"/>
    </row>
    <row r="343">
      <c r="A343" s="217"/>
      <c r="B343" s="217"/>
      <c r="C343" s="217"/>
      <c r="D343" s="217"/>
      <c r="E343" s="217"/>
      <c r="F343" s="217"/>
      <c r="G343" s="218"/>
      <c r="H343" s="217"/>
    </row>
    <row r="344">
      <c r="A344" s="217"/>
      <c r="B344" s="217"/>
      <c r="C344" s="217"/>
      <c r="D344" s="217"/>
      <c r="E344" s="217"/>
      <c r="F344" s="217"/>
      <c r="G344" s="218"/>
      <c r="H344" s="217"/>
    </row>
    <row r="345">
      <c r="A345" s="217"/>
      <c r="B345" s="217"/>
      <c r="C345" s="217"/>
      <c r="D345" s="217"/>
      <c r="E345" s="217"/>
      <c r="F345" s="217"/>
      <c r="G345" s="218"/>
      <c r="H345" s="217"/>
    </row>
    <row r="346">
      <c r="A346" s="217"/>
      <c r="B346" s="217"/>
      <c r="C346" s="217"/>
      <c r="D346" s="217"/>
      <c r="E346" s="217"/>
      <c r="F346" s="217"/>
      <c r="G346" s="218"/>
      <c r="H346" s="217"/>
    </row>
    <row r="347">
      <c r="A347" s="217"/>
      <c r="B347" s="217"/>
      <c r="C347" s="217"/>
      <c r="D347" s="217"/>
      <c r="E347" s="217"/>
      <c r="F347" s="217"/>
      <c r="G347" s="218"/>
      <c r="H347" s="217"/>
    </row>
    <row r="348">
      <c r="A348" s="217"/>
      <c r="B348" s="217"/>
      <c r="C348" s="217"/>
      <c r="D348" s="217"/>
      <c r="E348" s="217"/>
      <c r="F348" s="217"/>
      <c r="G348" s="218"/>
      <c r="H348" s="217"/>
    </row>
    <row r="349">
      <c r="A349" s="217"/>
      <c r="B349" s="217"/>
      <c r="C349" s="217"/>
      <c r="D349" s="217"/>
      <c r="E349" s="217"/>
      <c r="F349" s="217"/>
      <c r="G349" s="218"/>
      <c r="H349" s="217"/>
    </row>
    <row r="350">
      <c r="A350" s="217"/>
      <c r="B350" s="217"/>
      <c r="C350" s="217"/>
      <c r="D350" s="217"/>
      <c r="E350" s="217"/>
      <c r="F350" s="217"/>
      <c r="G350" s="218"/>
      <c r="H350" s="217"/>
    </row>
    <row r="351">
      <c r="A351" s="217"/>
      <c r="B351" s="217"/>
      <c r="C351" s="217"/>
      <c r="D351" s="217"/>
      <c r="E351" s="217"/>
      <c r="F351" s="217"/>
      <c r="G351" s="218"/>
      <c r="H351" s="217"/>
    </row>
    <row r="352">
      <c r="A352" s="217"/>
      <c r="B352" s="217"/>
      <c r="C352" s="217"/>
      <c r="D352" s="217"/>
      <c r="E352" s="217"/>
      <c r="F352" s="217"/>
      <c r="G352" s="218"/>
      <c r="H352" s="217"/>
    </row>
    <row r="353">
      <c r="A353" s="217"/>
      <c r="B353" s="217"/>
      <c r="C353" s="217"/>
      <c r="D353" s="217"/>
      <c r="E353" s="217"/>
      <c r="F353" s="217"/>
      <c r="G353" s="218"/>
      <c r="H353" s="217"/>
    </row>
    <row r="354">
      <c r="A354" s="217"/>
      <c r="B354" s="217"/>
      <c r="C354" s="217"/>
      <c r="D354" s="217"/>
      <c r="E354" s="217"/>
      <c r="F354" s="217"/>
      <c r="G354" s="218"/>
      <c r="H354" s="217"/>
    </row>
    <row r="355">
      <c r="A355" s="217"/>
      <c r="B355" s="217"/>
      <c r="C355" s="217"/>
      <c r="D355" s="217"/>
      <c r="E355" s="217"/>
      <c r="F355" s="217"/>
      <c r="G355" s="218"/>
      <c r="H355" s="217"/>
    </row>
    <row r="356">
      <c r="A356" s="217"/>
      <c r="B356" s="217"/>
      <c r="C356" s="217"/>
      <c r="D356" s="217"/>
      <c r="E356" s="217"/>
      <c r="F356" s="217"/>
      <c r="G356" s="218"/>
      <c r="H356" s="217"/>
    </row>
    <row r="357">
      <c r="A357" s="217"/>
      <c r="B357" s="217"/>
      <c r="C357" s="217"/>
      <c r="D357" s="217"/>
      <c r="E357" s="217"/>
      <c r="F357" s="217"/>
      <c r="G357" s="218"/>
      <c r="H357" s="217"/>
    </row>
    <row r="358">
      <c r="A358" s="217"/>
      <c r="B358" s="217"/>
      <c r="C358" s="217"/>
      <c r="D358" s="217"/>
      <c r="E358" s="217"/>
      <c r="F358" s="217"/>
      <c r="G358" s="218"/>
      <c r="H358" s="217"/>
    </row>
    <row r="359">
      <c r="A359" s="217"/>
      <c r="B359" s="217"/>
      <c r="C359" s="217"/>
      <c r="D359" s="217"/>
      <c r="E359" s="217"/>
      <c r="F359" s="217"/>
      <c r="G359" s="218"/>
      <c r="H359" s="217"/>
    </row>
    <row r="360">
      <c r="A360" s="217"/>
      <c r="B360" s="217"/>
      <c r="C360" s="217"/>
      <c r="D360" s="217"/>
      <c r="E360" s="217"/>
      <c r="F360" s="217"/>
      <c r="G360" s="218"/>
      <c r="H360" s="217"/>
    </row>
    <row r="361">
      <c r="A361" s="217"/>
      <c r="B361" s="217"/>
      <c r="C361" s="217"/>
      <c r="D361" s="217"/>
      <c r="E361" s="217"/>
      <c r="F361" s="217"/>
      <c r="G361" s="218"/>
      <c r="H361" s="217"/>
    </row>
    <row r="362">
      <c r="A362" s="217"/>
      <c r="B362" s="217"/>
      <c r="C362" s="217"/>
      <c r="D362" s="217"/>
      <c r="E362" s="217"/>
      <c r="F362" s="217"/>
      <c r="G362" s="218"/>
      <c r="H362" s="217"/>
    </row>
    <row r="363">
      <c r="A363" s="217"/>
      <c r="B363" s="217"/>
      <c r="C363" s="217"/>
      <c r="D363" s="217"/>
      <c r="E363" s="217"/>
      <c r="F363" s="217"/>
      <c r="G363" s="218"/>
      <c r="H363" s="217"/>
    </row>
    <row r="364">
      <c r="A364" s="217"/>
      <c r="B364" s="217"/>
      <c r="C364" s="217"/>
      <c r="D364" s="217"/>
      <c r="E364" s="217"/>
      <c r="F364" s="217"/>
      <c r="G364" s="218"/>
      <c r="H364" s="217"/>
    </row>
    <row r="365">
      <c r="A365" s="217"/>
      <c r="B365" s="217"/>
      <c r="C365" s="217"/>
      <c r="D365" s="217"/>
      <c r="E365" s="217"/>
      <c r="F365" s="217"/>
      <c r="G365" s="218"/>
      <c r="H365" s="217"/>
    </row>
    <row r="366">
      <c r="A366" s="217"/>
      <c r="B366" s="217"/>
      <c r="C366" s="217"/>
      <c r="D366" s="217"/>
      <c r="E366" s="217"/>
      <c r="F366" s="217"/>
      <c r="G366" s="218"/>
      <c r="H366" s="217"/>
    </row>
    <row r="367">
      <c r="A367" s="217"/>
      <c r="B367" s="217"/>
      <c r="C367" s="217"/>
      <c r="D367" s="217"/>
      <c r="E367" s="217"/>
      <c r="F367" s="217"/>
      <c r="G367" s="218"/>
      <c r="H367" s="217"/>
    </row>
    <row r="368">
      <c r="A368" s="217"/>
      <c r="B368" s="217"/>
      <c r="C368" s="217"/>
      <c r="D368" s="217"/>
      <c r="E368" s="217"/>
      <c r="F368" s="217"/>
      <c r="G368" s="218"/>
      <c r="H368" s="217"/>
    </row>
    <row r="369">
      <c r="A369" s="217"/>
      <c r="B369" s="217"/>
      <c r="C369" s="217"/>
      <c r="D369" s="217"/>
      <c r="E369" s="217"/>
      <c r="F369" s="217"/>
      <c r="G369" s="218"/>
      <c r="H369" s="217"/>
    </row>
    <row r="370">
      <c r="A370" s="217"/>
      <c r="B370" s="217"/>
      <c r="C370" s="217"/>
      <c r="D370" s="217"/>
      <c r="E370" s="217"/>
      <c r="F370" s="217"/>
      <c r="G370" s="218"/>
      <c r="H370" s="217"/>
    </row>
    <row r="371">
      <c r="A371" s="217"/>
      <c r="B371" s="217"/>
      <c r="C371" s="217"/>
      <c r="D371" s="217"/>
      <c r="E371" s="217"/>
      <c r="F371" s="217"/>
      <c r="G371" s="218"/>
      <c r="H371" s="217"/>
    </row>
    <row r="372">
      <c r="A372" s="217"/>
      <c r="B372" s="217"/>
      <c r="C372" s="217"/>
      <c r="D372" s="217"/>
      <c r="E372" s="217"/>
      <c r="F372" s="217"/>
      <c r="G372" s="218"/>
      <c r="H372" s="217"/>
    </row>
    <row r="373">
      <c r="A373" s="217"/>
      <c r="B373" s="217"/>
      <c r="C373" s="217"/>
      <c r="D373" s="217"/>
      <c r="E373" s="217"/>
      <c r="F373" s="217"/>
      <c r="G373" s="218"/>
      <c r="H373" s="217"/>
    </row>
    <row r="374">
      <c r="A374" s="217"/>
      <c r="B374" s="217"/>
      <c r="C374" s="217"/>
      <c r="D374" s="217"/>
      <c r="E374" s="217"/>
      <c r="F374" s="217"/>
      <c r="G374" s="218"/>
      <c r="H374" s="217"/>
    </row>
    <row r="375">
      <c r="A375" s="217"/>
      <c r="B375" s="217"/>
      <c r="C375" s="217"/>
      <c r="D375" s="217"/>
      <c r="E375" s="217"/>
      <c r="F375" s="217"/>
      <c r="G375" s="218"/>
      <c r="H375" s="217"/>
    </row>
    <row r="376">
      <c r="A376" s="217"/>
      <c r="B376" s="217"/>
      <c r="C376" s="217"/>
      <c r="D376" s="217"/>
      <c r="E376" s="217"/>
      <c r="F376" s="217"/>
      <c r="G376" s="218"/>
      <c r="H376" s="217"/>
    </row>
    <row r="377">
      <c r="A377" s="217"/>
      <c r="B377" s="217"/>
      <c r="C377" s="217"/>
      <c r="D377" s="217"/>
      <c r="E377" s="217"/>
      <c r="F377" s="217"/>
      <c r="G377" s="218"/>
      <c r="H377" s="217"/>
    </row>
    <row r="378">
      <c r="A378" s="217"/>
      <c r="B378" s="217"/>
      <c r="C378" s="217"/>
      <c r="D378" s="217"/>
      <c r="E378" s="217"/>
      <c r="F378" s="217"/>
      <c r="G378" s="218"/>
      <c r="H378" s="217"/>
    </row>
    <row r="379">
      <c r="A379" s="217"/>
      <c r="B379" s="217"/>
      <c r="C379" s="217"/>
      <c r="D379" s="217"/>
      <c r="E379" s="217"/>
      <c r="F379" s="217"/>
      <c r="G379" s="218"/>
      <c r="H379" s="217"/>
    </row>
    <row r="380">
      <c r="A380" s="217"/>
      <c r="B380" s="217"/>
      <c r="C380" s="217"/>
      <c r="D380" s="217"/>
      <c r="E380" s="217"/>
      <c r="F380" s="217"/>
      <c r="G380" s="218"/>
      <c r="H380" s="217"/>
    </row>
    <row r="381">
      <c r="A381" s="217"/>
      <c r="B381" s="217"/>
      <c r="C381" s="217"/>
      <c r="D381" s="217"/>
      <c r="E381" s="217"/>
      <c r="F381" s="217"/>
      <c r="G381" s="218"/>
      <c r="H381" s="217"/>
    </row>
    <row r="382">
      <c r="A382" s="217"/>
      <c r="B382" s="217"/>
      <c r="C382" s="217"/>
      <c r="D382" s="217"/>
      <c r="E382" s="217"/>
      <c r="F382" s="217"/>
      <c r="G382" s="218"/>
      <c r="H382" s="217"/>
    </row>
    <row r="383">
      <c r="A383" s="217"/>
      <c r="B383" s="217"/>
      <c r="C383" s="217"/>
      <c r="D383" s="217"/>
      <c r="E383" s="217"/>
      <c r="F383" s="217"/>
      <c r="G383" s="218"/>
      <c r="H383" s="217"/>
    </row>
    <row r="384">
      <c r="A384" s="217"/>
      <c r="B384" s="217"/>
      <c r="C384" s="217"/>
      <c r="D384" s="217"/>
      <c r="E384" s="217"/>
      <c r="F384" s="217"/>
      <c r="G384" s="218"/>
      <c r="H384" s="217"/>
    </row>
    <row r="385">
      <c r="A385" s="217"/>
      <c r="B385" s="217"/>
      <c r="C385" s="217"/>
      <c r="D385" s="217"/>
      <c r="E385" s="217"/>
      <c r="F385" s="217"/>
      <c r="G385" s="218"/>
      <c r="H385" s="217"/>
    </row>
    <row r="386">
      <c r="A386" s="217"/>
      <c r="B386" s="217"/>
      <c r="C386" s="217"/>
      <c r="D386" s="217"/>
      <c r="E386" s="217"/>
      <c r="F386" s="217"/>
      <c r="G386" s="218"/>
      <c r="H386" s="217"/>
    </row>
    <row r="387">
      <c r="A387" s="217"/>
      <c r="B387" s="217"/>
      <c r="C387" s="217"/>
      <c r="D387" s="217"/>
      <c r="E387" s="217"/>
      <c r="F387" s="217"/>
      <c r="G387" s="218"/>
      <c r="H387" s="217"/>
    </row>
    <row r="388">
      <c r="A388" s="217"/>
      <c r="B388" s="217"/>
      <c r="C388" s="217"/>
      <c r="D388" s="217"/>
      <c r="E388" s="217"/>
      <c r="F388" s="217"/>
      <c r="G388" s="218"/>
      <c r="H388" s="217"/>
    </row>
    <row r="389">
      <c r="A389" s="217"/>
      <c r="B389" s="217"/>
      <c r="C389" s="217"/>
      <c r="D389" s="217"/>
      <c r="E389" s="217"/>
      <c r="F389" s="217"/>
      <c r="G389" s="218"/>
      <c r="H389" s="217"/>
    </row>
    <row r="390">
      <c r="A390" s="217"/>
      <c r="B390" s="217"/>
      <c r="C390" s="217"/>
      <c r="D390" s="217"/>
      <c r="E390" s="217"/>
      <c r="F390" s="217"/>
      <c r="G390" s="218"/>
      <c r="H390" s="217"/>
    </row>
    <row r="391">
      <c r="A391" s="217"/>
      <c r="B391" s="217"/>
      <c r="C391" s="217"/>
      <c r="D391" s="217"/>
      <c r="E391" s="217"/>
      <c r="F391" s="217"/>
      <c r="G391" s="218"/>
      <c r="H391" s="217"/>
    </row>
    <row r="392">
      <c r="A392" s="217"/>
      <c r="B392" s="217"/>
      <c r="C392" s="217"/>
      <c r="D392" s="217"/>
      <c r="E392" s="217"/>
      <c r="F392" s="217"/>
      <c r="G392" s="218"/>
      <c r="H392" s="217"/>
    </row>
    <row r="393">
      <c r="A393" s="217"/>
      <c r="B393" s="217"/>
      <c r="C393" s="217"/>
      <c r="D393" s="217"/>
      <c r="E393" s="217"/>
      <c r="F393" s="217"/>
      <c r="G393" s="218"/>
      <c r="H393" s="217"/>
    </row>
    <row r="394">
      <c r="A394" s="217"/>
      <c r="B394" s="217"/>
      <c r="C394" s="217"/>
      <c r="D394" s="217"/>
      <c r="E394" s="217"/>
      <c r="F394" s="217"/>
      <c r="G394" s="218"/>
      <c r="H394" s="217"/>
    </row>
    <row r="395">
      <c r="A395" s="217"/>
      <c r="B395" s="217"/>
      <c r="C395" s="217"/>
      <c r="D395" s="217"/>
      <c r="E395" s="217"/>
      <c r="F395" s="217"/>
      <c r="G395" s="218"/>
      <c r="H395" s="217"/>
    </row>
    <row r="396">
      <c r="A396" s="217"/>
      <c r="B396" s="217"/>
      <c r="C396" s="217"/>
      <c r="D396" s="217"/>
      <c r="E396" s="217"/>
      <c r="F396" s="217"/>
      <c r="G396" s="218"/>
      <c r="H396" s="217"/>
    </row>
    <row r="397">
      <c r="A397" s="217"/>
      <c r="B397" s="217"/>
      <c r="C397" s="217"/>
      <c r="D397" s="217"/>
      <c r="E397" s="217"/>
      <c r="F397" s="217"/>
      <c r="G397" s="218"/>
      <c r="H397" s="217"/>
    </row>
    <row r="398">
      <c r="A398" s="217"/>
      <c r="B398" s="217"/>
      <c r="C398" s="217"/>
      <c r="D398" s="217"/>
      <c r="E398" s="217"/>
      <c r="F398" s="217"/>
      <c r="G398" s="218"/>
      <c r="H398" s="217"/>
    </row>
    <row r="399">
      <c r="A399" s="217"/>
      <c r="B399" s="217"/>
      <c r="C399" s="217"/>
      <c r="D399" s="217"/>
      <c r="E399" s="217"/>
      <c r="F399" s="217"/>
      <c r="G399" s="218"/>
      <c r="H399" s="217"/>
    </row>
    <row r="400">
      <c r="A400" s="217"/>
      <c r="B400" s="217"/>
      <c r="C400" s="217"/>
      <c r="D400" s="217"/>
      <c r="E400" s="217"/>
      <c r="F400" s="217"/>
      <c r="G400" s="218"/>
      <c r="H400" s="217"/>
    </row>
    <row r="401">
      <c r="A401" s="217"/>
      <c r="B401" s="217"/>
      <c r="C401" s="217"/>
      <c r="D401" s="217"/>
      <c r="E401" s="217"/>
      <c r="F401" s="217"/>
      <c r="G401" s="218"/>
      <c r="H401" s="217"/>
    </row>
    <row r="402">
      <c r="A402" s="217"/>
      <c r="B402" s="217"/>
      <c r="C402" s="217"/>
      <c r="D402" s="217"/>
      <c r="E402" s="217"/>
      <c r="F402" s="217"/>
      <c r="G402" s="218"/>
      <c r="H402" s="217"/>
    </row>
    <row r="403">
      <c r="A403" s="217"/>
      <c r="B403" s="217"/>
      <c r="C403" s="217"/>
      <c r="D403" s="217"/>
      <c r="E403" s="217"/>
      <c r="F403" s="217"/>
      <c r="G403" s="218"/>
      <c r="H403" s="217"/>
    </row>
    <row r="404">
      <c r="A404" s="217"/>
      <c r="B404" s="217"/>
      <c r="C404" s="217"/>
      <c r="D404" s="217"/>
      <c r="E404" s="217"/>
      <c r="F404" s="217"/>
      <c r="G404" s="218"/>
      <c r="H404" s="217"/>
    </row>
    <row r="405">
      <c r="A405" s="217"/>
      <c r="B405" s="217"/>
      <c r="C405" s="217"/>
      <c r="D405" s="217"/>
      <c r="E405" s="217"/>
      <c r="F405" s="217"/>
      <c r="G405" s="218"/>
      <c r="H405" s="217"/>
    </row>
    <row r="406">
      <c r="A406" s="217"/>
      <c r="B406" s="217"/>
      <c r="C406" s="217"/>
      <c r="D406" s="217"/>
      <c r="E406" s="217"/>
      <c r="F406" s="217"/>
      <c r="G406" s="218"/>
      <c r="H406" s="217"/>
    </row>
    <row r="407">
      <c r="A407" s="217"/>
      <c r="B407" s="217"/>
      <c r="C407" s="217"/>
      <c r="D407" s="217"/>
      <c r="E407" s="217"/>
      <c r="F407" s="217"/>
      <c r="G407" s="218"/>
      <c r="H407" s="217"/>
    </row>
    <row r="408">
      <c r="A408" s="217"/>
      <c r="B408" s="217"/>
      <c r="C408" s="217"/>
      <c r="D408" s="217"/>
      <c r="E408" s="217"/>
      <c r="F408" s="217"/>
      <c r="G408" s="218"/>
      <c r="H408" s="217"/>
    </row>
    <row r="409">
      <c r="A409" s="217"/>
      <c r="B409" s="217"/>
      <c r="C409" s="217"/>
      <c r="D409" s="217"/>
      <c r="E409" s="217"/>
      <c r="F409" s="217"/>
      <c r="G409" s="218"/>
      <c r="H409" s="217"/>
    </row>
    <row r="410">
      <c r="A410" s="217"/>
      <c r="B410" s="217"/>
      <c r="C410" s="217"/>
      <c r="D410" s="217"/>
      <c r="E410" s="217"/>
      <c r="F410" s="217"/>
      <c r="G410" s="218"/>
      <c r="H410" s="217"/>
    </row>
    <row r="411">
      <c r="A411" s="217"/>
      <c r="B411" s="217"/>
      <c r="C411" s="217"/>
      <c r="D411" s="217"/>
      <c r="E411" s="217"/>
      <c r="F411" s="217"/>
      <c r="G411" s="218"/>
      <c r="H411" s="217"/>
    </row>
    <row r="412">
      <c r="A412" s="217"/>
      <c r="B412" s="217"/>
      <c r="C412" s="217"/>
      <c r="D412" s="217"/>
      <c r="E412" s="217"/>
      <c r="F412" s="217"/>
      <c r="G412" s="218"/>
      <c r="H412" s="217"/>
    </row>
    <row r="413">
      <c r="A413" s="217"/>
      <c r="B413" s="217"/>
      <c r="C413" s="217"/>
      <c r="D413" s="217"/>
      <c r="E413" s="217"/>
      <c r="F413" s="217"/>
      <c r="G413" s="218"/>
      <c r="H413" s="217"/>
    </row>
    <row r="414">
      <c r="A414" s="217"/>
      <c r="B414" s="217"/>
      <c r="C414" s="217"/>
      <c r="D414" s="217"/>
      <c r="E414" s="217"/>
      <c r="F414" s="217"/>
      <c r="G414" s="218"/>
      <c r="H414" s="217"/>
    </row>
    <row r="415">
      <c r="A415" s="217"/>
      <c r="B415" s="217"/>
      <c r="C415" s="217"/>
      <c r="D415" s="217"/>
      <c r="E415" s="217"/>
      <c r="F415" s="217"/>
      <c r="G415" s="218"/>
      <c r="H415" s="217"/>
    </row>
    <row r="416">
      <c r="A416" s="217"/>
      <c r="B416" s="217"/>
      <c r="C416" s="217"/>
      <c r="D416" s="217"/>
      <c r="E416" s="217"/>
      <c r="F416" s="217"/>
      <c r="G416" s="218"/>
      <c r="H416" s="217"/>
    </row>
    <row r="417">
      <c r="A417" s="217"/>
      <c r="B417" s="217"/>
      <c r="C417" s="217"/>
      <c r="D417" s="217"/>
      <c r="E417" s="217"/>
      <c r="F417" s="217"/>
      <c r="G417" s="218"/>
      <c r="H417" s="217"/>
    </row>
    <row r="418">
      <c r="A418" s="217"/>
      <c r="B418" s="217"/>
      <c r="C418" s="217"/>
      <c r="D418" s="217"/>
      <c r="E418" s="217"/>
      <c r="F418" s="217"/>
      <c r="G418" s="218"/>
      <c r="H418" s="217"/>
    </row>
    <row r="419">
      <c r="A419" s="217"/>
      <c r="B419" s="217"/>
      <c r="C419" s="217"/>
      <c r="D419" s="217"/>
      <c r="E419" s="217"/>
      <c r="F419" s="217"/>
      <c r="G419" s="218"/>
      <c r="H419" s="217"/>
    </row>
    <row r="420">
      <c r="A420" s="217"/>
      <c r="B420" s="217"/>
      <c r="C420" s="217"/>
      <c r="D420" s="217"/>
      <c r="E420" s="217"/>
      <c r="F420" s="217"/>
      <c r="G420" s="218"/>
      <c r="H420" s="217"/>
    </row>
    <row r="421">
      <c r="A421" s="217"/>
      <c r="B421" s="217"/>
      <c r="C421" s="217"/>
      <c r="D421" s="217"/>
      <c r="E421" s="217"/>
      <c r="F421" s="217"/>
      <c r="G421" s="218"/>
      <c r="H421" s="217"/>
    </row>
    <row r="422">
      <c r="A422" s="217"/>
      <c r="B422" s="217"/>
      <c r="C422" s="217"/>
      <c r="D422" s="217"/>
      <c r="E422" s="217"/>
      <c r="F422" s="217"/>
      <c r="G422" s="218"/>
      <c r="H422" s="217"/>
    </row>
    <row r="423">
      <c r="A423" s="217"/>
      <c r="B423" s="217"/>
      <c r="C423" s="217"/>
      <c r="D423" s="217"/>
      <c r="E423" s="217"/>
      <c r="F423" s="217"/>
      <c r="G423" s="218"/>
      <c r="H423" s="217"/>
    </row>
    <row r="424">
      <c r="A424" s="217"/>
      <c r="B424" s="217"/>
      <c r="C424" s="217"/>
      <c r="D424" s="217"/>
      <c r="E424" s="217"/>
      <c r="F424" s="217"/>
      <c r="G424" s="218"/>
      <c r="H424" s="217"/>
    </row>
    <row r="425">
      <c r="A425" s="217"/>
      <c r="B425" s="217"/>
      <c r="C425" s="217"/>
      <c r="D425" s="217"/>
      <c r="E425" s="217"/>
      <c r="F425" s="217"/>
      <c r="G425" s="218"/>
      <c r="H425" s="217"/>
    </row>
    <row r="426">
      <c r="A426" s="217"/>
      <c r="B426" s="217"/>
      <c r="C426" s="217"/>
      <c r="D426" s="217"/>
      <c r="E426" s="217"/>
      <c r="F426" s="217"/>
      <c r="G426" s="218"/>
      <c r="H426" s="217"/>
    </row>
    <row r="427">
      <c r="A427" s="217"/>
      <c r="B427" s="217"/>
      <c r="C427" s="217"/>
      <c r="D427" s="217"/>
      <c r="E427" s="217"/>
      <c r="F427" s="217"/>
      <c r="G427" s="218"/>
      <c r="H427" s="217"/>
    </row>
    <row r="428">
      <c r="A428" s="217"/>
      <c r="B428" s="217"/>
      <c r="C428" s="217"/>
      <c r="D428" s="217"/>
      <c r="E428" s="217"/>
      <c r="F428" s="217"/>
      <c r="G428" s="218"/>
      <c r="H428" s="217"/>
    </row>
    <row r="429">
      <c r="A429" s="217"/>
      <c r="B429" s="217"/>
      <c r="C429" s="217"/>
      <c r="D429" s="217"/>
      <c r="E429" s="217"/>
      <c r="F429" s="217"/>
      <c r="G429" s="218"/>
      <c r="H429" s="217"/>
    </row>
    <row r="430">
      <c r="A430" s="217"/>
      <c r="B430" s="217"/>
      <c r="C430" s="217"/>
      <c r="D430" s="217"/>
      <c r="E430" s="217"/>
      <c r="F430" s="217"/>
      <c r="G430" s="218"/>
      <c r="H430" s="217"/>
    </row>
    <row r="431">
      <c r="A431" s="217"/>
      <c r="B431" s="217"/>
      <c r="C431" s="217"/>
      <c r="D431" s="217"/>
      <c r="E431" s="217"/>
      <c r="F431" s="217"/>
      <c r="G431" s="218"/>
      <c r="H431" s="217"/>
    </row>
    <row r="432">
      <c r="A432" s="217"/>
      <c r="B432" s="217"/>
      <c r="C432" s="217"/>
      <c r="D432" s="217"/>
      <c r="E432" s="217"/>
      <c r="F432" s="217"/>
      <c r="G432" s="218"/>
      <c r="H432" s="217"/>
    </row>
    <row r="433">
      <c r="A433" s="217"/>
      <c r="B433" s="217"/>
      <c r="C433" s="217"/>
      <c r="D433" s="217"/>
      <c r="E433" s="217"/>
      <c r="F433" s="217"/>
      <c r="G433" s="218"/>
      <c r="H433" s="217"/>
    </row>
    <row r="434">
      <c r="A434" s="217"/>
      <c r="B434" s="217"/>
      <c r="C434" s="217"/>
      <c r="D434" s="217"/>
      <c r="E434" s="217"/>
      <c r="F434" s="217"/>
      <c r="G434" s="218"/>
      <c r="H434" s="217"/>
    </row>
    <row r="435">
      <c r="A435" s="217"/>
      <c r="B435" s="217"/>
      <c r="C435" s="217"/>
      <c r="D435" s="217"/>
      <c r="E435" s="217"/>
      <c r="F435" s="217"/>
      <c r="G435" s="218"/>
      <c r="H435" s="217"/>
    </row>
    <row r="436">
      <c r="A436" s="217"/>
      <c r="B436" s="217"/>
      <c r="C436" s="217"/>
      <c r="D436" s="217"/>
      <c r="E436" s="217"/>
      <c r="F436" s="217"/>
      <c r="G436" s="218"/>
      <c r="H436" s="217"/>
    </row>
    <row r="437">
      <c r="A437" s="217"/>
      <c r="B437" s="217"/>
      <c r="C437" s="217"/>
      <c r="D437" s="217"/>
      <c r="E437" s="217"/>
      <c r="F437" s="217"/>
      <c r="G437" s="218"/>
      <c r="H437" s="217"/>
    </row>
    <row r="438">
      <c r="A438" s="217"/>
      <c r="B438" s="217"/>
      <c r="C438" s="217"/>
      <c r="D438" s="217"/>
      <c r="E438" s="217"/>
      <c r="F438" s="217"/>
      <c r="G438" s="218"/>
      <c r="H438" s="217"/>
    </row>
    <row r="439">
      <c r="A439" s="217"/>
      <c r="B439" s="217"/>
      <c r="C439" s="217"/>
      <c r="D439" s="217"/>
      <c r="E439" s="217"/>
      <c r="F439" s="217"/>
      <c r="G439" s="218"/>
      <c r="H439" s="217"/>
    </row>
    <row r="440">
      <c r="A440" s="217"/>
      <c r="B440" s="217"/>
      <c r="C440" s="217"/>
      <c r="D440" s="217"/>
      <c r="E440" s="217"/>
      <c r="F440" s="217"/>
      <c r="G440" s="218"/>
      <c r="H440" s="217"/>
    </row>
    <row r="441">
      <c r="A441" s="217"/>
      <c r="B441" s="217"/>
      <c r="C441" s="217"/>
      <c r="D441" s="217"/>
      <c r="E441" s="217"/>
      <c r="F441" s="217"/>
      <c r="G441" s="218"/>
      <c r="H441" s="217"/>
    </row>
    <row r="442">
      <c r="A442" s="217"/>
      <c r="B442" s="217"/>
      <c r="C442" s="217"/>
      <c r="D442" s="217"/>
      <c r="E442" s="217"/>
      <c r="F442" s="217"/>
      <c r="G442" s="218"/>
      <c r="H442" s="217"/>
    </row>
    <row r="443">
      <c r="A443" s="217"/>
      <c r="B443" s="217"/>
      <c r="C443" s="217"/>
      <c r="D443" s="217"/>
      <c r="E443" s="217"/>
      <c r="F443" s="217"/>
      <c r="G443" s="218"/>
      <c r="H443" s="217"/>
    </row>
    <row r="444">
      <c r="A444" s="217"/>
      <c r="B444" s="217"/>
      <c r="C444" s="217"/>
      <c r="D444" s="217"/>
      <c r="E444" s="217"/>
      <c r="F444" s="217"/>
      <c r="G444" s="218"/>
      <c r="H444" s="217"/>
    </row>
    <row r="445">
      <c r="A445" s="217"/>
      <c r="B445" s="217"/>
      <c r="C445" s="217"/>
      <c r="D445" s="217"/>
      <c r="E445" s="217"/>
      <c r="F445" s="217"/>
      <c r="G445" s="218"/>
      <c r="H445" s="217"/>
    </row>
    <row r="446">
      <c r="A446" s="217"/>
      <c r="B446" s="217"/>
      <c r="C446" s="217"/>
      <c r="D446" s="217"/>
      <c r="E446" s="217"/>
      <c r="F446" s="217"/>
      <c r="G446" s="218"/>
      <c r="H446" s="217"/>
    </row>
    <row r="447">
      <c r="A447" s="217"/>
      <c r="B447" s="217"/>
      <c r="C447" s="217"/>
      <c r="D447" s="217"/>
      <c r="E447" s="217"/>
      <c r="F447" s="217"/>
      <c r="G447" s="218"/>
      <c r="H447" s="217"/>
    </row>
    <row r="448">
      <c r="A448" s="217"/>
      <c r="B448" s="217"/>
      <c r="C448" s="217"/>
      <c r="D448" s="217"/>
      <c r="E448" s="217"/>
      <c r="F448" s="217"/>
      <c r="G448" s="218"/>
      <c r="H448" s="217"/>
    </row>
    <row r="449">
      <c r="A449" s="217"/>
      <c r="B449" s="217"/>
      <c r="C449" s="217"/>
      <c r="D449" s="217"/>
      <c r="E449" s="217"/>
      <c r="F449" s="217"/>
      <c r="G449" s="218"/>
      <c r="H449" s="217"/>
    </row>
    <row r="450">
      <c r="A450" s="217"/>
      <c r="B450" s="217"/>
      <c r="C450" s="217"/>
      <c r="D450" s="217"/>
      <c r="E450" s="217"/>
      <c r="F450" s="217"/>
      <c r="G450" s="218"/>
      <c r="H450" s="217"/>
    </row>
    <row r="451">
      <c r="A451" s="217"/>
      <c r="B451" s="217"/>
      <c r="C451" s="217"/>
      <c r="D451" s="217"/>
      <c r="E451" s="217"/>
      <c r="F451" s="217"/>
      <c r="G451" s="218"/>
      <c r="H451" s="217"/>
    </row>
    <row r="452">
      <c r="A452" s="217"/>
      <c r="B452" s="217"/>
      <c r="C452" s="217"/>
      <c r="D452" s="217"/>
      <c r="E452" s="217"/>
      <c r="F452" s="217"/>
      <c r="G452" s="218"/>
      <c r="H452" s="217"/>
    </row>
    <row r="453">
      <c r="A453" s="217"/>
      <c r="B453" s="217"/>
      <c r="C453" s="217"/>
      <c r="D453" s="217"/>
      <c r="E453" s="217"/>
      <c r="F453" s="217"/>
      <c r="G453" s="218"/>
      <c r="H453" s="217"/>
    </row>
    <row r="454">
      <c r="A454" s="217"/>
      <c r="B454" s="217"/>
      <c r="C454" s="217"/>
      <c r="D454" s="217"/>
      <c r="E454" s="217"/>
      <c r="F454" s="217"/>
      <c r="G454" s="218"/>
      <c r="H454" s="217"/>
    </row>
    <row r="455">
      <c r="A455" s="217"/>
      <c r="B455" s="217"/>
      <c r="C455" s="217"/>
      <c r="D455" s="217"/>
      <c r="E455" s="217"/>
      <c r="F455" s="217"/>
      <c r="G455" s="218"/>
      <c r="H455" s="217"/>
    </row>
    <row r="456">
      <c r="A456" s="217"/>
      <c r="B456" s="217"/>
      <c r="C456" s="217"/>
      <c r="D456" s="217"/>
      <c r="E456" s="217"/>
      <c r="F456" s="217"/>
      <c r="G456" s="218"/>
      <c r="H456" s="217"/>
    </row>
    <row r="457">
      <c r="A457" s="217"/>
      <c r="B457" s="217"/>
      <c r="C457" s="217"/>
      <c r="D457" s="217"/>
      <c r="E457" s="217"/>
      <c r="F457" s="217"/>
      <c r="G457" s="218"/>
      <c r="H457" s="217"/>
    </row>
    <row r="458">
      <c r="A458" s="217"/>
      <c r="B458" s="217"/>
      <c r="C458" s="217"/>
      <c r="D458" s="217"/>
      <c r="E458" s="217"/>
      <c r="F458" s="217"/>
      <c r="G458" s="218"/>
      <c r="H458" s="217"/>
    </row>
    <row r="459">
      <c r="A459" s="217"/>
      <c r="B459" s="217"/>
      <c r="C459" s="217"/>
      <c r="D459" s="217"/>
      <c r="E459" s="217"/>
      <c r="F459" s="217"/>
      <c r="G459" s="218"/>
      <c r="H459" s="217"/>
    </row>
    <row r="460">
      <c r="A460" s="217"/>
      <c r="B460" s="217"/>
      <c r="C460" s="217"/>
      <c r="D460" s="217"/>
      <c r="E460" s="217"/>
      <c r="F460" s="217"/>
      <c r="G460" s="218"/>
      <c r="H460" s="217"/>
    </row>
    <row r="461">
      <c r="A461" s="217"/>
      <c r="B461" s="217"/>
      <c r="C461" s="217"/>
      <c r="D461" s="217"/>
      <c r="E461" s="217"/>
      <c r="F461" s="217"/>
      <c r="G461" s="218"/>
      <c r="H461" s="217"/>
    </row>
    <row r="462">
      <c r="A462" s="217"/>
      <c r="B462" s="217"/>
      <c r="C462" s="217"/>
      <c r="D462" s="217"/>
      <c r="E462" s="217"/>
      <c r="F462" s="217"/>
      <c r="G462" s="218"/>
      <c r="H462" s="217"/>
    </row>
    <row r="463">
      <c r="A463" s="217"/>
      <c r="B463" s="217"/>
      <c r="C463" s="217"/>
      <c r="D463" s="217"/>
      <c r="E463" s="217"/>
      <c r="F463" s="217"/>
      <c r="G463" s="218"/>
      <c r="H463" s="217"/>
    </row>
    <row r="464">
      <c r="A464" s="217"/>
      <c r="B464" s="217"/>
      <c r="C464" s="217"/>
      <c r="D464" s="217"/>
      <c r="E464" s="217"/>
      <c r="F464" s="217"/>
      <c r="G464" s="218"/>
      <c r="H464" s="217"/>
    </row>
    <row r="465">
      <c r="A465" s="217"/>
      <c r="B465" s="217"/>
      <c r="C465" s="217"/>
      <c r="D465" s="217"/>
      <c r="E465" s="217"/>
      <c r="F465" s="217"/>
      <c r="G465" s="218"/>
      <c r="H465" s="217"/>
    </row>
    <row r="466">
      <c r="A466" s="217"/>
      <c r="B466" s="217"/>
      <c r="C466" s="217"/>
      <c r="D466" s="217"/>
      <c r="E466" s="217"/>
      <c r="F466" s="217"/>
      <c r="G466" s="218"/>
      <c r="H466" s="217"/>
    </row>
    <row r="467">
      <c r="A467" s="217"/>
      <c r="B467" s="217"/>
      <c r="C467" s="217"/>
      <c r="D467" s="217"/>
      <c r="E467" s="217"/>
      <c r="F467" s="217"/>
      <c r="G467" s="218"/>
      <c r="H467" s="217"/>
    </row>
    <row r="468">
      <c r="A468" s="217"/>
      <c r="B468" s="217"/>
      <c r="C468" s="217"/>
      <c r="D468" s="217"/>
      <c r="E468" s="217"/>
      <c r="F468" s="217"/>
      <c r="G468" s="218"/>
      <c r="H468" s="217"/>
    </row>
    <row r="469">
      <c r="A469" s="217"/>
      <c r="B469" s="217"/>
      <c r="C469" s="217"/>
      <c r="D469" s="217"/>
      <c r="E469" s="217"/>
      <c r="F469" s="217"/>
      <c r="G469" s="218"/>
      <c r="H469" s="217"/>
    </row>
    <row r="470">
      <c r="A470" s="217"/>
      <c r="B470" s="217"/>
      <c r="C470" s="217"/>
      <c r="D470" s="217"/>
      <c r="E470" s="217"/>
      <c r="F470" s="217"/>
      <c r="G470" s="218"/>
      <c r="H470" s="217"/>
    </row>
    <row r="471">
      <c r="A471" s="217"/>
      <c r="B471" s="217"/>
      <c r="C471" s="217"/>
      <c r="D471" s="217"/>
      <c r="E471" s="217"/>
      <c r="F471" s="217"/>
      <c r="G471" s="218"/>
      <c r="H471" s="217"/>
    </row>
    <row r="472">
      <c r="A472" s="217"/>
      <c r="B472" s="217"/>
      <c r="C472" s="217"/>
      <c r="D472" s="217"/>
      <c r="E472" s="217"/>
      <c r="F472" s="217"/>
      <c r="G472" s="218"/>
      <c r="H472" s="217"/>
    </row>
    <row r="473">
      <c r="A473" s="217"/>
      <c r="B473" s="217"/>
      <c r="C473" s="217"/>
      <c r="D473" s="217"/>
      <c r="E473" s="217"/>
      <c r="F473" s="217"/>
      <c r="G473" s="218"/>
      <c r="H473" s="217"/>
    </row>
    <row r="474">
      <c r="A474" s="217"/>
      <c r="B474" s="217"/>
      <c r="C474" s="217"/>
      <c r="D474" s="217"/>
      <c r="E474" s="217"/>
      <c r="F474" s="217"/>
      <c r="G474" s="218"/>
      <c r="H474" s="217"/>
    </row>
    <row r="475">
      <c r="A475" s="217"/>
      <c r="B475" s="217"/>
      <c r="C475" s="217"/>
      <c r="D475" s="217"/>
      <c r="E475" s="217"/>
      <c r="F475" s="217"/>
      <c r="G475" s="218"/>
      <c r="H475" s="217"/>
    </row>
    <row r="476">
      <c r="A476" s="217"/>
      <c r="B476" s="217"/>
      <c r="C476" s="217"/>
      <c r="D476" s="217"/>
      <c r="E476" s="217"/>
      <c r="F476" s="217"/>
      <c r="G476" s="218"/>
      <c r="H476" s="217"/>
    </row>
    <row r="477">
      <c r="A477" s="217"/>
      <c r="B477" s="217"/>
      <c r="C477" s="217"/>
      <c r="D477" s="217"/>
      <c r="E477" s="217"/>
      <c r="F477" s="217"/>
      <c r="G477" s="218"/>
      <c r="H477" s="217"/>
    </row>
    <row r="478">
      <c r="A478" s="217"/>
      <c r="B478" s="217"/>
      <c r="C478" s="217"/>
      <c r="D478" s="217"/>
      <c r="E478" s="217"/>
      <c r="F478" s="217"/>
      <c r="G478" s="218"/>
      <c r="H478" s="217"/>
    </row>
    <row r="479">
      <c r="A479" s="217"/>
      <c r="B479" s="217"/>
      <c r="C479" s="217"/>
      <c r="D479" s="217"/>
      <c r="E479" s="217"/>
      <c r="F479" s="217"/>
      <c r="G479" s="218"/>
      <c r="H479" s="217"/>
    </row>
    <row r="480">
      <c r="A480" s="217"/>
      <c r="B480" s="217"/>
      <c r="C480" s="217"/>
      <c r="D480" s="217"/>
      <c r="E480" s="217"/>
      <c r="F480" s="217"/>
      <c r="G480" s="218"/>
      <c r="H480" s="217"/>
    </row>
    <row r="481">
      <c r="A481" s="217"/>
      <c r="B481" s="217"/>
      <c r="C481" s="217"/>
      <c r="D481" s="217"/>
      <c r="E481" s="217"/>
      <c r="F481" s="217"/>
      <c r="G481" s="218"/>
      <c r="H481" s="217"/>
    </row>
    <row r="482">
      <c r="A482" s="217"/>
      <c r="B482" s="217"/>
      <c r="C482" s="217"/>
      <c r="D482" s="217"/>
      <c r="E482" s="217"/>
      <c r="F482" s="217"/>
      <c r="G482" s="218"/>
      <c r="H482" s="217"/>
    </row>
    <row r="483">
      <c r="A483" s="217"/>
      <c r="B483" s="217"/>
      <c r="C483" s="217"/>
      <c r="D483" s="217"/>
      <c r="E483" s="217"/>
      <c r="F483" s="217"/>
      <c r="G483" s="218"/>
      <c r="H483" s="217"/>
    </row>
    <row r="484">
      <c r="A484" s="217"/>
      <c r="B484" s="217"/>
      <c r="C484" s="217"/>
      <c r="D484" s="217"/>
      <c r="E484" s="217"/>
      <c r="F484" s="217"/>
      <c r="G484" s="218"/>
      <c r="H484" s="217"/>
    </row>
    <row r="485">
      <c r="A485" s="217"/>
      <c r="B485" s="217"/>
      <c r="C485" s="217"/>
      <c r="D485" s="217"/>
      <c r="E485" s="217"/>
      <c r="F485" s="217"/>
      <c r="G485" s="218"/>
      <c r="H485" s="217"/>
    </row>
    <row r="486">
      <c r="A486" s="217"/>
      <c r="B486" s="217"/>
      <c r="C486" s="217"/>
      <c r="D486" s="217"/>
      <c r="E486" s="217"/>
      <c r="F486" s="217"/>
      <c r="G486" s="218"/>
      <c r="H486" s="217"/>
    </row>
    <row r="487">
      <c r="A487" s="217"/>
      <c r="B487" s="217"/>
      <c r="C487" s="217"/>
      <c r="D487" s="217"/>
      <c r="E487" s="217"/>
      <c r="F487" s="217"/>
      <c r="G487" s="218"/>
      <c r="H487" s="217"/>
    </row>
    <row r="488">
      <c r="A488" s="217"/>
      <c r="B488" s="217"/>
      <c r="C488" s="217"/>
      <c r="D488" s="217"/>
      <c r="E488" s="217"/>
      <c r="F488" s="217"/>
      <c r="G488" s="218"/>
      <c r="H488" s="217"/>
    </row>
    <row r="489">
      <c r="A489" s="217"/>
      <c r="B489" s="217"/>
      <c r="C489" s="217"/>
      <c r="D489" s="217"/>
      <c r="E489" s="217"/>
      <c r="F489" s="217"/>
      <c r="G489" s="218"/>
      <c r="H489" s="217"/>
    </row>
    <row r="490">
      <c r="A490" s="217"/>
      <c r="B490" s="217"/>
      <c r="C490" s="217"/>
      <c r="D490" s="217"/>
      <c r="E490" s="217"/>
      <c r="F490" s="217"/>
      <c r="G490" s="218"/>
      <c r="H490" s="217"/>
    </row>
    <row r="491">
      <c r="A491" s="217"/>
      <c r="B491" s="217"/>
      <c r="C491" s="217"/>
      <c r="D491" s="217"/>
      <c r="E491" s="217"/>
      <c r="F491" s="217"/>
      <c r="G491" s="218"/>
      <c r="H491" s="217"/>
    </row>
    <row r="492">
      <c r="A492" s="217"/>
      <c r="B492" s="217"/>
      <c r="C492" s="217"/>
      <c r="D492" s="217"/>
      <c r="E492" s="217"/>
      <c r="F492" s="217"/>
      <c r="G492" s="218"/>
      <c r="H492" s="217"/>
    </row>
    <row r="493">
      <c r="A493" s="217"/>
      <c r="B493" s="217"/>
      <c r="C493" s="217"/>
      <c r="D493" s="217"/>
      <c r="E493" s="217"/>
      <c r="F493" s="217"/>
      <c r="G493" s="218"/>
      <c r="H493" s="217"/>
    </row>
    <row r="494">
      <c r="A494" s="217"/>
      <c r="B494" s="217"/>
      <c r="C494" s="217"/>
      <c r="D494" s="217"/>
      <c r="E494" s="217"/>
      <c r="F494" s="217"/>
      <c r="G494" s="218"/>
      <c r="H494" s="217"/>
    </row>
    <row r="495">
      <c r="A495" s="217"/>
      <c r="B495" s="217"/>
      <c r="C495" s="217"/>
      <c r="D495" s="217"/>
      <c r="E495" s="217"/>
      <c r="F495" s="217"/>
      <c r="G495" s="218"/>
      <c r="H495" s="217"/>
    </row>
    <row r="496">
      <c r="A496" s="217"/>
      <c r="B496" s="217"/>
      <c r="C496" s="217"/>
      <c r="D496" s="217"/>
      <c r="E496" s="217"/>
      <c r="F496" s="217"/>
      <c r="G496" s="218"/>
      <c r="H496" s="217"/>
    </row>
    <row r="497">
      <c r="A497" s="217"/>
      <c r="B497" s="217"/>
      <c r="C497" s="217"/>
      <c r="D497" s="217"/>
      <c r="E497" s="217"/>
      <c r="F497" s="217"/>
      <c r="G497" s="218"/>
      <c r="H497" s="217"/>
    </row>
    <row r="498">
      <c r="A498" s="217"/>
      <c r="B498" s="217"/>
      <c r="C498" s="217"/>
      <c r="D498" s="217"/>
      <c r="E498" s="217"/>
      <c r="F498" s="217"/>
      <c r="G498" s="218"/>
      <c r="H498" s="217"/>
    </row>
    <row r="499">
      <c r="A499" s="217"/>
      <c r="B499" s="217"/>
      <c r="C499" s="217"/>
      <c r="D499" s="217"/>
      <c r="E499" s="217"/>
      <c r="F499" s="217"/>
      <c r="G499" s="218"/>
      <c r="H499" s="217"/>
    </row>
    <row r="500">
      <c r="A500" s="217"/>
      <c r="B500" s="217"/>
      <c r="C500" s="217"/>
      <c r="D500" s="217"/>
      <c r="E500" s="217"/>
      <c r="F500" s="217"/>
      <c r="G500" s="218"/>
      <c r="H500" s="217"/>
    </row>
    <row r="501">
      <c r="A501" s="217"/>
      <c r="B501" s="217"/>
      <c r="C501" s="217"/>
      <c r="D501" s="217"/>
      <c r="E501" s="217"/>
      <c r="F501" s="217"/>
      <c r="G501" s="218"/>
      <c r="H501" s="217"/>
    </row>
    <row r="502">
      <c r="A502" s="217"/>
      <c r="B502" s="217"/>
      <c r="C502" s="217"/>
      <c r="D502" s="217"/>
      <c r="E502" s="217"/>
      <c r="F502" s="217"/>
      <c r="G502" s="218"/>
      <c r="H502" s="217"/>
    </row>
    <row r="503">
      <c r="A503" s="217"/>
      <c r="B503" s="217"/>
      <c r="C503" s="217"/>
      <c r="D503" s="217"/>
      <c r="E503" s="217"/>
      <c r="F503" s="217"/>
      <c r="G503" s="218"/>
      <c r="H503" s="217"/>
    </row>
    <row r="504">
      <c r="A504" s="217"/>
      <c r="B504" s="217"/>
      <c r="C504" s="217"/>
      <c r="D504" s="217"/>
      <c r="E504" s="217"/>
      <c r="F504" s="217"/>
      <c r="G504" s="218"/>
      <c r="H504" s="217"/>
    </row>
    <row r="505">
      <c r="A505" s="217"/>
      <c r="B505" s="217"/>
      <c r="C505" s="217"/>
      <c r="D505" s="217"/>
      <c r="E505" s="217"/>
      <c r="F505" s="217"/>
      <c r="G505" s="218"/>
      <c r="H505" s="217"/>
    </row>
    <row r="506">
      <c r="A506" s="217"/>
      <c r="B506" s="217"/>
      <c r="C506" s="217"/>
      <c r="D506" s="217"/>
      <c r="E506" s="217"/>
      <c r="F506" s="217"/>
      <c r="G506" s="218"/>
      <c r="H506" s="217"/>
    </row>
    <row r="507">
      <c r="A507" s="217"/>
      <c r="B507" s="217"/>
      <c r="C507" s="217"/>
      <c r="D507" s="217"/>
      <c r="E507" s="217"/>
      <c r="F507" s="217"/>
      <c r="G507" s="218"/>
      <c r="H507" s="217"/>
    </row>
    <row r="508">
      <c r="A508" s="217"/>
      <c r="B508" s="217"/>
      <c r="C508" s="217"/>
      <c r="D508" s="217"/>
      <c r="E508" s="217"/>
      <c r="F508" s="217"/>
      <c r="G508" s="218"/>
      <c r="H508" s="217"/>
    </row>
    <row r="509">
      <c r="A509" s="217"/>
      <c r="B509" s="217"/>
      <c r="C509" s="217"/>
      <c r="D509" s="217"/>
      <c r="E509" s="217"/>
      <c r="F509" s="217"/>
      <c r="G509" s="218"/>
      <c r="H509" s="217"/>
    </row>
    <row r="510">
      <c r="A510" s="217"/>
      <c r="B510" s="217"/>
      <c r="C510" s="217"/>
      <c r="D510" s="217"/>
      <c r="E510" s="217"/>
      <c r="F510" s="217"/>
      <c r="G510" s="218"/>
      <c r="H510" s="217"/>
    </row>
    <row r="511">
      <c r="A511" s="217"/>
      <c r="B511" s="217"/>
      <c r="C511" s="217"/>
      <c r="D511" s="217"/>
      <c r="E511" s="217"/>
      <c r="F511" s="217"/>
      <c r="G511" s="218"/>
      <c r="H511" s="217"/>
    </row>
    <row r="512">
      <c r="A512" s="217"/>
      <c r="B512" s="217"/>
      <c r="C512" s="217"/>
      <c r="D512" s="217"/>
      <c r="E512" s="217"/>
      <c r="F512" s="217"/>
      <c r="G512" s="218"/>
      <c r="H512" s="217"/>
    </row>
    <row r="513">
      <c r="A513" s="217"/>
      <c r="B513" s="217"/>
      <c r="C513" s="217"/>
      <c r="D513" s="217"/>
      <c r="E513" s="217"/>
      <c r="F513" s="217"/>
      <c r="G513" s="218"/>
      <c r="H513" s="217"/>
    </row>
    <row r="514">
      <c r="A514" s="217"/>
      <c r="B514" s="217"/>
      <c r="C514" s="217"/>
      <c r="D514" s="217"/>
      <c r="E514" s="217"/>
      <c r="F514" s="217"/>
      <c r="G514" s="218"/>
      <c r="H514" s="217"/>
    </row>
    <row r="515">
      <c r="A515" s="217"/>
      <c r="B515" s="217"/>
      <c r="C515" s="217"/>
      <c r="D515" s="217"/>
      <c r="E515" s="217"/>
      <c r="F515" s="217"/>
      <c r="G515" s="218"/>
      <c r="H515" s="217"/>
    </row>
    <row r="516">
      <c r="A516" s="217"/>
      <c r="B516" s="217"/>
      <c r="C516" s="217"/>
      <c r="D516" s="217"/>
      <c r="E516" s="217"/>
      <c r="F516" s="217"/>
      <c r="G516" s="218"/>
      <c r="H516" s="217"/>
    </row>
    <row r="517">
      <c r="A517" s="217"/>
      <c r="B517" s="217"/>
      <c r="C517" s="217"/>
      <c r="D517" s="217"/>
      <c r="E517" s="217"/>
      <c r="F517" s="217"/>
      <c r="G517" s="218"/>
      <c r="H517" s="217"/>
    </row>
    <row r="518">
      <c r="A518" s="217"/>
      <c r="B518" s="217"/>
      <c r="C518" s="217"/>
      <c r="D518" s="217"/>
      <c r="E518" s="217"/>
      <c r="F518" s="217"/>
      <c r="G518" s="218"/>
      <c r="H518" s="217"/>
    </row>
    <row r="519">
      <c r="A519" s="217"/>
      <c r="B519" s="217"/>
      <c r="C519" s="217"/>
      <c r="D519" s="217"/>
      <c r="E519" s="217"/>
      <c r="F519" s="217"/>
      <c r="G519" s="218"/>
      <c r="H519" s="217"/>
    </row>
    <row r="520">
      <c r="A520" s="217"/>
      <c r="B520" s="217"/>
      <c r="C520" s="217"/>
      <c r="D520" s="217"/>
      <c r="E520" s="217"/>
      <c r="F520" s="217"/>
      <c r="G520" s="218"/>
      <c r="H520" s="217"/>
    </row>
    <row r="521">
      <c r="A521" s="217"/>
      <c r="B521" s="217"/>
      <c r="C521" s="217"/>
      <c r="D521" s="217"/>
      <c r="E521" s="217"/>
      <c r="F521" s="217"/>
      <c r="G521" s="218"/>
      <c r="H521" s="217"/>
    </row>
    <row r="522">
      <c r="A522" s="217"/>
      <c r="B522" s="217"/>
      <c r="C522" s="217"/>
      <c r="D522" s="217"/>
      <c r="E522" s="217"/>
      <c r="F522" s="217"/>
      <c r="G522" s="218"/>
      <c r="H522" s="217"/>
    </row>
    <row r="523">
      <c r="A523" s="217"/>
      <c r="B523" s="217"/>
      <c r="C523" s="217"/>
      <c r="D523" s="217"/>
      <c r="E523" s="217"/>
      <c r="F523" s="217"/>
      <c r="G523" s="218"/>
      <c r="H523" s="217"/>
    </row>
    <row r="524">
      <c r="A524" s="217"/>
      <c r="B524" s="217"/>
      <c r="C524" s="217"/>
      <c r="D524" s="217"/>
      <c r="E524" s="217"/>
      <c r="F524" s="217"/>
      <c r="G524" s="218"/>
      <c r="H524" s="217"/>
    </row>
    <row r="525">
      <c r="A525" s="217"/>
      <c r="B525" s="217"/>
      <c r="C525" s="217"/>
      <c r="D525" s="217"/>
      <c r="E525" s="217"/>
      <c r="F525" s="217"/>
      <c r="G525" s="218"/>
      <c r="H525" s="217"/>
    </row>
    <row r="526">
      <c r="A526" s="217"/>
      <c r="B526" s="217"/>
      <c r="C526" s="217"/>
      <c r="D526" s="217"/>
      <c r="E526" s="217"/>
      <c r="F526" s="217"/>
      <c r="G526" s="218"/>
      <c r="H526" s="217"/>
    </row>
    <row r="527">
      <c r="A527" s="217"/>
      <c r="B527" s="217"/>
      <c r="C527" s="217"/>
      <c r="D527" s="217"/>
      <c r="E527" s="217"/>
      <c r="F527" s="217"/>
      <c r="G527" s="218"/>
      <c r="H527" s="217"/>
    </row>
    <row r="528">
      <c r="A528" s="217"/>
      <c r="B528" s="217"/>
      <c r="C528" s="217"/>
      <c r="D528" s="217"/>
      <c r="E528" s="217"/>
      <c r="F528" s="217"/>
      <c r="G528" s="218"/>
      <c r="H528" s="217"/>
    </row>
    <row r="529">
      <c r="A529" s="217"/>
      <c r="B529" s="217"/>
      <c r="C529" s="217"/>
      <c r="D529" s="217"/>
      <c r="E529" s="217"/>
      <c r="F529" s="217"/>
      <c r="G529" s="218"/>
      <c r="H529" s="217"/>
    </row>
    <row r="530">
      <c r="A530" s="217"/>
      <c r="B530" s="217"/>
      <c r="C530" s="217"/>
      <c r="D530" s="217"/>
      <c r="E530" s="217"/>
      <c r="F530" s="217"/>
      <c r="G530" s="218"/>
      <c r="H530" s="217"/>
    </row>
    <row r="531">
      <c r="A531" s="217"/>
      <c r="B531" s="217"/>
      <c r="C531" s="217"/>
      <c r="D531" s="217"/>
      <c r="E531" s="217"/>
      <c r="F531" s="217"/>
      <c r="G531" s="218"/>
      <c r="H531" s="217"/>
    </row>
    <row r="532">
      <c r="A532" s="217"/>
      <c r="B532" s="217"/>
      <c r="C532" s="217"/>
      <c r="D532" s="217"/>
      <c r="E532" s="217"/>
      <c r="F532" s="217"/>
      <c r="G532" s="218"/>
      <c r="H532" s="217"/>
    </row>
    <row r="533">
      <c r="A533" s="217"/>
      <c r="B533" s="217"/>
      <c r="C533" s="217"/>
      <c r="D533" s="217"/>
      <c r="E533" s="217"/>
      <c r="F533" s="217"/>
      <c r="G533" s="218"/>
      <c r="H533" s="217"/>
    </row>
    <row r="534">
      <c r="A534" s="217"/>
      <c r="B534" s="217"/>
      <c r="C534" s="217"/>
      <c r="D534" s="217"/>
      <c r="E534" s="217"/>
      <c r="F534" s="217"/>
      <c r="G534" s="218"/>
      <c r="H534" s="217"/>
    </row>
    <row r="535">
      <c r="A535" s="217"/>
      <c r="B535" s="217"/>
      <c r="C535" s="217"/>
      <c r="D535" s="217"/>
      <c r="E535" s="217"/>
      <c r="F535" s="217"/>
      <c r="G535" s="218"/>
      <c r="H535" s="217"/>
    </row>
    <row r="536">
      <c r="A536" s="217"/>
      <c r="B536" s="217"/>
      <c r="C536" s="217"/>
      <c r="D536" s="217"/>
      <c r="E536" s="217"/>
      <c r="F536" s="217"/>
      <c r="G536" s="218"/>
      <c r="H536" s="217"/>
    </row>
    <row r="537">
      <c r="A537" s="217"/>
      <c r="B537" s="217"/>
      <c r="C537" s="217"/>
      <c r="D537" s="217"/>
      <c r="E537" s="217"/>
      <c r="F537" s="217"/>
      <c r="G537" s="218"/>
      <c r="H537" s="217"/>
    </row>
    <row r="538">
      <c r="A538" s="217"/>
      <c r="B538" s="217"/>
      <c r="C538" s="217"/>
      <c r="D538" s="217"/>
      <c r="E538" s="217"/>
      <c r="F538" s="217"/>
      <c r="G538" s="218"/>
      <c r="H538" s="217"/>
    </row>
    <row r="539">
      <c r="A539" s="217"/>
      <c r="B539" s="217"/>
      <c r="C539" s="217"/>
      <c r="D539" s="217"/>
      <c r="E539" s="217"/>
      <c r="F539" s="217"/>
      <c r="G539" s="218"/>
      <c r="H539" s="217"/>
    </row>
    <row r="540">
      <c r="A540" s="217"/>
      <c r="B540" s="217"/>
      <c r="C540" s="217"/>
      <c r="D540" s="217"/>
      <c r="E540" s="217"/>
      <c r="F540" s="217"/>
      <c r="G540" s="218"/>
      <c r="H540" s="217"/>
    </row>
    <row r="541">
      <c r="A541" s="217"/>
      <c r="B541" s="217"/>
      <c r="C541" s="217"/>
      <c r="D541" s="217"/>
      <c r="E541" s="217"/>
      <c r="F541" s="217"/>
      <c r="G541" s="218"/>
      <c r="H541" s="217"/>
    </row>
    <row r="542">
      <c r="A542" s="217"/>
      <c r="B542" s="217"/>
      <c r="C542" s="217"/>
      <c r="D542" s="217"/>
      <c r="E542" s="217"/>
      <c r="F542" s="217"/>
      <c r="G542" s="218"/>
      <c r="H542" s="217"/>
    </row>
    <row r="543">
      <c r="A543" s="217"/>
      <c r="B543" s="217"/>
      <c r="C543" s="217"/>
      <c r="D543" s="217"/>
      <c r="E543" s="217"/>
      <c r="F543" s="217"/>
      <c r="G543" s="218"/>
      <c r="H543" s="217"/>
    </row>
    <row r="544">
      <c r="A544" s="217"/>
      <c r="B544" s="217"/>
      <c r="C544" s="217"/>
      <c r="D544" s="217"/>
      <c r="E544" s="217"/>
      <c r="F544" s="217"/>
      <c r="G544" s="218"/>
      <c r="H544" s="217"/>
    </row>
    <row r="545">
      <c r="A545" s="217"/>
      <c r="B545" s="217"/>
      <c r="C545" s="217"/>
      <c r="D545" s="217"/>
      <c r="E545" s="217"/>
      <c r="F545" s="217"/>
      <c r="G545" s="218"/>
      <c r="H545" s="217"/>
    </row>
    <row r="546">
      <c r="A546" s="217"/>
      <c r="B546" s="217"/>
      <c r="C546" s="217"/>
      <c r="D546" s="217"/>
      <c r="E546" s="217"/>
      <c r="F546" s="217"/>
      <c r="G546" s="218"/>
      <c r="H546" s="217"/>
    </row>
    <row r="547">
      <c r="A547" s="217"/>
      <c r="B547" s="217"/>
      <c r="C547" s="217"/>
      <c r="D547" s="217"/>
      <c r="E547" s="217"/>
      <c r="F547" s="217"/>
      <c r="G547" s="218"/>
      <c r="H547" s="217"/>
    </row>
    <row r="548">
      <c r="A548" s="217"/>
      <c r="B548" s="217"/>
      <c r="C548" s="217"/>
      <c r="D548" s="217"/>
      <c r="E548" s="217"/>
      <c r="F548" s="217"/>
      <c r="G548" s="218"/>
      <c r="H548" s="217"/>
    </row>
    <row r="549">
      <c r="A549" s="217"/>
      <c r="B549" s="217"/>
      <c r="C549" s="217"/>
      <c r="D549" s="217"/>
      <c r="E549" s="217"/>
      <c r="F549" s="217"/>
      <c r="G549" s="218"/>
      <c r="H549" s="217"/>
    </row>
    <row r="550">
      <c r="A550" s="217"/>
      <c r="B550" s="217"/>
      <c r="C550" s="217"/>
      <c r="D550" s="217"/>
      <c r="E550" s="217"/>
      <c r="F550" s="217"/>
      <c r="G550" s="218"/>
      <c r="H550" s="217"/>
    </row>
    <row r="551">
      <c r="A551" s="217"/>
      <c r="B551" s="217"/>
      <c r="C551" s="217"/>
      <c r="D551" s="217"/>
      <c r="E551" s="217"/>
      <c r="F551" s="217"/>
      <c r="G551" s="218"/>
      <c r="H551" s="217"/>
    </row>
    <row r="552">
      <c r="A552" s="217"/>
      <c r="B552" s="217"/>
      <c r="C552" s="217"/>
      <c r="D552" s="217"/>
      <c r="E552" s="217"/>
      <c r="F552" s="217"/>
      <c r="G552" s="218"/>
      <c r="H552" s="217"/>
    </row>
    <row r="553">
      <c r="A553" s="217"/>
      <c r="B553" s="217"/>
      <c r="C553" s="217"/>
      <c r="D553" s="217"/>
      <c r="E553" s="217"/>
      <c r="F553" s="217"/>
      <c r="G553" s="218"/>
      <c r="H553" s="217"/>
    </row>
    <row r="554">
      <c r="A554" s="217"/>
      <c r="B554" s="217"/>
      <c r="C554" s="217"/>
      <c r="D554" s="217"/>
      <c r="E554" s="217"/>
      <c r="F554" s="217"/>
      <c r="G554" s="218"/>
      <c r="H554" s="217"/>
    </row>
    <row r="555">
      <c r="A555" s="217"/>
      <c r="B555" s="217"/>
      <c r="C555" s="217"/>
      <c r="D555" s="217"/>
      <c r="E555" s="217"/>
      <c r="F555" s="217"/>
      <c r="G555" s="218"/>
      <c r="H555" s="217"/>
    </row>
    <row r="556">
      <c r="A556" s="217"/>
      <c r="B556" s="217"/>
      <c r="C556" s="217"/>
      <c r="D556" s="217"/>
      <c r="E556" s="217"/>
      <c r="F556" s="217"/>
      <c r="G556" s="218"/>
      <c r="H556" s="217"/>
    </row>
    <row r="557">
      <c r="A557" s="217"/>
      <c r="B557" s="217"/>
      <c r="C557" s="217"/>
      <c r="D557" s="217"/>
      <c r="E557" s="217"/>
      <c r="F557" s="217"/>
      <c r="G557" s="218"/>
      <c r="H557" s="217"/>
    </row>
    <row r="558">
      <c r="A558" s="217"/>
      <c r="B558" s="217"/>
      <c r="C558" s="217"/>
      <c r="D558" s="217"/>
      <c r="E558" s="217"/>
      <c r="F558" s="217"/>
      <c r="G558" s="218"/>
      <c r="H558" s="217"/>
    </row>
    <row r="559">
      <c r="A559" s="217"/>
      <c r="B559" s="217"/>
      <c r="C559" s="217"/>
      <c r="D559" s="217"/>
      <c r="E559" s="217"/>
      <c r="F559" s="217"/>
      <c r="G559" s="218"/>
      <c r="H559" s="217"/>
    </row>
    <row r="560">
      <c r="A560" s="217"/>
      <c r="B560" s="217"/>
      <c r="C560" s="217"/>
      <c r="D560" s="217"/>
      <c r="E560" s="217"/>
      <c r="F560" s="217"/>
      <c r="G560" s="218"/>
      <c r="H560" s="217"/>
    </row>
    <row r="561">
      <c r="A561" s="217"/>
      <c r="B561" s="217"/>
      <c r="C561" s="217"/>
      <c r="D561" s="217"/>
      <c r="E561" s="217"/>
      <c r="F561" s="217"/>
      <c r="G561" s="218"/>
      <c r="H561" s="217"/>
    </row>
    <row r="562">
      <c r="A562" s="217"/>
      <c r="B562" s="217"/>
      <c r="C562" s="217"/>
      <c r="D562" s="217"/>
      <c r="E562" s="217"/>
      <c r="F562" s="217"/>
      <c r="G562" s="218"/>
      <c r="H562" s="217"/>
    </row>
    <row r="563">
      <c r="A563" s="217"/>
      <c r="B563" s="217"/>
      <c r="C563" s="217"/>
      <c r="D563" s="217"/>
      <c r="E563" s="217"/>
      <c r="F563" s="217"/>
      <c r="G563" s="218"/>
      <c r="H563" s="217"/>
    </row>
    <row r="564">
      <c r="A564" s="217"/>
      <c r="B564" s="217"/>
      <c r="C564" s="217"/>
      <c r="D564" s="217"/>
      <c r="E564" s="217"/>
      <c r="F564" s="217"/>
      <c r="G564" s="218"/>
      <c r="H564" s="217"/>
    </row>
    <row r="565">
      <c r="A565" s="217"/>
      <c r="B565" s="217"/>
      <c r="C565" s="217"/>
      <c r="D565" s="217"/>
      <c r="E565" s="217"/>
      <c r="F565" s="217"/>
      <c r="G565" s="218"/>
      <c r="H565" s="217"/>
    </row>
    <row r="566">
      <c r="A566" s="217"/>
      <c r="B566" s="217"/>
      <c r="C566" s="217"/>
      <c r="D566" s="217"/>
      <c r="E566" s="217"/>
      <c r="F566" s="217"/>
      <c r="G566" s="218"/>
      <c r="H566" s="217"/>
    </row>
    <row r="567">
      <c r="A567" s="217"/>
      <c r="B567" s="217"/>
      <c r="C567" s="217"/>
      <c r="D567" s="217"/>
      <c r="E567" s="217"/>
      <c r="F567" s="217"/>
      <c r="G567" s="218"/>
      <c r="H567" s="217"/>
    </row>
    <row r="568">
      <c r="A568" s="217"/>
      <c r="B568" s="217"/>
      <c r="C568" s="217"/>
      <c r="D568" s="217"/>
      <c r="E568" s="217"/>
      <c r="F568" s="217"/>
      <c r="G568" s="218"/>
      <c r="H568" s="217"/>
    </row>
    <row r="569">
      <c r="A569" s="217"/>
      <c r="B569" s="217"/>
      <c r="C569" s="217"/>
      <c r="D569" s="217"/>
      <c r="E569" s="217"/>
      <c r="F569" s="217"/>
      <c r="G569" s="218"/>
      <c r="H569" s="217"/>
    </row>
    <row r="570">
      <c r="A570" s="217"/>
      <c r="B570" s="217"/>
      <c r="C570" s="217"/>
      <c r="D570" s="217"/>
      <c r="E570" s="217"/>
      <c r="F570" s="217"/>
      <c r="G570" s="218"/>
      <c r="H570" s="217"/>
    </row>
    <row r="571">
      <c r="A571" s="217"/>
      <c r="B571" s="217"/>
      <c r="C571" s="217"/>
      <c r="D571" s="217"/>
      <c r="E571" s="217"/>
      <c r="F571" s="217"/>
      <c r="G571" s="218"/>
      <c r="H571" s="217"/>
    </row>
    <row r="572">
      <c r="A572" s="217"/>
      <c r="B572" s="217"/>
      <c r="C572" s="217"/>
      <c r="D572" s="217"/>
      <c r="E572" s="217"/>
      <c r="F572" s="217"/>
      <c r="G572" s="218"/>
      <c r="H572" s="217"/>
    </row>
    <row r="573">
      <c r="A573" s="217"/>
      <c r="B573" s="217"/>
      <c r="C573" s="217"/>
      <c r="D573" s="217"/>
      <c r="E573" s="217"/>
      <c r="F573" s="217"/>
      <c r="G573" s="218"/>
      <c r="H573" s="217"/>
    </row>
    <row r="574">
      <c r="A574" s="217"/>
      <c r="B574" s="217"/>
      <c r="C574" s="217"/>
      <c r="D574" s="217"/>
      <c r="E574" s="217"/>
      <c r="F574" s="217"/>
      <c r="G574" s="218"/>
      <c r="H574" s="217"/>
    </row>
    <row r="575">
      <c r="A575" s="217"/>
      <c r="B575" s="217"/>
      <c r="C575" s="217"/>
      <c r="D575" s="217"/>
      <c r="E575" s="217"/>
      <c r="F575" s="217"/>
      <c r="G575" s="218"/>
      <c r="H575" s="217"/>
    </row>
    <row r="576">
      <c r="A576" s="217"/>
      <c r="B576" s="217"/>
      <c r="C576" s="217"/>
      <c r="D576" s="217"/>
      <c r="E576" s="217"/>
      <c r="F576" s="217"/>
      <c r="G576" s="218"/>
      <c r="H576" s="217"/>
    </row>
    <row r="577">
      <c r="A577" s="217"/>
      <c r="B577" s="217"/>
      <c r="C577" s="217"/>
      <c r="D577" s="217"/>
      <c r="E577" s="217"/>
      <c r="F577" s="217"/>
      <c r="G577" s="218"/>
      <c r="H577" s="217"/>
    </row>
    <row r="578">
      <c r="A578" s="217"/>
      <c r="B578" s="217"/>
      <c r="C578" s="217"/>
      <c r="D578" s="217"/>
      <c r="E578" s="217"/>
      <c r="F578" s="217"/>
      <c r="G578" s="218"/>
      <c r="H578" s="217"/>
    </row>
    <row r="579">
      <c r="A579" s="217"/>
      <c r="B579" s="217"/>
      <c r="C579" s="217"/>
      <c r="D579" s="217"/>
      <c r="E579" s="217"/>
      <c r="F579" s="217"/>
      <c r="G579" s="218"/>
      <c r="H579" s="217"/>
    </row>
    <row r="580">
      <c r="A580" s="217"/>
      <c r="B580" s="217"/>
      <c r="C580" s="217"/>
      <c r="D580" s="217"/>
      <c r="E580" s="217"/>
      <c r="F580" s="217"/>
      <c r="G580" s="218"/>
      <c r="H580" s="217"/>
    </row>
    <row r="581">
      <c r="A581" s="217"/>
      <c r="B581" s="217"/>
      <c r="C581" s="217"/>
      <c r="D581" s="217"/>
      <c r="E581" s="217"/>
      <c r="F581" s="217"/>
      <c r="G581" s="218"/>
      <c r="H581" s="217"/>
    </row>
    <row r="582">
      <c r="A582" s="217"/>
      <c r="B582" s="217"/>
      <c r="C582" s="217"/>
      <c r="D582" s="217"/>
      <c r="E582" s="217"/>
      <c r="F582" s="217"/>
      <c r="G582" s="218"/>
      <c r="H582" s="217"/>
    </row>
    <row r="583">
      <c r="A583" s="217"/>
      <c r="B583" s="217"/>
      <c r="C583" s="217"/>
      <c r="D583" s="217"/>
      <c r="E583" s="217"/>
      <c r="F583" s="217"/>
      <c r="G583" s="218"/>
      <c r="H583" s="217"/>
    </row>
    <row r="584">
      <c r="A584" s="217"/>
      <c r="B584" s="217"/>
      <c r="C584" s="217"/>
      <c r="D584" s="217"/>
      <c r="E584" s="217"/>
      <c r="F584" s="217"/>
      <c r="G584" s="218"/>
      <c r="H584" s="217"/>
    </row>
    <row r="585">
      <c r="A585" s="217"/>
      <c r="B585" s="217"/>
      <c r="C585" s="217"/>
      <c r="D585" s="217"/>
      <c r="E585" s="217"/>
      <c r="F585" s="217"/>
      <c r="G585" s="218"/>
      <c r="H585" s="217"/>
    </row>
    <row r="586">
      <c r="A586" s="217"/>
      <c r="B586" s="217"/>
      <c r="C586" s="217"/>
      <c r="D586" s="217"/>
      <c r="E586" s="217"/>
      <c r="F586" s="217"/>
      <c r="G586" s="218"/>
      <c r="H586" s="217"/>
    </row>
    <row r="587">
      <c r="A587" s="217"/>
      <c r="B587" s="217"/>
      <c r="C587" s="217"/>
      <c r="D587" s="217"/>
      <c r="E587" s="217"/>
      <c r="F587" s="217"/>
      <c r="G587" s="218"/>
      <c r="H587" s="217"/>
    </row>
    <row r="588">
      <c r="A588" s="217"/>
      <c r="B588" s="217"/>
      <c r="C588" s="217"/>
      <c r="D588" s="217"/>
      <c r="E588" s="217"/>
      <c r="F588" s="217"/>
      <c r="G588" s="218"/>
      <c r="H588" s="217"/>
    </row>
    <row r="589">
      <c r="A589" s="217"/>
      <c r="B589" s="217"/>
      <c r="C589" s="217"/>
      <c r="D589" s="217"/>
      <c r="E589" s="217"/>
      <c r="F589" s="217"/>
      <c r="G589" s="218"/>
      <c r="H589" s="217"/>
    </row>
    <row r="590">
      <c r="A590" s="217"/>
      <c r="B590" s="217"/>
      <c r="C590" s="217"/>
      <c r="D590" s="217"/>
      <c r="E590" s="217"/>
      <c r="F590" s="217"/>
      <c r="G590" s="218"/>
      <c r="H590" s="217"/>
    </row>
    <row r="591">
      <c r="A591" s="217"/>
      <c r="B591" s="217"/>
      <c r="C591" s="217"/>
      <c r="D591" s="217"/>
      <c r="E591" s="217"/>
      <c r="F591" s="217"/>
      <c r="G591" s="218"/>
      <c r="H591" s="217"/>
    </row>
    <row r="592">
      <c r="A592" s="217"/>
      <c r="B592" s="217"/>
      <c r="C592" s="217"/>
      <c r="D592" s="217"/>
      <c r="E592" s="217"/>
      <c r="F592" s="217"/>
      <c r="G592" s="218"/>
      <c r="H592" s="217"/>
    </row>
    <row r="593">
      <c r="A593" s="217"/>
      <c r="B593" s="217"/>
      <c r="C593" s="217"/>
      <c r="D593" s="217"/>
      <c r="E593" s="217"/>
      <c r="F593" s="217"/>
      <c r="G593" s="218"/>
      <c r="H593" s="217"/>
    </row>
    <row r="594">
      <c r="A594" s="217"/>
      <c r="B594" s="217"/>
      <c r="C594" s="217"/>
      <c r="D594" s="217"/>
      <c r="E594" s="217"/>
      <c r="F594" s="217"/>
      <c r="G594" s="218"/>
      <c r="H594" s="217"/>
    </row>
    <row r="595">
      <c r="A595" s="217"/>
      <c r="B595" s="217"/>
      <c r="C595" s="217"/>
      <c r="D595" s="217"/>
      <c r="E595" s="217"/>
      <c r="F595" s="217"/>
      <c r="G595" s="218"/>
      <c r="H595" s="217"/>
    </row>
    <row r="596">
      <c r="A596" s="217"/>
      <c r="B596" s="217"/>
      <c r="C596" s="217"/>
      <c r="D596" s="217"/>
      <c r="E596" s="217"/>
      <c r="F596" s="217"/>
      <c r="G596" s="218"/>
      <c r="H596" s="217"/>
    </row>
    <row r="597">
      <c r="A597" s="217"/>
      <c r="B597" s="217"/>
      <c r="C597" s="217"/>
      <c r="D597" s="217"/>
      <c r="E597" s="217"/>
      <c r="F597" s="217"/>
      <c r="G597" s="218"/>
      <c r="H597" s="217"/>
    </row>
    <row r="598">
      <c r="A598" s="217"/>
      <c r="B598" s="217"/>
      <c r="C598" s="217"/>
      <c r="D598" s="217"/>
      <c r="E598" s="217"/>
      <c r="F598" s="217"/>
      <c r="G598" s="218"/>
      <c r="H598" s="217"/>
    </row>
    <row r="599">
      <c r="A599" s="217"/>
      <c r="B599" s="217"/>
      <c r="C599" s="217"/>
      <c r="D599" s="217"/>
      <c r="E599" s="217"/>
      <c r="F599" s="217"/>
      <c r="G599" s="218"/>
      <c r="H599" s="217"/>
    </row>
    <row r="600">
      <c r="A600" s="217"/>
      <c r="B600" s="217"/>
      <c r="C600" s="217"/>
      <c r="D600" s="217"/>
      <c r="E600" s="217"/>
      <c r="F600" s="217"/>
      <c r="G600" s="218"/>
      <c r="H600" s="217"/>
    </row>
    <row r="601">
      <c r="A601" s="217"/>
      <c r="B601" s="217"/>
      <c r="C601" s="217"/>
      <c r="D601" s="217"/>
      <c r="E601" s="217"/>
      <c r="F601" s="217"/>
      <c r="G601" s="218"/>
      <c r="H601" s="217"/>
    </row>
    <row r="602">
      <c r="A602" s="217"/>
      <c r="B602" s="217"/>
      <c r="C602" s="217"/>
      <c r="D602" s="217"/>
      <c r="E602" s="217"/>
      <c r="F602" s="217"/>
      <c r="G602" s="218"/>
      <c r="H602" s="217"/>
    </row>
    <row r="603">
      <c r="A603" s="217"/>
      <c r="B603" s="217"/>
      <c r="C603" s="217"/>
      <c r="D603" s="217"/>
      <c r="E603" s="217"/>
      <c r="F603" s="217"/>
      <c r="G603" s="218"/>
      <c r="H603" s="217"/>
    </row>
    <row r="604">
      <c r="A604" s="217"/>
      <c r="B604" s="217"/>
      <c r="C604" s="217"/>
      <c r="D604" s="217"/>
      <c r="E604" s="217"/>
      <c r="F604" s="217"/>
      <c r="G604" s="218"/>
      <c r="H604" s="217"/>
    </row>
    <row r="605">
      <c r="A605" s="217"/>
      <c r="B605" s="217"/>
      <c r="C605" s="217"/>
      <c r="D605" s="217"/>
      <c r="E605" s="217"/>
      <c r="F605" s="217"/>
      <c r="G605" s="218"/>
      <c r="H605" s="217"/>
    </row>
    <row r="606">
      <c r="A606" s="217"/>
      <c r="B606" s="217"/>
      <c r="C606" s="217"/>
      <c r="D606" s="217"/>
      <c r="E606" s="217"/>
      <c r="F606" s="217"/>
      <c r="G606" s="218"/>
      <c r="H606" s="217"/>
    </row>
    <row r="607">
      <c r="A607" s="217"/>
      <c r="B607" s="217"/>
      <c r="C607" s="217"/>
      <c r="D607" s="217"/>
      <c r="E607" s="217"/>
      <c r="F607" s="217"/>
      <c r="G607" s="218"/>
      <c r="H607" s="217"/>
    </row>
    <row r="608">
      <c r="A608" s="217"/>
      <c r="B608" s="217"/>
      <c r="C608" s="217"/>
      <c r="D608" s="217"/>
      <c r="E608" s="217"/>
      <c r="F608" s="217"/>
      <c r="G608" s="218"/>
      <c r="H608" s="217"/>
    </row>
    <row r="609">
      <c r="A609" s="217"/>
      <c r="B609" s="217"/>
      <c r="C609" s="217"/>
      <c r="D609" s="217"/>
      <c r="E609" s="217"/>
      <c r="F609" s="217"/>
      <c r="G609" s="218"/>
      <c r="H609" s="217"/>
    </row>
    <row r="610">
      <c r="A610" s="217"/>
      <c r="B610" s="217"/>
      <c r="C610" s="217"/>
      <c r="D610" s="217"/>
      <c r="E610" s="217"/>
      <c r="F610" s="217"/>
      <c r="G610" s="218"/>
      <c r="H610" s="217"/>
    </row>
    <row r="611">
      <c r="A611" s="217"/>
      <c r="B611" s="217"/>
      <c r="C611" s="217"/>
      <c r="D611" s="217"/>
      <c r="E611" s="217"/>
      <c r="F611" s="217"/>
      <c r="G611" s="218"/>
      <c r="H611" s="217"/>
    </row>
    <row r="612">
      <c r="A612" s="217"/>
      <c r="B612" s="217"/>
      <c r="C612" s="217"/>
      <c r="D612" s="217"/>
      <c r="E612" s="217"/>
      <c r="F612" s="217"/>
      <c r="G612" s="218"/>
      <c r="H612" s="217"/>
    </row>
    <row r="613">
      <c r="A613" s="217"/>
      <c r="B613" s="217"/>
      <c r="C613" s="217"/>
      <c r="D613" s="217"/>
      <c r="E613" s="217"/>
      <c r="F613" s="217"/>
      <c r="G613" s="218"/>
      <c r="H613" s="217"/>
    </row>
    <row r="614">
      <c r="A614" s="217"/>
      <c r="B614" s="217"/>
      <c r="C614" s="217"/>
      <c r="D614" s="217"/>
      <c r="E614" s="217"/>
      <c r="F614" s="217"/>
      <c r="G614" s="218"/>
      <c r="H614" s="217"/>
    </row>
    <row r="615">
      <c r="A615" s="217"/>
      <c r="B615" s="217"/>
      <c r="C615" s="217"/>
      <c r="D615" s="217"/>
      <c r="E615" s="217"/>
      <c r="F615" s="217"/>
      <c r="G615" s="218"/>
      <c r="H615" s="217"/>
    </row>
    <row r="616">
      <c r="A616" s="217"/>
      <c r="B616" s="217"/>
      <c r="C616" s="217"/>
      <c r="D616" s="217"/>
      <c r="E616" s="217"/>
      <c r="F616" s="217"/>
      <c r="G616" s="218"/>
      <c r="H616" s="217"/>
    </row>
    <row r="617">
      <c r="A617" s="217"/>
      <c r="B617" s="217"/>
      <c r="C617" s="217"/>
      <c r="D617" s="217"/>
      <c r="E617" s="217"/>
      <c r="F617" s="217"/>
      <c r="G617" s="218"/>
      <c r="H617" s="217"/>
    </row>
    <row r="618">
      <c r="A618" s="217"/>
      <c r="B618" s="217"/>
      <c r="C618" s="217"/>
      <c r="D618" s="217"/>
      <c r="E618" s="217"/>
      <c r="F618" s="217"/>
      <c r="G618" s="218"/>
      <c r="H618" s="217"/>
    </row>
    <row r="619">
      <c r="A619" s="217"/>
      <c r="B619" s="217"/>
      <c r="C619" s="217"/>
      <c r="D619" s="217"/>
      <c r="E619" s="217"/>
      <c r="F619" s="217"/>
      <c r="G619" s="218"/>
      <c r="H619" s="217"/>
    </row>
    <row r="620">
      <c r="A620" s="217"/>
      <c r="B620" s="217"/>
      <c r="C620" s="217"/>
      <c r="D620" s="217"/>
      <c r="E620" s="217"/>
      <c r="F620" s="217"/>
      <c r="G620" s="218"/>
      <c r="H620" s="217"/>
    </row>
    <row r="621">
      <c r="A621" s="217"/>
      <c r="B621" s="217"/>
      <c r="C621" s="217"/>
      <c r="D621" s="217"/>
      <c r="E621" s="217"/>
      <c r="F621" s="217"/>
      <c r="G621" s="218"/>
      <c r="H621" s="217"/>
    </row>
    <row r="622">
      <c r="A622" s="217"/>
      <c r="B622" s="217"/>
      <c r="C622" s="217"/>
      <c r="D622" s="217"/>
      <c r="E622" s="217"/>
      <c r="F622" s="217"/>
      <c r="G622" s="218"/>
      <c r="H622" s="217"/>
    </row>
    <row r="623">
      <c r="A623" s="217"/>
      <c r="B623" s="217"/>
      <c r="C623" s="217"/>
      <c r="D623" s="217"/>
      <c r="E623" s="217"/>
      <c r="F623" s="217"/>
      <c r="G623" s="218"/>
      <c r="H623" s="217"/>
    </row>
    <row r="624">
      <c r="A624" s="217"/>
      <c r="B624" s="217"/>
      <c r="C624" s="217"/>
      <c r="D624" s="217"/>
      <c r="E624" s="217"/>
      <c r="F624" s="217"/>
      <c r="G624" s="218"/>
      <c r="H624" s="217"/>
    </row>
    <row r="625">
      <c r="A625" s="217"/>
      <c r="B625" s="217"/>
      <c r="C625" s="217"/>
      <c r="D625" s="217"/>
      <c r="E625" s="217"/>
      <c r="F625" s="217"/>
      <c r="G625" s="218"/>
      <c r="H625" s="217"/>
    </row>
    <row r="626">
      <c r="A626" s="217"/>
      <c r="B626" s="217"/>
      <c r="C626" s="217"/>
      <c r="D626" s="217"/>
      <c r="E626" s="217"/>
      <c r="F626" s="217"/>
      <c r="G626" s="218"/>
      <c r="H626" s="217"/>
    </row>
    <row r="627">
      <c r="A627" s="217"/>
      <c r="B627" s="217"/>
      <c r="C627" s="217"/>
      <c r="D627" s="217"/>
      <c r="E627" s="217"/>
      <c r="F627" s="217"/>
      <c r="G627" s="218"/>
      <c r="H627" s="217"/>
    </row>
    <row r="628">
      <c r="A628" s="217"/>
      <c r="B628" s="217"/>
      <c r="C628" s="217"/>
      <c r="D628" s="217"/>
      <c r="E628" s="217"/>
      <c r="F628" s="217"/>
      <c r="G628" s="218"/>
      <c r="H628" s="217"/>
    </row>
    <row r="629">
      <c r="A629" s="217"/>
      <c r="B629" s="217"/>
      <c r="C629" s="217"/>
      <c r="D629" s="217"/>
      <c r="E629" s="217"/>
      <c r="F629" s="217"/>
      <c r="G629" s="218"/>
      <c r="H629" s="217"/>
    </row>
    <row r="630">
      <c r="A630" s="217"/>
      <c r="B630" s="217"/>
      <c r="C630" s="217"/>
      <c r="D630" s="217"/>
      <c r="E630" s="217"/>
      <c r="F630" s="217"/>
      <c r="G630" s="218"/>
      <c r="H630" s="217"/>
    </row>
    <row r="631">
      <c r="A631" s="217"/>
      <c r="B631" s="217"/>
      <c r="C631" s="217"/>
      <c r="D631" s="217"/>
      <c r="E631" s="217"/>
      <c r="F631" s="217"/>
      <c r="G631" s="218"/>
      <c r="H631" s="217"/>
    </row>
    <row r="632">
      <c r="A632" s="217"/>
      <c r="B632" s="217"/>
      <c r="C632" s="217"/>
      <c r="D632" s="217"/>
      <c r="E632" s="217"/>
      <c r="F632" s="217"/>
      <c r="G632" s="218"/>
      <c r="H632" s="217"/>
    </row>
    <row r="633">
      <c r="A633" s="217"/>
      <c r="B633" s="217"/>
      <c r="C633" s="217"/>
      <c r="D633" s="217"/>
      <c r="E633" s="217"/>
      <c r="F633" s="217"/>
      <c r="G633" s="218"/>
      <c r="H633" s="217"/>
    </row>
    <row r="634">
      <c r="A634" s="217"/>
      <c r="B634" s="217"/>
      <c r="C634" s="217"/>
      <c r="D634" s="217"/>
      <c r="E634" s="217"/>
      <c r="F634" s="217"/>
      <c r="G634" s="218"/>
      <c r="H634" s="217"/>
    </row>
    <row r="635">
      <c r="A635" s="217"/>
      <c r="B635" s="217"/>
      <c r="C635" s="217"/>
      <c r="D635" s="217"/>
      <c r="E635" s="217"/>
      <c r="F635" s="217"/>
      <c r="G635" s="218"/>
      <c r="H635" s="217"/>
    </row>
    <row r="636">
      <c r="A636" s="217"/>
      <c r="B636" s="217"/>
      <c r="C636" s="217"/>
      <c r="D636" s="217"/>
      <c r="E636" s="217"/>
      <c r="F636" s="217"/>
      <c r="G636" s="218"/>
      <c r="H636" s="217"/>
    </row>
    <row r="637">
      <c r="A637" s="217"/>
      <c r="B637" s="217"/>
      <c r="C637" s="217"/>
      <c r="D637" s="217"/>
      <c r="E637" s="217"/>
      <c r="F637" s="217"/>
      <c r="G637" s="218"/>
      <c r="H637" s="217"/>
    </row>
    <row r="638">
      <c r="A638" s="217"/>
      <c r="B638" s="217"/>
      <c r="C638" s="217"/>
      <c r="D638" s="217"/>
      <c r="E638" s="217"/>
      <c r="F638" s="217"/>
      <c r="G638" s="218"/>
      <c r="H638" s="217"/>
    </row>
    <row r="639">
      <c r="A639" s="217"/>
      <c r="B639" s="217"/>
      <c r="C639" s="217"/>
      <c r="D639" s="217"/>
      <c r="E639" s="217"/>
      <c r="F639" s="217"/>
      <c r="G639" s="218"/>
      <c r="H639" s="217"/>
    </row>
    <row r="640">
      <c r="A640" s="217"/>
      <c r="B640" s="217"/>
      <c r="C640" s="217"/>
      <c r="D640" s="217"/>
      <c r="E640" s="217"/>
      <c r="F640" s="217"/>
      <c r="G640" s="218"/>
      <c r="H640" s="217"/>
    </row>
    <row r="641">
      <c r="A641" s="217"/>
      <c r="B641" s="217"/>
      <c r="C641" s="217"/>
      <c r="D641" s="217"/>
      <c r="E641" s="217"/>
      <c r="F641" s="217"/>
      <c r="G641" s="218"/>
      <c r="H641" s="217"/>
    </row>
    <row r="642">
      <c r="A642" s="217"/>
      <c r="B642" s="217"/>
      <c r="C642" s="217"/>
      <c r="D642" s="217"/>
      <c r="E642" s="217"/>
      <c r="F642" s="217"/>
      <c r="G642" s="218"/>
      <c r="H642" s="217"/>
    </row>
    <row r="643">
      <c r="A643" s="217"/>
      <c r="B643" s="217"/>
      <c r="C643" s="217"/>
      <c r="D643" s="217"/>
      <c r="E643" s="217"/>
      <c r="F643" s="217"/>
      <c r="G643" s="218"/>
      <c r="H643" s="217"/>
    </row>
    <row r="644">
      <c r="A644" s="217"/>
      <c r="B644" s="217"/>
      <c r="C644" s="217"/>
      <c r="D644" s="217"/>
      <c r="E644" s="217"/>
      <c r="F644" s="217"/>
      <c r="G644" s="218"/>
      <c r="H644" s="217"/>
    </row>
    <row r="645">
      <c r="A645" s="217"/>
      <c r="B645" s="217"/>
      <c r="C645" s="217"/>
      <c r="D645" s="217"/>
      <c r="E645" s="217"/>
      <c r="F645" s="217"/>
      <c r="G645" s="218"/>
      <c r="H645" s="217"/>
    </row>
    <row r="646">
      <c r="A646" s="217"/>
      <c r="B646" s="217"/>
      <c r="C646" s="217"/>
      <c r="D646" s="217"/>
      <c r="E646" s="217"/>
      <c r="F646" s="217"/>
      <c r="G646" s="218"/>
      <c r="H646" s="217"/>
    </row>
    <row r="647">
      <c r="A647" s="217"/>
      <c r="B647" s="217"/>
      <c r="C647" s="217"/>
      <c r="D647" s="217"/>
      <c r="E647" s="217"/>
      <c r="F647" s="217"/>
      <c r="G647" s="218"/>
      <c r="H647" s="217"/>
    </row>
    <row r="648">
      <c r="A648" s="217"/>
      <c r="B648" s="217"/>
      <c r="C648" s="217"/>
      <c r="D648" s="217"/>
      <c r="E648" s="217"/>
      <c r="F648" s="217"/>
      <c r="G648" s="218"/>
      <c r="H648" s="217"/>
    </row>
    <row r="649">
      <c r="A649" s="217"/>
      <c r="B649" s="217"/>
      <c r="C649" s="217"/>
      <c r="D649" s="217"/>
      <c r="E649" s="217"/>
      <c r="F649" s="217"/>
      <c r="G649" s="218"/>
      <c r="H649" s="217"/>
    </row>
    <row r="650">
      <c r="A650" s="217"/>
      <c r="B650" s="217"/>
      <c r="C650" s="217"/>
      <c r="D650" s="217"/>
      <c r="E650" s="217"/>
      <c r="F650" s="217"/>
      <c r="G650" s="218"/>
      <c r="H650" s="217"/>
    </row>
    <row r="651">
      <c r="A651" s="217"/>
      <c r="B651" s="217"/>
      <c r="C651" s="217"/>
      <c r="D651" s="217"/>
      <c r="E651" s="217"/>
      <c r="F651" s="217"/>
      <c r="G651" s="218"/>
      <c r="H651" s="217"/>
    </row>
    <row r="652">
      <c r="A652" s="217"/>
      <c r="B652" s="217"/>
      <c r="C652" s="217"/>
      <c r="D652" s="217"/>
      <c r="E652" s="217"/>
      <c r="F652" s="217"/>
      <c r="G652" s="218"/>
      <c r="H652" s="217"/>
    </row>
    <row r="653">
      <c r="A653" s="217"/>
      <c r="B653" s="217"/>
      <c r="C653" s="217"/>
      <c r="D653" s="217"/>
      <c r="E653" s="217"/>
      <c r="F653" s="217"/>
      <c r="G653" s="218"/>
      <c r="H653" s="217"/>
    </row>
    <row r="654">
      <c r="A654" s="217"/>
      <c r="B654" s="217"/>
      <c r="C654" s="217"/>
      <c r="D654" s="217"/>
      <c r="E654" s="217"/>
      <c r="F654" s="217"/>
      <c r="G654" s="218"/>
      <c r="H654" s="217"/>
    </row>
    <row r="655">
      <c r="A655" s="217"/>
      <c r="B655" s="217"/>
      <c r="C655" s="217"/>
      <c r="D655" s="217"/>
      <c r="E655" s="217"/>
      <c r="F655" s="217"/>
      <c r="G655" s="218"/>
      <c r="H655" s="217"/>
    </row>
    <row r="656">
      <c r="A656" s="217"/>
      <c r="B656" s="217"/>
      <c r="C656" s="217"/>
      <c r="D656" s="217"/>
      <c r="E656" s="217"/>
      <c r="F656" s="217"/>
      <c r="G656" s="218"/>
      <c r="H656" s="217"/>
    </row>
    <row r="657">
      <c r="A657" s="217"/>
      <c r="B657" s="217"/>
      <c r="C657" s="217"/>
      <c r="D657" s="217"/>
      <c r="E657" s="217"/>
      <c r="F657" s="217"/>
      <c r="G657" s="218"/>
      <c r="H657" s="217"/>
    </row>
    <row r="658">
      <c r="A658" s="217"/>
      <c r="B658" s="217"/>
      <c r="C658" s="217"/>
      <c r="D658" s="217"/>
      <c r="E658" s="217"/>
      <c r="F658" s="217"/>
      <c r="G658" s="218"/>
      <c r="H658" s="217"/>
    </row>
    <row r="659">
      <c r="A659" s="217"/>
      <c r="B659" s="217"/>
      <c r="C659" s="217"/>
      <c r="D659" s="217"/>
      <c r="E659" s="217"/>
      <c r="F659" s="217"/>
      <c r="G659" s="218"/>
      <c r="H659" s="217"/>
    </row>
    <row r="660">
      <c r="A660" s="217"/>
      <c r="B660" s="217"/>
      <c r="C660" s="217"/>
      <c r="D660" s="217"/>
      <c r="E660" s="217"/>
      <c r="F660" s="217"/>
      <c r="G660" s="218"/>
      <c r="H660" s="217"/>
    </row>
    <row r="661">
      <c r="A661" s="217"/>
      <c r="B661" s="217"/>
      <c r="C661" s="217"/>
      <c r="D661" s="217"/>
      <c r="E661" s="217"/>
      <c r="F661" s="217"/>
      <c r="G661" s="218"/>
      <c r="H661" s="217"/>
    </row>
    <row r="662">
      <c r="A662" s="217"/>
      <c r="B662" s="217"/>
      <c r="C662" s="217"/>
      <c r="D662" s="217"/>
      <c r="E662" s="217"/>
      <c r="F662" s="217"/>
      <c r="G662" s="218"/>
      <c r="H662" s="217"/>
    </row>
    <row r="663">
      <c r="A663" s="217"/>
      <c r="B663" s="217"/>
      <c r="C663" s="217"/>
      <c r="D663" s="217"/>
      <c r="E663" s="217"/>
      <c r="F663" s="217"/>
      <c r="G663" s="218"/>
      <c r="H663" s="217"/>
    </row>
    <row r="664">
      <c r="A664" s="217"/>
      <c r="B664" s="217"/>
      <c r="C664" s="217"/>
      <c r="D664" s="217"/>
      <c r="E664" s="217"/>
      <c r="F664" s="217"/>
      <c r="G664" s="218"/>
      <c r="H664" s="217"/>
    </row>
    <row r="665">
      <c r="A665" s="217"/>
      <c r="B665" s="217"/>
      <c r="C665" s="217"/>
      <c r="D665" s="217"/>
      <c r="E665" s="217"/>
      <c r="F665" s="217"/>
      <c r="G665" s="218"/>
      <c r="H665" s="217"/>
    </row>
    <row r="666">
      <c r="A666" s="217"/>
      <c r="B666" s="217"/>
      <c r="C666" s="217"/>
      <c r="D666" s="217"/>
      <c r="E666" s="217"/>
      <c r="F666" s="217"/>
      <c r="G666" s="218"/>
      <c r="H666" s="217"/>
    </row>
    <row r="667">
      <c r="A667" s="217"/>
      <c r="B667" s="217"/>
      <c r="C667" s="217"/>
      <c r="D667" s="217"/>
      <c r="E667" s="217"/>
      <c r="F667" s="217"/>
      <c r="G667" s="218"/>
      <c r="H667" s="217"/>
    </row>
    <row r="668">
      <c r="A668" s="217"/>
      <c r="B668" s="217"/>
      <c r="C668" s="217"/>
      <c r="D668" s="217"/>
      <c r="E668" s="217"/>
      <c r="F668" s="217"/>
      <c r="G668" s="218"/>
      <c r="H668" s="217"/>
    </row>
    <row r="669">
      <c r="A669" s="217"/>
      <c r="B669" s="217"/>
      <c r="C669" s="217"/>
      <c r="D669" s="217"/>
      <c r="E669" s="217"/>
      <c r="F669" s="217"/>
      <c r="G669" s="218"/>
      <c r="H669" s="217"/>
    </row>
    <row r="670">
      <c r="A670" s="217"/>
      <c r="B670" s="217"/>
      <c r="C670" s="217"/>
      <c r="D670" s="217"/>
      <c r="E670" s="217"/>
      <c r="F670" s="217"/>
      <c r="G670" s="218"/>
      <c r="H670" s="217"/>
    </row>
    <row r="671">
      <c r="A671" s="217"/>
      <c r="B671" s="217"/>
      <c r="C671" s="217"/>
      <c r="D671" s="217"/>
      <c r="E671" s="217"/>
      <c r="F671" s="217"/>
      <c r="G671" s="218"/>
      <c r="H671" s="217"/>
    </row>
    <row r="672">
      <c r="A672" s="217"/>
      <c r="B672" s="217"/>
      <c r="C672" s="217"/>
      <c r="D672" s="217"/>
      <c r="E672" s="217"/>
      <c r="F672" s="217"/>
      <c r="G672" s="218"/>
      <c r="H672" s="217"/>
    </row>
    <row r="673">
      <c r="A673" s="217"/>
      <c r="B673" s="217"/>
      <c r="C673" s="217"/>
      <c r="D673" s="217"/>
      <c r="E673" s="217"/>
      <c r="F673" s="217"/>
      <c r="G673" s="218"/>
      <c r="H673" s="217"/>
    </row>
    <row r="674">
      <c r="A674" s="217"/>
      <c r="B674" s="217"/>
      <c r="C674" s="217"/>
      <c r="D674" s="217"/>
      <c r="E674" s="217"/>
      <c r="F674" s="217"/>
      <c r="G674" s="218"/>
      <c r="H674" s="217"/>
    </row>
    <row r="675">
      <c r="A675" s="217"/>
      <c r="B675" s="217"/>
      <c r="C675" s="217"/>
      <c r="D675" s="217"/>
      <c r="E675" s="217"/>
      <c r="F675" s="217"/>
      <c r="G675" s="218"/>
      <c r="H675" s="217"/>
    </row>
    <row r="676">
      <c r="A676" s="217"/>
      <c r="B676" s="217"/>
      <c r="C676" s="217"/>
      <c r="D676" s="217"/>
      <c r="E676" s="217"/>
      <c r="F676" s="217"/>
      <c r="G676" s="218"/>
      <c r="H676" s="217"/>
    </row>
    <row r="677">
      <c r="A677" s="217"/>
      <c r="B677" s="217"/>
      <c r="C677" s="217"/>
      <c r="D677" s="217"/>
      <c r="E677" s="217"/>
      <c r="F677" s="217"/>
      <c r="G677" s="218"/>
      <c r="H677" s="217"/>
    </row>
    <row r="678">
      <c r="A678" s="217"/>
      <c r="B678" s="217"/>
      <c r="C678" s="217"/>
      <c r="D678" s="217"/>
      <c r="E678" s="217"/>
      <c r="F678" s="217"/>
      <c r="G678" s="218"/>
      <c r="H678" s="217"/>
    </row>
    <row r="679">
      <c r="A679" s="217"/>
      <c r="B679" s="217"/>
      <c r="C679" s="217"/>
      <c r="D679" s="217"/>
      <c r="E679" s="217"/>
      <c r="F679" s="217"/>
      <c r="G679" s="218"/>
      <c r="H679" s="217"/>
    </row>
    <row r="680">
      <c r="A680" s="217"/>
      <c r="B680" s="217"/>
      <c r="C680" s="217"/>
      <c r="D680" s="217"/>
      <c r="E680" s="217"/>
      <c r="F680" s="217"/>
      <c r="G680" s="218"/>
      <c r="H680" s="217"/>
    </row>
    <row r="681">
      <c r="A681" s="217"/>
      <c r="B681" s="217"/>
      <c r="C681" s="217"/>
      <c r="D681" s="217"/>
      <c r="E681" s="217"/>
      <c r="F681" s="217"/>
      <c r="G681" s="218"/>
      <c r="H681" s="217"/>
    </row>
    <row r="682">
      <c r="A682" s="217"/>
      <c r="B682" s="217"/>
      <c r="C682" s="217"/>
      <c r="D682" s="217"/>
      <c r="E682" s="217"/>
      <c r="F682" s="217"/>
      <c r="G682" s="218"/>
      <c r="H682" s="217"/>
    </row>
    <row r="683">
      <c r="A683" s="217"/>
      <c r="B683" s="217"/>
      <c r="C683" s="217"/>
      <c r="D683" s="217"/>
      <c r="E683" s="217"/>
      <c r="F683" s="217"/>
      <c r="G683" s="218"/>
      <c r="H683" s="217"/>
    </row>
    <row r="684">
      <c r="A684" s="217"/>
      <c r="B684" s="217"/>
      <c r="C684" s="217"/>
      <c r="D684" s="217"/>
      <c r="E684" s="217"/>
      <c r="F684" s="217"/>
      <c r="G684" s="218"/>
      <c r="H684" s="217"/>
    </row>
    <row r="685">
      <c r="A685" s="217"/>
      <c r="B685" s="217"/>
      <c r="C685" s="217"/>
      <c r="D685" s="217"/>
      <c r="E685" s="217"/>
      <c r="F685" s="217"/>
      <c r="G685" s="218"/>
      <c r="H685" s="217"/>
    </row>
    <row r="686">
      <c r="A686" s="217"/>
      <c r="B686" s="217"/>
      <c r="C686" s="217"/>
      <c r="D686" s="217"/>
      <c r="E686" s="217"/>
      <c r="F686" s="217"/>
      <c r="G686" s="218"/>
      <c r="H686" s="217"/>
    </row>
    <row r="687">
      <c r="A687" s="217"/>
      <c r="B687" s="217"/>
      <c r="C687" s="217"/>
      <c r="D687" s="217"/>
      <c r="E687" s="217"/>
      <c r="F687" s="217"/>
      <c r="G687" s="218"/>
      <c r="H687" s="217"/>
    </row>
    <row r="688">
      <c r="A688" s="217"/>
      <c r="B688" s="217"/>
      <c r="C688" s="217"/>
      <c r="D688" s="217"/>
      <c r="E688" s="217"/>
      <c r="F688" s="217"/>
      <c r="G688" s="218"/>
      <c r="H688" s="217"/>
    </row>
    <row r="689">
      <c r="A689" s="217"/>
      <c r="B689" s="217"/>
      <c r="C689" s="217"/>
      <c r="D689" s="217"/>
      <c r="E689" s="217"/>
      <c r="F689" s="217"/>
      <c r="G689" s="218"/>
      <c r="H689" s="217"/>
    </row>
    <row r="690">
      <c r="A690" s="217"/>
      <c r="B690" s="217"/>
      <c r="C690" s="217"/>
      <c r="D690" s="217"/>
      <c r="E690" s="217"/>
      <c r="F690" s="217"/>
      <c r="G690" s="218"/>
      <c r="H690" s="217"/>
    </row>
    <row r="691">
      <c r="A691" s="217"/>
      <c r="B691" s="217"/>
      <c r="C691" s="217"/>
      <c r="D691" s="217"/>
      <c r="E691" s="217"/>
      <c r="F691" s="217"/>
      <c r="G691" s="218"/>
      <c r="H691" s="217"/>
    </row>
    <row r="692">
      <c r="A692" s="217"/>
      <c r="B692" s="217"/>
      <c r="C692" s="217"/>
      <c r="D692" s="217"/>
      <c r="E692" s="217"/>
      <c r="F692" s="217"/>
      <c r="G692" s="218"/>
      <c r="H692" s="217"/>
    </row>
    <row r="693">
      <c r="A693" s="217"/>
      <c r="B693" s="217"/>
      <c r="C693" s="217"/>
      <c r="D693" s="217"/>
      <c r="E693" s="217"/>
      <c r="F693" s="217"/>
      <c r="G693" s="218"/>
      <c r="H693" s="217"/>
    </row>
    <row r="694">
      <c r="A694" s="217"/>
      <c r="B694" s="217"/>
      <c r="C694" s="217"/>
      <c r="D694" s="217"/>
      <c r="E694" s="217"/>
      <c r="F694" s="217"/>
      <c r="G694" s="218"/>
      <c r="H694" s="217"/>
    </row>
    <row r="695">
      <c r="A695" s="217"/>
      <c r="B695" s="217"/>
      <c r="C695" s="217"/>
      <c r="D695" s="217"/>
      <c r="E695" s="217"/>
      <c r="F695" s="217"/>
      <c r="G695" s="218"/>
      <c r="H695" s="217"/>
    </row>
    <row r="696">
      <c r="A696" s="217"/>
      <c r="B696" s="217"/>
      <c r="C696" s="217"/>
      <c r="D696" s="217"/>
      <c r="E696" s="217"/>
      <c r="F696" s="217"/>
      <c r="G696" s="218"/>
      <c r="H696" s="217"/>
    </row>
    <row r="697">
      <c r="A697" s="217"/>
      <c r="B697" s="217"/>
      <c r="C697" s="217"/>
      <c r="D697" s="217"/>
      <c r="E697" s="217"/>
      <c r="F697" s="217"/>
      <c r="G697" s="218"/>
      <c r="H697" s="217"/>
    </row>
    <row r="698">
      <c r="A698" s="217"/>
      <c r="B698" s="217"/>
      <c r="C698" s="217"/>
      <c r="D698" s="217"/>
      <c r="E698" s="217"/>
      <c r="F698" s="217"/>
      <c r="G698" s="218"/>
      <c r="H698" s="217"/>
    </row>
    <row r="699">
      <c r="A699" s="217"/>
      <c r="B699" s="217"/>
      <c r="C699" s="217"/>
      <c r="D699" s="217"/>
      <c r="E699" s="217"/>
      <c r="F699" s="217"/>
      <c r="G699" s="218"/>
      <c r="H699" s="217"/>
    </row>
    <row r="700">
      <c r="A700" s="217"/>
      <c r="B700" s="217"/>
      <c r="C700" s="217"/>
      <c r="D700" s="217"/>
      <c r="E700" s="217"/>
      <c r="F700" s="217"/>
      <c r="G700" s="218"/>
      <c r="H700" s="217"/>
    </row>
    <row r="701">
      <c r="A701" s="217"/>
      <c r="B701" s="217"/>
      <c r="C701" s="217"/>
      <c r="D701" s="217"/>
      <c r="E701" s="217"/>
      <c r="F701" s="217"/>
      <c r="G701" s="218"/>
      <c r="H701" s="217"/>
    </row>
    <row r="702">
      <c r="A702" s="217"/>
      <c r="B702" s="217"/>
      <c r="C702" s="217"/>
      <c r="D702" s="217"/>
      <c r="E702" s="217"/>
      <c r="F702" s="217"/>
      <c r="G702" s="218"/>
      <c r="H702" s="217"/>
    </row>
    <row r="703">
      <c r="A703" s="217"/>
      <c r="B703" s="217"/>
      <c r="C703" s="217"/>
      <c r="D703" s="217"/>
      <c r="E703" s="217"/>
      <c r="F703" s="217"/>
      <c r="G703" s="218"/>
      <c r="H703" s="217"/>
    </row>
    <row r="704">
      <c r="A704" s="217"/>
      <c r="B704" s="217"/>
      <c r="C704" s="217"/>
      <c r="D704" s="217"/>
      <c r="E704" s="217"/>
      <c r="F704" s="217"/>
      <c r="G704" s="218"/>
      <c r="H704" s="217"/>
    </row>
    <row r="705">
      <c r="A705" s="217"/>
      <c r="B705" s="217"/>
      <c r="C705" s="217"/>
      <c r="D705" s="217"/>
      <c r="E705" s="217"/>
      <c r="F705" s="217"/>
      <c r="G705" s="218"/>
      <c r="H705" s="217"/>
    </row>
    <row r="706">
      <c r="A706" s="217"/>
      <c r="B706" s="217"/>
      <c r="C706" s="217"/>
      <c r="D706" s="217"/>
      <c r="E706" s="217"/>
      <c r="F706" s="217"/>
      <c r="G706" s="218"/>
      <c r="H706" s="217"/>
    </row>
    <row r="707">
      <c r="A707" s="217"/>
      <c r="B707" s="217"/>
      <c r="C707" s="217"/>
      <c r="D707" s="217"/>
      <c r="E707" s="217"/>
      <c r="F707" s="217"/>
      <c r="G707" s="218"/>
      <c r="H707" s="217"/>
    </row>
    <row r="708">
      <c r="A708" s="217"/>
      <c r="B708" s="217"/>
      <c r="C708" s="217"/>
      <c r="D708" s="217"/>
      <c r="E708" s="217"/>
      <c r="F708" s="217"/>
      <c r="G708" s="218"/>
      <c r="H708" s="217"/>
    </row>
    <row r="709">
      <c r="A709" s="217"/>
      <c r="B709" s="217"/>
      <c r="C709" s="217"/>
      <c r="D709" s="217"/>
      <c r="E709" s="217"/>
      <c r="F709" s="217"/>
      <c r="G709" s="218"/>
      <c r="H709" s="217"/>
    </row>
    <row r="710">
      <c r="A710" s="217"/>
      <c r="B710" s="217"/>
      <c r="C710" s="217"/>
      <c r="D710" s="217"/>
      <c r="E710" s="217"/>
      <c r="F710" s="217"/>
      <c r="G710" s="218"/>
      <c r="H710" s="217"/>
    </row>
    <row r="711">
      <c r="A711" s="217"/>
      <c r="B711" s="217"/>
      <c r="C711" s="217"/>
      <c r="D711" s="217"/>
      <c r="E711" s="217"/>
      <c r="F711" s="217"/>
      <c r="G711" s="218"/>
      <c r="H711" s="217"/>
    </row>
    <row r="712">
      <c r="A712" s="217"/>
      <c r="B712" s="217"/>
      <c r="C712" s="217"/>
      <c r="D712" s="217"/>
      <c r="E712" s="217"/>
      <c r="F712" s="217"/>
      <c r="G712" s="218"/>
      <c r="H712" s="217"/>
    </row>
    <row r="713">
      <c r="A713" s="217"/>
      <c r="B713" s="217"/>
      <c r="C713" s="217"/>
      <c r="D713" s="217"/>
      <c r="E713" s="217"/>
      <c r="F713" s="217"/>
      <c r="G713" s="218"/>
      <c r="H713" s="217"/>
    </row>
    <row r="714">
      <c r="A714" s="217"/>
      <c r="B714" s="217"/>
      <c r="C714" s="217"/>
      <c r="D714" s="217"/>
      <c r="E714" s="217"/>
      <c r="F714" s="217"/>
      <c r="G714" s="218"/>
      <c r="H714" s="217"/>
    </row>
    <row r="715">
      <c r="A715" s="217"/>
      <c r="B715" s="217"/>
      <c r="C715" s="217"/>
      <c r="D715" s="217"/>
      <c r="E715" s="217"/>
      <c r="F715" s="217"/>
      <c r="G715" s="218"/>
      <c r="H715" s="217"/>
    </row>
    <row r="716">
      <c r="A716" s="217"/>
      <c r="B716" s="217"/>
      <c r="C716" s="217"/>
      <c r="D716" s="217"/>
      <c r="E716" s="217"/>
      <c r="F716" s="217"/>
      <c r="G716" s="218"/>
      <c r="H716" s="217"/>
    </row>
    <row r="717">
      <c r="A717" s="217"/>
      <c r="B717" s="217"/>
      <c r="C717" s="217"/>
      <c r="D717" s="217"/>
      <c r="E717" s="217"/>
      <c r="F717" s="217"/>
      <c r="G717" s="218"/>
      <c r="H717" s="217"/>
    </row>
    <row r="718">
      <c r="A718" s="217"/>
      <c r="B718" s="217"/>
      <c r="C718" s="217"/>
      <c r="D718" s="217"/>
      <c r="E718" s="217"/>
      <c r="F718" s="217"/>
      <c r="G718" s="218"/>
      <c r="H718" s="217"/>
    </row>
    <row r="719">
      <c r="A719" s="217"/>
      <c r="B719" s="217"/>
      <c r="C719" s="217"/>
      <c r="D719" s="217"/>
      <c r="E719" s="217"/>
      <c r="F719" s="217"/>
      <c r="G719" s="218"/>
      <c r="H719" s="217"/>
    </row>
    <row r="720">
      <c r="A720" s="217"/>
      <c r="B720" s="217"/>
      <c r="C720" s="217"/>
      <c r="D720" s="217"/>
      <c r="E720" s="217"/>
      <c r="F720" s="217"/>
      <c r="G720" s="218"/>
      <c r="H720" s="217"/>
    </row>
    <row r="721">
      <c r="A721" s="217"/>
      <c r="B721" s="217"/>
      <c r="C721" s="217"/>
      <c r="D721" s="217"/>
      <c r="E721" s="217"/>
      <c r="F721" s="217"/>
      <c r="G721" s="218"/>
      <c r="H721" s="217"/>
    </row>
    <row r="722">
      <c r="A722" s="217"/>
      <c r="B722" s="217"/>
      <c r="C722" s="217"/>
      <c r="D722" s="217"/>
      <c r="E722" s="217"/>
      <c r="F722" s="217"/>
      <c r="G722" s="218"/>
      <c r="H722" s="217"/>
    </row>
    <row r="723">
      <c r="A723" s="217"/>
      <c r="B723" s="217"/>
      <c r="C723" s="217"/>
      <c r="D723" s="217"/>
      <c r="E723" s="217"/>
      <c r="F723" s="217"/>
      <c r="G723" s="218"/>
      <c r="H723" s="217"/>
    </row>
    <row r="724">
      <c r="A724" s="217"/>
      <c r="B724" s="217"/>
      <c r="C724" s="217"/>
      <c r="D724" s="217"/>
      <c r="E724" s="217"/>
      <c r="F724" s="217"/>
      <c r="G724" s="218"/>
      <c r="H724" s="217"/>
    </row>
    <row r="725">
      <c r="A725" s="217"/>
      <c r="B725" s="217"/>
      <c r="C725" s="217"/>
      <c r="D725" s="217"/>
      <c r="E725" s="217"/>
      <c r="F725" s="217"/>
      <c r="G725" s="218"/>
      <c r="H725" s="217"/>
    </row>
    <row r="726">
      <c r="A726" s="217"/>
      <c r="B726" s="217"/>
      <c r="C726" s="217"/>
      <c r="D726" s="217"/>
      <c r="E726" s="217"/>
      <c r="F726" s="217"/>
      <c r="G726" s="218"/>
      <c r="H726" s="217"/>
    </row>
    <row r="727">
      <c r="A727" s="217"/>
      <c r="B727" s="217"/>
      <c r="C727" s="217"/>
      <c r="D727" s="217"/>
      <c r="E727" s="217"/>
      <c r="F727" s="217"/>
      <c r="G727" s="218"/>
      <c r="H727" s="217"/>
    </row>
    <row r="728">
      <c r="A728" s="217"/>
      <c r="B728" s="217"/>
      <c r="C728" s="217"/>
      <c r="D728" s="217"/>
      <c r="E728" s="217"/>
      <c r="F728" s="217"/>
      <c r="G728" s="218"/>
      <c r="H728" s="217"/>
    </row>
    <row r="729">
      <c r="A729" s="217"/>
      <c r="B729" s="217"/>
      <c r="C729" s="217"/>
      <c r="D729" s="217"/>
      <c r="E729" s="217"/>
      <c r="F729" s="217"/>
      <c r="G729" s="218"/>
      <c r="H729" s="217"/>
    </row>
    <row r="730">
      <c r="A730" s="217"/>
      <c r="B730" s="217"/>
      <c r="C730" s="217"/>
      <c r="D730" s="217"/>
      <c r="E730" s="217"/>
      <c r="F730" s="217"/>
      <c r="G730" s="218"/>
      <c r="H730" s="217"/>
    </row>
    <row r="731">
      <c r="A731" s="217"/>
      <c r="B731" s="217"/>
      <c r="C731" s="217"/>
      <c r="D731" s="217"/>
      <c r="E731" s="217"/>
      <c r="F731" s="217"/>
      <c r="G731" s="218"/>
      <c r="H731" s="217"/>
    </row>
    <row r="732">
      <c r="A732" s="217"/>
      <c r="B732" s="217"/>
      <c r="C732" s="217"/>
      <c r="D732" s="217"/>
      <c r="E732" s="217"/>
      <c r="F732" s="217"/>
      <c r="G732" s="218"/>
      <c r="H732" s="217"/>
    </row>
    <row r="733">
      <c r="A733" s="217"/>
      <c r="B733" s="217"/>
      <c r="C733" s="217"/>
      <c r="D733" s="217"/>
      <c r="E733" s="217"/>
      <c r="F733" s="217"/>
      <c r="G733" s="218"/>
      <c r="H733" s="217"/>
    </row>
    <row r="734">
      <c r="A734" s="217"/>
      <c r="B734" s="217"/>
      <c r="C734" s="217"/>
      <c r="D734" s="217"/>
      <c r="E734" s="217"/>
      <c r="F734" s="217"/>
      <c r="G734" s="218"/>
      <c r="H734" s="217"/>
    </row>
    <row r="735">
      <c r="A735" s="217"/>
      <c r="B735" s="217"/>
      <c r="C735" s="217"/>
      <c r="D735" s="217"/>
      <c r="E735" s="217"/>
      <c r="F735" s="217"/>
      <c r="G735" s="218"/>
      <c r="H735" s="217"/>
    </row>
    <row r="736">
      <c r="A736" s="217"/>
      <c r="B736" s="217"/>
      <c r="C736" s="217"/>
      <c r="D736" s="217"/>
      <c r="E736" s="217"/>
      <c r="F736" s="217"/>
      <c r="G736" s="218"/>
      <c r="H736" s="217"/>
    </row>
    <row r="737">
      <c r="A737" s="217"/>
      <c r="B737" s="217"/>
      <c r="C737" s="217"/>
      <c r="D737" s="217"/>
      <c r="E737" s="217"/>
      <c r="F737" s="217"/>
      <c r="G737" s="218"/>
      <c r="H737" s="217"/>
    </row>
    <row r="738">
      <c r="A738" s="217"/>
      <c r="B738" s="217"/>
      <c r="C738" s="217"/>
      <c r="D738" s="217"/>
      <c r="E738" s="217"/>
      <c r="F738" s="217"/>
      <c r="G738" s="218"/>
      <c r="H738" s="217"/>
    </row>
    <row r="739">
      <c r="A739" s="217"/>
      <c r="B739" s="217"/>
      <c r="C739" s="217"/>
      <c r="D739" s="217"/>
      <c r="E739" s="217"/>
      <c r="F739" s="217"/>
      <c r="G739" s="218"/>
      <c r="H739" s="217"/>
    </row>
    <row r="740">
      <c r="A740" s="217"/>
      <c r="B740" s="217"/>
      <c r="C740" s="217"/>
      <c r="D740" s="217"/>
      <c r="E740" s="217"/>
      <c r="F740" s="217"/>
      <c r="G740" s="218"/>
      <c r="H740" s="217"/>
    </row>
    <row r="741">
      <c r="A741" s="217"/>
      <c r="B741" s="217"/>
      <c r="C741" s="217"/>
      <c r="D741" s="217"/>
      <c r="E741" s="217"/>
      <c r="F741" s="217"/>
      <c r="G741" s="218"/>
      <c r="H741" s="217"/>
    </row>
    <row r="742">
      <c r="A742" s="217"/>
      <c r="B742" s="217"/>
      <c r="C742" s="217"/>
      <c r="D742" s="217"/>
      <c r="E742" s="217"/>
      <c r="F742" s="217"/>
      <c r="G742" s="218"/>
      <c r="H742" s="217"/>
    </row>
    <row r="743">
      <c r="A743" s="217"/>
      <c r="B743" s="217"/>
      <c r="C743" s="217"/>
      <c r="D743" s="217"/>
      <c r="E743" s="217"/>
      <c r="F743" s="217"/>
      <c r="G743" s="218"/>
      <c r="H743" s="217"/>
    </row>
    <row r="744">
      <c r="A744" s="217"/>
      <c r="B744" s="217"/>
      <c r="C744" s="217"/>
      <c r="D744" s="217"/>
      <c r="E744" s="217"/>
      <c r="F744" s="217"/>
      <c r="G744" s="218"/>
      <c r="H744" s="217"/>
    </row>
    <row r="745">
      <c r="A745" s="217"/>
      <c r="B745" s="217"/>
      <c r="C745" s="217"/>
      <c r="D745" s="217"/>
      <c r="E745" s="217"/>
      <c r="F745" s="217"/>
      <c r="G745" s="218"/>
      <c r="H745" s="217"/>
    </row>
    <row r="746">
      <c r="A746" s="217"/>
      <c r="B746" s="217"/>
      <c r="C746" s="217"/>
      <c r="D746" s="217"/>
      <c r="E746" s="217"/>
      <c r="F746" s="217"/>
      <c r="G746" s="218"/>
      <c r="H746" s="217"/>
    </row>
    <row r="747">
      <c r="A747" s="217"/>
      <c r="B747" s="217"/>
      <c r="C747" s="217"/>
      <c r="D747" s="217"/>
      <c r="E747" s="217"/>
      <c r="F747" s="217"/>
      <c r="G747" s="218"/>
      <c r="H747" s="217"/>
    </row>
    <row r="748">
      <c r="A748" s="217"/>
      <c r="B748" s="217"/>
      <c r="C748" s="217"/>
      <c r="D748" s="217"/>
      <c r="E748" s="217"/>
      <c r="F748" s="217"/>
      <c r="G748" s="218"/>
      <c r="H748" s="217"/>
    </row>
    <row r="749">
      <c r="A749" s="217"/>
      <c r="B749" s="217"/>
      <c r="C749" s="217"/>
      <c r="D749" s="217"/>
      <c r="E749" s="217"/>
      <c r="F749" s="217"/>
      <c r="G749" s="218"/>
      <c r="H749" s="217"/>
    </row>
    <row r="750">
      <c r="A750" s="217"/>
      <c r="B750" s="217"/>
      <c r="C750" s="217"/>
      <c r="D750" s="217"/>
      <c r="E750" s="217"/>
      <c r="F750" s="217"/>
      <c r="G750" s="218"/>
      <c r="H750" s="217"/>
    </row>
    <row r="751">
      <c r="A751" s="217"/>
      <c r="B751" s="217"/>
      <c r="C751" s="217"/>
      <c r="D751" s="217"/>
      <c r="E751" s="217"/>
      <c r="F751" s="217"/>
      <c r="G751" s="218"/>
      <c r="H751" s="217"/>
    </row>
    <row r="752">
      <c r="A752" s="217"/>
      <c r="B752" s="217"/>
      <c r="C752" s="217"/>
      <c r="D752" s="217"/>
      <c r="E752" s="217"/>
      <c r="F752" s="217"/>
      <c r="G752" s="218"/>
      <c r="H752" s="217"/>
    </row>
    <row r="753">
      <c r="A753" s="217"/>
      <c r="B753" s="217"/>
      <c r="C753" s="217"/>
      <c r="D753" s="217"/>
      <c r="E753" s="217"/>
      <c r="F753" s="217"/>
      <c r="G753" s="218"/>
      <c r="H753" s="217"/>
    </row>
    <row r="754">
      <c r="A754" s="217"/>
      <c r="B754" s="217"/>
      <c r="C754" s="217"/>
      <c r="D754" s="217"/>
      <c r="E754" s="217"/>
      <c r="F754" s="217"/>
      <c r="G754" s="218"/>
      <c r="H754" s="217"/>
    </row>
    <row r="755">
      <c r="A755" s="217"/>
      <c r="B755" s="217"/>
      <c r="C755" s="217"/>
      <c r="D755" s="217"/>
      <c r="E755" s="217"/>
      <c r="F755" s="217"/>
      <c r="G755" s="218"/>
      <c r="H755" s="217"/>
    </row>
    <row r="756">
      <c r="A756" s="217"/>
      <c r="B756" s="217"/>
      <c r="C756" s="217"/>
      <c r="D756" s="217"/>
      <c r="E756" s="217"/>
      <c r="F756" s="217"/>
      <c r="G756" s="218"/>
      <c r="H756" s="217"/>
    </row>
    <row r="757">
      <c r="A757" s="217"/>
      <c r="B757" s="217"/>
      <c r="C757" s="217"/>
      <c r="D757" s="217"/>
      <c r="E757" s="217"/>
      <c r="F757" s="217"/>
      <c r="G757" s="218"/>
      <c r="H757" s="217"/>
    </row>
    <row r="758">
      <c r="A758" s="217"/>
      <c r="B758" s="217"/>
      <c r="C758" s="217"/>
      <c r="D758" s="217"/>
      <c r="E758" s="217"/>
      <c r="F758" s="217"/>
      <c r="G758" s="218"/>
      <c r="H758" s="217"/>
    </row>
    <row r="759">
      <c r="A759" s="217"/>
      <c r="B759" s="217"/>
      <c r="C759" s="217"/>
      <c r="D759" s="217"/>
      <c r="E759" s="217"/>
      <c r="F759" s="217"/>
      <c r="G759" s="218"/>
      <c r="H759" s="217"/>
    </row>
    <row r="760">
      <c r="A760" s="217"/>
      <c r="B760" s="217"/>
      <c r="C760" s="217"/>
      <c r="D760" s="217"/>
      <c r="E760" s="217"/>
      <c r="F760" s="217"/>
      <c r="G760" s="218"/>
      <c r="H760" s="217"/>
    </row>
    <row r="761">
      <c r="A761" s="217"/>
      <c r="B761" s="217"/>
      <c r="C761" s="217"/>
      <c r="D761" s="217"/>
      <c r="E761" s="217"/>
      <c r="F761" s="217"/>
      <c r="G761" s="218"/>
      <c r="H761" s="217"/>
    </row>
    <row r="762">
      <c r="A762" s="217"/>
      <c r="B762" s="217"/>
      <c r="C762" s="217"/>
      <c r="D762" s="217"/>
      <c r="E762" s="217"/>
      <c r="F762" s="217"/>
      <c r="G762" s="218"/>
      <c r="H762" s="217"/>
    </row>
    <row r="763">
      <c r="A763" s="217"/>
      <c r="B763" s="217"/>
      <c r="C763" s="217"/>
      <c r="D763" s="217"/>
      <c r="E763" s="217"/>
      <c r="F763" s="217"/>
      <c r="G763" s="218"/>
      <c r="H763" s="217"/>
    </row>
    <row r="764">
      <c r="A764" s="217"/>
      <c r="B764" s="217"/>
      <c r="C764" s="217"/>
      <c r="D764" s="217"/>
      <c r="E764" s="217"/>
      <c r="F764" s="217"/>
      <c r="G764" s="218"/>
      <c r="H764" s="217"/>
    </row>
    <row r="765">
      <c r="A765" s="217"/>
      <c r="B765" s="217"/>
      <c r="C765" s="217"/>
      <c r="D765" s="217"/>
      <c r="E765" s="217"/>
      <c r="F765" s="217"/>
      <c r="G765" s="218"/>
      <c r="H765" s="217"/>
    </row>
    <row r="766">
      <c r="A766" s="217"/>
      <c r="B766" s="217"/>
      <c r="C766" s="217"/>
      <c r="D766" s="217"/>
      <c r="E766" s="217"/>
      <c r="F766" s="217"/>
      <c r="G766" s="218"/>
      <c r="H766" s="217"/>
    </row>
    <row r="767">
      <c r="A767" s="217"/>
      <c r="B767" s="217"/>
      <c r="C767" s="217"/>
      <c r="D767" s="217"/>
      <c r="E767" s="217"/>
      <c r="F767" s="217"/>
      <c r="G767" s="218"/>
      <c r="H767" s="217"/>
    </row>
    <row r="768">
      <c r="A768" s="217"/>
      <c r="B768" s="217"/>
      <c r="C768" s="217"/>
      <c r="D768" s="217"/>
      <c r="E768" s="217"/>
      <c r="F768" s="217"/>
      <c r="G768" s="218"/>
      <c r="H768" s="217"/>
    </row>
    <row r="769">
      <c r="A769" s="217"/>
      <c r="B769" s="217"/>
      <c r="C769" s="217"/>
      <c r="D769" s="217"/>
      <c r="E769" s="217"/>
      <c r="F769" s="217"/>
      <c r="G769" s="218"/>
      <c r="H769" s="217"/>
    </row>
    <row r="770">
      <c r="A770" s="217"/>
      <c r="B770" s="217"/>
      <c r="C770" s="217"/>
      <c r="D770" s="217"/>
      <c r="E770" s="217"/>
      <c r="F770" s="217"/>
      <c r="G770" s="218"/>
      <c r="H770" s="217"/>
    </row>
    <row r="771">
      <c r="A771" s="217"/>
      <c r="B771" s="217"/>
      <c r="C771" s="217"/>
      <c r="D771" s="217"/>
      <c r="E771" s="217"/>
      <c r="F771" s="217"/>
      <c r="G771" s="218"/>
      <c r="H771" s="217"/>
    </row>
    <row r="772">
      <c r="A772" s="217"/>
      <c r="B772" s="217"/>
      <c r="C772" s="217"/>
      <c r="D772" s="217"/>
      <c r="E772" s="217"/>
      <c r="F772" s="217"/>
      <c r="G772" s="218"/>
      <c r="H772" s="217"/>
    </row>
    <row r="773">
      <c r="A773" s="217"/>
      <c r="B773" s="217"/>
      <c r="C773" s="217"/>
      <c r="D773" s="217"/>
      <c r="E773" s="217"/>
      <c r="F773" s="217"/>
      <c r="G773" s="218"/>
      <c r="H773" s="217"/>
    </row>
    <row r="774">
      <c r="A774" s="217"/>
      <c r="B774" s="217"/>
      <c r="C774" s="217"/>
      <c r="D774" s="217"/>
      <c r="E774" s="217"/>
      <c r="F774" s="217"/>
      <c r="G774" s="218"/>
      <c r="H774" s="217"/>
    </row>
    <row r="775">
      <c r="A775" s="217"/>
      <c r="B775" s="217"/>
      <c r="C775" s="217"/>
      <c r="D775" s="217"/>
      <c r="E775" s="217"/>
      <c r="F775" s="217"/>
      <c r="G775" s="218"/>
      <c r="H775" s="217"/>
    </row>
    <row r="776">
      <c r="A776" s="217"/>
      <c r="B776" s="217"/>
      <c r="C776" s="217"/>
      <c r="D776" s="217"/>
      <c r="E776" s="217"/>
      <c r="F776" s="217"/>
      <c r="G776" s="218"/>
      <c r="H776" s="217"/>
    </row>
    <row r="777">
      <c r="A777" s="217"/>
      <c r="B777" s="217"/>
      <c r="C777" s="217"/>
      <c r="D777" s="217"/>
      <c r="E777" s="217"/>
      <c r="F777" s="217"/>
      <c r="G777" s="218"/>
      <c r="H777" s="217"/>
    </row>
    <row r="778">
      <c r="A778" s="217"/>
      <c r="B778" s="217"/>
      <c r="C778" s="217"/>
      <c r="D778" s="217"/>
      <c r="E778" s="217"/>
      <c r="F778" s="217"/>
      <c r="G778" s="218"/>
      <c r="H778" s="217"/>
    </row>
    <row r="779">
      <c r="A779" s="217"/>
      <c r="B779" s="217"/>
      <c r="C779" s="217"/>
      <c r="D779" s="217"/>
      <c r="E779" s="217"/>
      <c r="F779" s="217"/>
      <c r="G779" s="218"/>
      <c r="H779" s="217"/>
    </row>
    <row r="780">
      <c r="A780" s="217"/>
      <c r="B780" s="217"/>
      <c r="C780" s="217"/>
      <c r="D780" s="217"/>
      <c r="E780" s="217"/>
      <c r="F780" s="217"/>
      <c r="G780" s="218"/>
      <c r="H780" s="217"/>
    </row>
    <row r="781">
      <c r="A781" s="217"/>
      <c r="B781" s="217"/>
      <c r="C781" s="217"/>
      <c r="D781" s="217"/>
      <c r="E781" s="217"/>
      <c r="F781" s="217"/>
      <c r="G781" s="218"/>
      <c r="H781" s="217"/>
    </row>
    <row r="782">
      <c r="A782" s="217"/>
      <c r="B782" s="217"/>
      <c r="C782" s="217"/>
      <c r="D782" s="217"/>
      <c r="E782" s="217"/>
      <c r="F782" s="217"/>
      <c r="G782" s="218"/>
      <c r="H782" s="217"/>
    </row>
    <row r="783">
      <c r="A783" s="217"/>
      <c r="B783" s="217"/>
      <c r="C783" s="217"/>
      <c r="D783" s="217"/>
      <c r="E783" s="217"/>
      <c r="F783" s="217"/>
      <c r="G783" s="218"/>
      <c r="H783" s="217"/>
    </row>
    <row r="784">
      <c r="A784" s="217"/>
      <c r="B784" s="217"/>
      <c r="C784" s="217"/>
      <c r="D784" s="217"/>
      <c r="E784" s="217"/>
      <c r="F784" s="217"/>
      <c r="G784" s="218"/>
      <c r="H784" s="217"/>
    </row>
    <row r="785">
      <c r="A785" s="217"/>
      <c r="B785" s="217"/>
      <c r="C785" s="217"/>
      <c r="D785" s="217"/>
      <c r="E785" s="217"/>
      <c r="F785" s="217"/>
      <c r="G785" s="218"/>
      <c r="H785" s="217"/>
    </row>
    <row r="786">
      <c r="A786" s="217"/>
      <c r="B786" s="217"/>
      <c r="C786" s="217"/>
      <c r="D786" s="217"/>
      <c r="E786" s="217"/>
      <c r="F786" s="217"/>
      <c r="G786" s="218"/>
      <c r="H786" s="217"/>
    </row>
    <row r="787">
      <c r="A787" s="217"/>
      <c r="B787" s="217"/>
      <c r="C787" s="217"/>
      <c r="D787" s="217"/>
      <c r="E787" s="217"/>
      <c r="F787" s="217"/>
      <c r="G787" s="218"/>
      <c r="H787" s="217"/>
    </row>
    <row r="788">
      <c r="A788" s="217"/>
      <c r="B788" s="217"/>
      <c r="C788" s="217"/>
      <c r="D788" s="217"/>
      <c r="E788" s="217"/>
      <c r="F788" s="217"/>
      <c r="G788" s="218"/>
      <c r="H788" s="217"/>
    </row>
    <row r="789">
      <c r="A789" s="217"/>
      <c r="B789" s="217"/>
      <c r="C789" s="217"/>
      <c r="D789" s="217"/>
      <c r="E789" s="217"/>
      <c r="F789" s="217"/>
      <c r="G789" s="218"/>
      <c r="H789" s="217"/>
    </row>
    <row r="790">
      <c r="A790" s="217"/>
      <c r="B790" s="217"/>
      <c r="C790" s="217"/>
      <c r="D790" s="217"/>
      <c r="E790" s="217"/>
      <c r="F790" s="217"/>
      <c r="G790" s="218"/>
      <c r="H790" s="217"/>
    </row>
    <row r="791">
      <c r="A791" s="217"/>
      <c r="B791" s="217"/>
      <c r="C791" s="217"/>
      <c r="D791" s="217"/>
      <c r="E791" s="217"/>
      <c r="F791" s="217"/>
      <c r="G791" s="218"/>
      <c r="H791" s="217"/>
    </row>
    <row r="792">
      <c r="A792" s="217"/>
      <c r="B792" s="217"/>
      <c r="C792" s="217"/>
      <c r="D792" s="217"/>
      <c r="E792" s="217"/>
      <c r="F792" s="217"/>
      <c r="G792" s="218"/>
      <c r="H792" s="217"/>
    </row>
    <row r="793">
      <c r="A793" s="217"/>
      <c r="B793" s="217"/>
      <c r="C793" s="217"/>
      <c r="D793" s="217"/>
      <c r="E793" s="217"/>
      <c r="F793" s="217"/>
      <c r="G793" s="218"/>
      <c r="H793" s="217"/>
    </row>
    <row r="794">
      <c r="A794" s="217"/>
      <c r="B794" s="217"/>
      <c r="C794" s="217"/>
      <c r="D794" s="217"/>
      <c r="E794" s="217"/>
      <c r="F794" s="217"/>
      <c r="G794" s="218"/>
      <c r="H794" s="217"/>
    </row>
    <row r="795">
      <c r="A795" s="217"/>
      <c r="B795" s="217"/>
      <c r="C795" s="217"/>
      <c r="D795" s="217"/>
      <c r="E795" s="217"/>
      <c r="F795" s="217"/>
      <c r="G795" s="218"/>
      <c r="H795" s="217"/>
    </row>
    <row r="796">
      <c r="A796" s="217"/>
      <c r="B796" s="217"/>
      <c r="C796" s="217"/>
      <c r="D796" s="217"/>
      <c r="E796" s="217"/>
      <c r="F796" s="217"/>
      <c r="G796" s="218"/>
      <c r="H796" s="217"/>
    </row>
    <row r="797">
      <c r="A797" s="217"/>
      <c r="B797" s="217"/>
      <c r="C797" s="217"/>
      <c r="D797" s="217"/>
      <c r="E797" s="217"/>
      <c r="F797" s="217"/>
      <c r="G797" s="218"/>
      <c r="H797" s="217"/>
    </row>
    <row r="798">
      <c r="A798" s="217"/>
      <c r="B798" s="217"/>
      <c r="C798" s="217"/>
      <c r="D798" s="217"/>
      <c r="E798" s="217"/>
      <c r="F798" s="217"/>
      <c r="G798" s="218"/>
      <c r="H798" s="217"/>
    </row>
    <row r="799">
      <c r="A799" s="217"/>
      <c r="B799" s="217"/>
      <c r="C799" s="217"/>
      <c r="D799" s="217"/>
      <c r="E799" s="217"/>
      <c r="F799" s="217"/>
      <c r="G799" s="218"/>
      <c r="H799" s="217"/>
    </row>
    <row r="800">
      <c r="A800" s="217"/>
      <c r="B800" s="217"/>
      <c r="C800" s="217"/>
      <c r="D800" s="217"/>
      <c r="E800" s="217"/>
      <c r="F800" s="217"/>
      <c r="G800" s="218"/>
      <c r="H800" s="217"/>
    </row>
    <row r="801">
      <c r="A801" s="217"/>
      <c r="B801" s="217"/>
      <c r="C801" s="217"/>
      <c r="D801" s="217"/>
      <c r="E801" s="217"/>
      <c r="F801" s="217"/>
      <c r="G801" s="218"/>
      <c r="H801" s="217"/>
    </row>
    <row r="802">
      <c r="A802" s="217"/>
      <c r="B802" s="217"/>
      <c r="C802" s="217"/>
      <c r="D802" s="217"/>
      <c r="E802" s="217"/>
      <c r="F802" s="217"/>
      <c r="G802" s="218"/>
      <c r="H802" s="217"/>
    </row>
    <row r="803">
      <c r="A803" s="217"/>
      <c r="B803" s="217"/>
      <c r="C803" s="217"/>
      <c r="D803" s="217"/>
      <c r="E803" s="217"/>
      <c r="F803" s="217"/>
      <c r="G803" s="218"/>
      <c r="H803" s="217"/>
    </row>
    <row r="804">
      <c r="A804" s="217"/>
      <c r="B804" s="217"/>
      <c r="C804" s="217"/>
      <c r="D804" s="217"/>
      <c r="E804" s="217"/>
      <c r="F804" s="217"/>
      <c r="G804" s="218"/>
      <c r="H804" s="217"/>
    </row>
    <row r="805">
      <c r="A805" s="217"/>
      <c r="B805" s="217"/>
      <c r="C805" s="217"/>
      <c r="D805" s="217"/>
      <c r="E805" s="217"/>
      <c r="F805" s="217"/>
      <c r="G805" s="218"/>
      <c r="H805" s="217"/>
    </row>
    <row r="806">
      <c r="A806" s="217"/>
      <c r="B806" s="217"/>
      <c r="C806" s="217"/>
      <c r="D806" s="217"/>
      <c r="E806" s="217"/>
      <c r="F806" s="217"/>
      <c r="G806" s="218"/>
      <c r="H806" s="217"/>
    </row>
    <row r="807">
      <c r="A807" s="217"/>
      <c r="B807" s="217"/>
      <c r="C807" s="217"/>
      <c r="D807" s="217"/>
      <c r="E807" s="217"/>
      <c r="F807" s="217"/>
      <c r="G807" s="218"/>
      <c r="H807" s="217"/>
    </row>
    <row r="808">
      <c r="A808" s="217"/>
      <c r="B808" s="217"/>
      <c r="C808" s="217"/>
      <c r="D808" s="217"/>
      <c r="E808" s="217"/>
      <c r="F808" s="217"/>
      <c r="G808" s="218"/>
      <c r="H808" s="217"/>
    </row>
    <row r="809">
      <c r="A809" s="217"/>
      <c r="B809" s="217"/>
      <c r="C809" s="217"/>
      <c r="D809" s="217"/>
      <c r="E809" s="217"/>
      <c r="F809" s="217"/>
      <c r="G809" s="218"/>
      <c r="H809" s="217"/>
    </row>
    <row r="810">
      <c r="A810" s="217"/>
      <c r="B810" s="217"/>
      <c r="C810" s="217"/>
      <c r="D810" s="217"/>
      <c r="E810" s="217"/>
      <c r="F810" s="217"/>
      <c r="G810" s="218"/>
      <c r="H810" s="217"/>
    </row>
    <row r="811">
      <c r="A811" s="217"/>
      <c r="B811" s="217"/>
      <c r="C811" s="217"/>
      <c r="D811" s="217"/>
      <c r="E811" s="217"/>
      <c r="F811" s="217"/>
      <c r="G811" s="218"/>
      <c r="H811" s="217"/>
    </row>
    <row r="812">
      <c r="A812" s="217"/>
      <c r="B812" s="217"/>
      <c r="C812" s="217"/>
      <c r="D812" s="217"/>
      <c r="E812" s="217"/>
      <c r="F812" s="217"/>
      <c r="G812" s="218"/>
      <c r="H812" s="217"/>
    </row>
    <row r="813">
      <c r="A813" s="217"/>
      <c r="B813" s="217"/>
      <c r="C813" s="217"/>
      <c r="D813" s="217"/>
      <c r="E813" s="217"/>
      <c r="F813" s="217"/>
      <c r="G813" s="218"/>
      <c r="H813" s="217"/>
    </row>
    <row r="814">
      <c r="A814" s="217"/>
      <c r="B814" s="217"/>
      <c r="C814" s="217"/>
      <c r="D814" s="217"/>
      <c r="E814" s="217"/>
      <c r="F814" s="217"/>
      <c r="G814" s="218"/>
      <c r="H814" s="217"/>
    </row>
    <row r="815">
      <c r="A815" s="217"/>
      <c r="B815" s="217"/>
      <c r="C815" s="217"/>
      <c r="D815" s="217"/>
      <c r="E815" s="217"/>
      <c r="F815" s="217"/>
      <c r="G815" s="218"/>
      <c r="H815" s="217"/>
    </row>
    <row r="816">
      <c r="A816" s="217"/>
      <c r="B816" s="217"/>
      <c r="C816" s="217"/>
      <c r="D816" s="217"/>
      <c r="E816" s="217"/>
      <c r="F816" s="217"/>
      <c r="G816" s="218"/>
      <c r="H816" s="217"/>
    </row>
    <row r="817">
      <c r="A817" s="217"/>
      <c r="B817" s="217"/>
      <c r="C817" s="217"/>
      <c r="D817" s="217"/>
      <c r="E817" s="217"/>
      <c r="F817" s="217"/>
      <c r="G817" s="218"/>
      <c r="H817" s="217"/>
    </row>
    <row r="818">
      <c r="A818" s="217"/>
      <c r="B818" s="217"/>
      <c r="C818" s="217"/>
      <c r="D818" s="217"/>
      <c r="E818" s="217"/>
      <c r="F818" s="217"/>
      <c r="G818" s="218"/>
      <c r="H818" s="217"/>
    </row>
    <row r="819">
      <c r="A819" s="217"/>
      <c r="B819" s="217"/>
      <c r="C819" s="217"/>
      <c r="D819" s="217"/>
      <c r="E819" s="217"/>
      <c r="F819" s="217"/>
      <c r="G819" s="218"/>
      <c r="H819" s="217"/>
    </row>
    <row r="820">
      <c r="A820" s="217"/>
      <c r="B820" s="217"/>
      <c r="C820" s="217"/>
      <c r="D820" s="217"/>
      <c r="E820" s="217"/>
      <c r="F820" s="217"/>
      <c r="G820" s="218"/>
      <c r="H820" s="217"/>
    </row>
    <row r="821">
      <c r="A821" s="217"/>
      <c r="B821" s="217"/>
      <c r="C821" s="217"/>
      <c r="D821" s="217"/>
      <c r="E821" s="217"/>
      <c r="F821" s="217"/>
      <c r="G821" s="218"/>
      <c r="H821" s="217"/>
    </row>
    <row r="822">
      <c r="A822" s="217"/>
      <c r="B822" s="217"/>
      <c r="C822" s="217"/>
      <c r="D822" s="217"/>
      <c r="E822" s="217"/>
      <c r="F822" s="217"/>
      <c r="G822" s="218"/>
      <c r="H822" s="217"/>
    </row>
    <row r="823">
      <c r="A823" s="217"/>
      <c r="B823" s="217"/>
      <c r="C823" s="217"/>
      <c r="D823" s="217"/>
      <c r="E823" s="217"/>
      <c r="F823" s="217"/>
      <c r="G823" s="218"/>
      <c r="H823" s="217"/>
    </row>
    <row r="824">
      <c r="A824" s="217"/>
      <c r="B824" s="217"/>
      <c r="C824" s="217"/>
      <c r="D824" s="217"/>
      <c r="E824" s="217"/>
      <c r="F824" s="217"/>
      <c r="G824" s="218"/>
      <c r="H824" s="217"/>
    </row>
    <row r="825">
      <c r="A825" s="217"/>
      <c r="B825" s="217"/>
      <c r="C825" s="217"/>
      <c r="D825" s="217"/>
      <c r="E825" s="217"/>
      <c r="F825" s="217"/>
      <c r="G825" s="218"/>
      <c r="H825" s="217"/>
    </row>
    <row r="826">
      <c r="A826" s="217"/>
      <c r="B826" s="217"/>
      <c r="C826" s="217"/>
      <c r="D826" s="217"/>
      <c r="E826" s="217"/>
      <c r="F826" s="217"/>
      <c r="G826" s="218"/>
      <c r="H826" s="217"/>
    </row>
    <row r="827">
      <c r="A827" s="217"/>
      <c r="B827" s="217"/>
      <c r="C827" s="217"/>
      <c r="D827" s="217"/>
      <c r="E827" s="217"/>
      <c r="F827" s="217"/>
      <c r="G827" s="218"/>
      <c r="H827" s="217"/>
    </row>
    <row r="828">
      <c r="A828" s="217"/>
      <c r="B828" s="217"/>
      <c r="C828" s="217"/>
      <c r="D828" s="217"/>
      <c r="E828" s="217"/>
      <c r="F828" s="217"/>
      <c r="G828" s="218"/>
      <c r="H828" s="217"/>
    </row>
    <row r="829">
      <c r="A829" s="217"/>
      <c r="B829" s="217"/>
      <c r="C829" s="217"/>
      <c r="D829" s="217"/>
      <c r="E829" s="217"/>
      <c r="F829" s="217"/>
      <c r="G829" s="218"/>
      <c r="H829" s="217"/>
    </row>
    <row r="830">
      <c r="A830" s="217"/>
      <c r="B830" s="217"/>
      <c r="C830" s="217"/>
      <c r="D830" s="217"/>
      <c r="E830" s="217"/>
      <c r="F830" s="217"/>
      <c r="G830" s="218"/>
      <c r="H830" s="217"/>
    </row>
    <row r="831">
      <c r="A831" s="217"/>
      <c r="B831" s="217"/>
      <c r="C831" s="217"/>
      <c r="D831" s="217"/>
      <c r="E831" s="217"/>
      <c r="F831" s="217"/>
      <c r="G831" s="218"/>
      <c r="H831" s="217"/>
    </row>
    <row r="832">
      <c r="A832" s="217"/>
      <c r="B832" s="217"/>
      <c r="C832" s="217"/>
      <c r="D832" s="217"/>
      <c r="E832" s="217"/>
      <c r="F832" s="217"/>
      <c r="G832" s="218"/>
      <c r="H832" s="217"/>
    </row>
    <row r="833">
      <c r="A833" s="217"/>
      <c r="B833" s="217"/>
      <c r="C833" s="217"/>
      <c r="D833" s="217"/>
      <c r="E833" s="217"/>
      <c r="F833" s="217"/>
      <c r="G833" s="218"/>
      <c r="H833" s="217"/>
    </row>
    <row r="834">
      <c r="A834" s="217"/>
      <c r="B834" s="217"/>
      <c r="C834" s="217"/>
      <c r="D834" s="217"/>
      <c r="E834" s="217"/>
      <c r="F834" s="217"/>
      <c r="G834" s="218"/>
      <c r="H834" s="217"/>
    </row>
    <row r="835">
      <c r="A835" s="217"/>
      <c r="B835" s="217"/>
      <c r="C835" s="217"/>
      <c r="D835" s="217"/>
      <c r="E835" s="217"/>
      <c r="F835" s="217"/>
      <c r="G835" s="218"/>
      <c r="H835" s="217"/>
    </row>
    <row r="836">
      <c r="A836" s="217"/>
      <c r="B836" s="217"/>
      <c r="C836" s="217"/>
      <c r="D836" s="217"/>
      <c r="E836" s="217"/>
      <c r="F836" s="217"/>
      <c r="G836" s="218"/>
      <c r="H836" s="217"/>
    </row>
    <row r="837">
      <c r="A837" s="217"/>
      <c r="B837" s="217"/>
      <c r="C837" s="217"/>
      <c r="D837" s="217"/>
      <c r="E837" s="217"/>
      <c r="F837" s="217"/>
      <c r="G837" s="218"/>
      <c r="H837" s="217"/>
    </row>
    <row r="838">
      <c r="A838" s="217"/>
      <c r="B838" s="217"/>
      <c r="C838" s="217"/>
      <c r="D838" s="217"/>
      <c r="E838" s="217"/>
      <c r="F838" s="217"/>
      <c r="G838" s="218"/>
      <c r="H838" s="217"/>
    </row>
    <row r="839">
      <c r="A839" s="217"/>
      <c r="B839" s="217"/>
      <c r="C839" s="217"/>
      <c r="D839" s="217"/>
      <c r="E839" s="217"/>
      <c r="F839" s="217"/>
      <c r="G839" s="218"/>
      <c r="H839" s="217"/>
    </row>
    <row r="840">
      <c r="A840" s="217"/>
      <c r="B840" s="217"/>
      <c r="C840" s="217"/>
      <c r="D840" s="217"/>
      <c r="E840" s="217"/>
      <c r="F840" s="217"/>
      <c r="G840" s="218"/>
      <c r="H840" s="217"/>
    </row>
    <row r="841">
      <c r="A841" s="217"/>
      <c r="B841" s="217"/>
      <c r="C841" s="217"/>
      <c r="D841" s="217"/>
      <c r="E841" s="217"/>
      <c r="F841" s="217"/>
      <c r="G841" s="218"/>
      <c r="H841" s="217"/>
    </row>
    <row r="842">
      <c r="A842" s="217"/>
      <c r="B842" s="217"/>
      <c r="C842" s="217"/>
      <c r="D842" s="217"/>
      <c r="E842" s="217"/>
      <c r="F842" s="217"/>
      <c r="G842" s="218"/>
      <c r="H842" s="217"/>
    </row>
    <row r="843">
      <c r="A843" s="217"/>
      <c r="B843" s="217"/>
      <c r="C843" s="217"/>
      <c r="D843" s="217"/>
      <c r="E843" s="217"/>
      <c r="F843" s="217"/>
      <c r="G843" s="218"/>
      <c r="H843" s="217"/>
    </row>
    <row r="844">
      <c r="A844" s="217"/>
      <c r="B844" s="217"/>
      <c r="C844" s="217"/>
      <c r="D844" s="217"/>
      <c r="E844" s="217"/>
      <c r="F844" s="217"/>
      <c r="G844" s="218"/>
      <c r="H844" s="217"/>
    </row>
    <row r="845">
      <c r="A845" s="217"/>
      <c r="B845" s="217"/>
      <c r="C845" s="217"/>
      <c r="D845" s="217"/>
      <c r="E845" s="217"/>
      <c r="F845" s="217"/>
      <c r="G845" s="218"/>
      <c r="H845" s="217"/>
    </row>
    <row r="846">
      <c r="A846" s="217"/>
      <c r="B846" s="217"/>
      <c r="C846" s="217"/>
      <c r="D846" s="217"/>
      <c r="E846" s="217"/>
      <c r="F846" s="217"/>
      <c r="G846" s="218"/>
      <c r="H846" s="217"/>
    </row>
    <row r="847">
      <c r="A847" s="217"/>
      <c r="B847" s="217"/>
      <c r="C847" s="217"/>
      <c r="D847" s="217"/>
      <c r="E847" s="217"/>
      <c r="F847" s="217"/>
      <c r="G847" s="218"/>
      <c r="H847" s="217"/>
    </row>
    <row r="848">
      <c r="A848" s="217"/>
      <c r="B848" s="217"/>
      <c r="C848" s="217"/>
      <c r="D848" s="217"/>
      <c r="E848" s="217"/>
      <c r="F848" s="217"/>
      <c r="G848" s="218"/>
      <c r="H848" s="217"/>
    </row>
    <row r="849">
      <c r="A849" s="217"/>
      <c r="B849" s="217"/>
      <c r="C849" s="217"/>
      <c r="D849" s="217"/>
      <c r="E849" s="217"/>
      <c r="F849" s="217"/>
      <c r="G849" s="218"/>
      <c r="H849" s="217"/>
    </row>
    <row r="850">
      <c r="A850" s="217"/>
      <c r="B850" s="217"/>
      <c r="C850" s="217"/>
      <c r="D850" s="217"/>
      <c r="E850" s="217"/>
      <c r="F850" s="217"/>
      <c r="G850" s="218"/>
      <c r="H850" s="217"/>
    </row>
    <row r="851">
      <c r="A851" s="217"/>
      <c r="B851" s="217"/>
      <c r="C851" s="217"/>
      <c r="D851" s="217"/>
      <c r="E851" s="217"/>
      <c r="F851" s="217"/>
      <c r="G851" s="218"/>
      <c r="H851" s="217"/>
    </row>
    <row r="852">
      <c r="A852" s="217"/>
      <c r="B852" s="217"/>
      <c r="C852" s="217"/>
      <c r="D852" s="217"/>
      <c r="E852" s="217"/>
      <c r="F852" s="217"/>
      <c r="G852" s="218"/>
      <c r="H852" s="217"/>
    </row>
    <row r="853">
      <c r="A853" s="217"/>
      <c r="B853" s="217"/>
      <c r="C853" s="217"/>
      <c r="D853" s="217"/>
      <c r="E853" s="217"/>
      <c r="F853" s="217"/>
      <c r="G853" s="218"/>
      <c r="H853" s="217"/>
    </row>
    <row r="854">
      <c r="A854" s="217"/>
      <c r="B854" s="217"/>
      <c r="C854" s="217"/>
      <c r="D854" s="217"/>
      <c r="E854" s="217"/>
      <c r="F854" s="217"/>
      <c r="G854" s="218"/>
      <c r="H854" s="217"/>
    </row>
    <row r="855">
      <c r="A855" s="217"/>
      <c r="B855" s="217"/>
      <c r="C855" s="217"/>
      <c r="D855" s="217"/>
      <c r="E855" s="217"/>
      <c r="F855" s="217"/>
      <c r="G855" s="218"/>
      <c r="H855" s="217"/>
    </row>
    <row r="856">
      <c r="A856" s="217"/>
      <c r="B856" s="217"/>
      <c r="C856" s="217"/>
      <c r="D856" s="217"/>
      <c r="E856" s="217"/>
      <c r="F856" s="217"/>
      <c r="G856" s="218"/>
      <c r="H856" s="217"/>
    </row>
    <row r="857">
      <c r="A857" s="217"/>
      <c r="B857" s="217"/>
      <c r="C857" s="217"/>
      <c r="D857" s="217"/>
      <c r="E857" s="217"/>
      <c r="F857" s="217"/>
      <c r="G857" s="218"/>
      <c r="H857" s="217"/>
    </row>
    <row r="858">
      <c r="A858" s="217"/>
      <c r="B858" s="217"/>
      <c r="C858" s="217"/>
      <c r="D858" s="217"/>
      <c r="E858" s="217"/>
      <c r="F858" s="217"/>
      <c r="G858" s="218"/>
      <c r="H858" s="217"/>
    </row>
    <row r="859">
      <c r="A859" s="217"/>
      <c r="B859" s="217"/>
      <c r="C859" s="217"/>
      <c r="D859" s="217"/>
      <c r="E859" s="217"/>
      <c r="F859" s="217"/>
      <c r="G859" s="218"/>
      <c r="H859" s="217"/>
    </row>
    <row r="860">
      <c r="A860" s="217"/>
      <c r="B860" s="217"/>
      <c r="C860" s="217"/>
      <c r="D860" s="217"/>
      <c r="E860" s="217"/>
      <c r="F860" s="217"/>
      <c r="G860" s="218"/>
      <c r="H860" s="217"/>
    </row>
    <row r="861">
      <c r="A861" s="217"/>
      <c r="B861" s="217"/>
      <c r="C861" s="217"/>
      <c r="D861" s="217"/>
      <c r="E861" s="217"/>
      <c r="F861" s="217"/>
      <c r="G861" s="218"/>
      <c r="H861" s="217"/>
    </row>
    <row r="862">
      <c r="A862" s="217"/>
      <c r="B862" s="217"/>
      <c r="C862" s="217"/>
      <c r="D862" s="217"/>
      <c r="E862" s="217"/>
      <c r="F862" s="217"/>
      <c r="G862" s="218"/>
      <c r="H862" s="217"/>
    </row>
    <row r="863">
      <c r="A863" s="217"/>
      <c r="B863" s="217"/>
      <c r="C863" s="217"/>
      <c r="D863" s="217"/>
      <c r="E863" s="217"/>
      <c r="F863" s="217"/>
      <c r="G863" s="218"/>
      <c r="H863" s="217"/>
    </row>
    <row r="864">
      <c r="A864" s="217"/>
      <c r="B864" s="217"/>
      <c r="C864" s="217"/>
      <c r="D864" s="217"/>
      <c r="E864" s="217"/>
      <c r="F864" s="217"/>
      <c r="G864" s="218"/>
      <c r="H864" s="217"/>
    </row>
    <row r="865">
      <c r="A865" s="217"/>
      <c r="B865" s="217"/>
      <c r="C865" s="217"/>
      <c r="D865" s="217"/>
      <c r="E865" s="217"/>
      <c r="F865" s="217"/>
      <c r="G865" s="218"/>
      <c r="H865" s="217"/>
    </row>
    <row r="866">
      <c r="A866" s="217"/>
      <c r="B866" s="217"/>
      <c r="C866" s="217"/>
      <c r="D866" s="217"/>
      <c r="E866" s="217"/>
      <c r="F866" s="217"/>
      <c r="G866" s="218"/>
      <c r="H866" s="217"/>
    </row>
    <row r="867">
      <c r="A867" s="217"/>
      <c r="B867" s="217"/>
      <c r="C867" s="217"/>
      <c r="D867" s="217"/>
      <c r="E867" s="217"/>
      <c r="F867" s="217"/>
      <c r="G867" s="218"/>
      <c r="H867" s="217"/>
    </row>
    <row r="868">
      <c r="A868" s="217"/>
      <c r="B868" s="217"/>
      <c r="C868" s="217"/>
      <c r="D868" s="217"/>
      <c r="E868" s="217"/>
      <c r="F868" s="217"/>
      <c r="G868" s="218"/>
      <c r="H868" s="217"/>
    </row>
    <row r="869">
      <c r="A869" s="217"/>
      <c r="B869" s="217"/>
      <c r="C869" s="217"/>
      <c r="D869" s="217"/>
      <c r="E869" s="217"/>
      <c r="F869" s="217"/>
      <c r="G869" s="218"/>
      <c r="H869" s="217"/>
    </row>
    <row r="870">
      <c r="A870" s="217"/>
      <c r="B870" s="217"/>
      <c r="C870" s="217"/>
      <c r="D870" s="217"/>
      <c r="E870" s="217"/>
      <c r="F870" s="217"/>
      <c r="G870" s="218"/>
      <c r="H870" s="217"/>
    </row>
    <row r="871">
      <c r="A871" s="217"/>
      <c r="B871" s="217"/>
      <c r="C871" s="217"/>
      <c r="D871" s="217"/>
      <c r="E871" s="217"/>
      <c r="F871" s="217"/>
      <c r="G871" s="218"/>
      <c r="H871" s="217"/>
    </row>
    <row r="872">
      <c r="A872" s="217"/>
      <c r="B872" s="217"/>
      <c r="C872" s="217"/>
      <c r="D872" s="217"/>
      <c r="E872" s="217"/>
      <c r="F872" s="217"/>
      <c r="G872" s="218"/>
      <c r="H872" s="217"/>
    </row>
    <row r="873">
      <c r="A873" s="217"/>
      <c r="B873" s="217"/>
      <c r="C873" s="217"/>
      <c r="D873" s="217"/>
      <c r="E873" s="217"/>
      <c r="F873" s="217"/>
      <c r="G873" s="218"/>
      <c r="H873" s="217"/>
    </row>
    <row r="874">
      <c r="A874" s="217"/>
      <c r="B874" s="217"/>
      <c r="C874" s="217"/>
      <c r="D874" s="217"/>
      <c r="E874" s="217"/>
      <c r="F874" s="217"/>
      <c r="G874" s="218"/>
      <c r="H874" s="217"/>
    </row>
    <row r="875">
      <c r="A875" s="217"/>
      <c r="B875" s="217"/>
      <c r="C875" s="217"/>
      <c r="D875" s="217"/>
      <c r="E875" s="217"/>
      <c r="F875" s="217"/>
      <c r="G875" s="218"/>
      <c r="H875" s="217"/>
    </row>
    <row r="876">
      <c r="A876" s="217"/>
      <c r="B876" s="217"/>
      <c r="C876" s="217"/>
      <c r="D876" s="217"/>
      <c r="E876" s="217"/>
      <c r="F876" s="217"/>
      <c r="G876" s="218"/>
      <c r="H876" s="217"/>
    </row>
    <row r="877">
      <c r="A877" s="217"/>
      <c r="B877" s="217"/>
      <c r="C877" s="217"/>
      <c r="D877" s="217"/>
      <c r="E877" s="217"/>
      <c r="F877" s="217"/>
      <c r="G877" s="218"/>
      <c r="H877" s="217"/>
    </row>
    <row r="878">
      <c r="A878" s="217"/>
      <c r="B878" s="217"/>
      <c r="C878" s="217"/>
      <c r="D878" s="217"/>
      <c r="E878" s="217"/>
      <c r="F878" s="217"/>
      <c r="G878" s="218"/>
      <c r="H878" s="217"/>
    </row>
    <row r="879">
      <c r="A879" s="217"/>
      <c r="B879" s="217"/>
      <c r="C879" s="217"/>
      <c r="D879" s="217"/>
      <c r="E879" s="217"/>
      <c r="F879" s="217"/>
      <c r="G879" s="218"/>
      <c r="H879" s="217"/>
    </row>
    <row r="880">
      <c r="A880" s="217"/>
      <c r="B880" s="217"/>
      <c r="C880" s="217"/>
      <c r="D880" s="217"/>
      <c r="E880" s="217"/>
      <c r="F880" s="217"/>
      <c r="G880" s="218"/>
      <c r="H880" s="217"/>
    </row>
    <row r="881">
      <c r="A881" s="217"/>
      <c r="B881" s="217"/>
      <c r="C881" s="217"/>
      <c r="D881" s="217"/>
      <c r="E881" s="217"/>
      <c r="F881" s="217"/>
      <c r="G881" s="218"/>
      <c r="H881" s="217"/>
    </row>
    <row r="882">
      <c r="A882" s="217"/>
      <c r="B882" s="217"/>
      <c r="C882" s="217"/>
      <c r="D882" s="217"/>
      <c r="E882" s="217"/>
      <c r="F882" s="217"/>
      <c r="G882" s="218"/>
      <c r="H882" s="217"/>
    </row>
    <row r="883">
      <c r="A883" s="217"/>
      <c r="B883" s="217"/>
      <c r="C883" s="217"/>
      <c r="D883" s="217"/>
      <c r="E883" s="217"/>
      <c r="F883" s="217"/>
      <c r="G883" s="218"/>
      <c r="H883" s="217"/>
    </row>
    <row r="884">
      <c r="A884" s="217"/>
      <c r="B884" s="217"/>
      <c r="C884" s="217"/>
      <c r="D884" s="217"/>
      <c r="E884" s="217"/>
      <c r="F884" s="217"/>
      <c r="G884" s="218"/>
      <c r="H884" s="217"/>
    </row>
    <row r="885">
      <c r="A885" s="217"/>
      <c r="B885" s="217"/>
      <c r="C885" s="217"/>
      <c r="D885" s="217"/>
      <c r="E885" s="217"/>
      <c r="F885" s="217"/>
      <c r="G885" s="218"/>
      <c r="H885" s="217"/>
    </row>
    <row r="886">
      <c r="A886" s="217"/>
      <c r="B886" s="217"/>
      <c r="C886" s="217"/>
      <c r="D886" s="217"/>
      <c r="E886" s="217"/>
      <c r="F886" s="217"/>
      <c r="G886" s="218"/>
      <c r="H886" s="217"/>
    </row>
    <row r="887">
      <c r="A887" s="217"/>
      <c r="B887" s="217"/>
      <c r="C887" s="217"/>
      <c r="D887" s="217"/>
      <c r="E887" s="217"/>
      <c r="F887" s="217"/>
      <c r="G887" s="218"/>
      <c r="H887" s="217"/>
    </row>
    <row r="888">
      <c r="A888" s="217"/>
      <c r="B888" s="217"/>
      <c r="C888" s="217"/>
      <c r="D888" s="217"/>
      <c r="E888" s="217"/>
      <c r="F888" s="217"/>
      <c r="G888" s="218"/>
      <c r="H888" s="217"/>
    </row>
    <row r="889">
      <c r="A889" s="217"/>
      <c r="B889" s="217"/>
      <c r="C889" s="217"/>
      <c r="D889" s="217"/>
      <c r="E889" s="217"/>
      <c r="F889" s="217"/>
      <c r="G889" s="218"/>
      <c r="H889" s="217"/>
    </row>
    <row r="890">
      <c r="A890" s="217"/>
      <c r="B890" s="217"/>
      <c r="C890" s="217"/>
      <c r="D890" s="217"/>
      <c r="E890" s="217"/>
      <c r="F890" s="217"/>
      <c r="G890" s="218"/>
      <c r="H890" s="217"/>
    </row>
    <row r="891">
      <c r="A891" s="217"/>
      <c r="B891" s="217"/>
      <c r="C891" s="217"/>
      <c r="D891" s="217"/>
      <c r="E891" s="217"/>
      <c r="F891" s="217"/>
      <c r="G891" s="218"/>
      <c r="H891" s="217"/>
    </row>
    <row r="892">
      <c r="A892" s="217"/>
      <c r="B892" s="217"/>
      <c r="C892" s="217"/>
      <c r="D892" s="217"/>
      <c r="E892" s="217"/>
      <c r="F892" s="217"/>
      <c r="G892" s="218"/>
      <c r="H892" s="217"/>
    </row>
    <row r="893">
      <c r="A893" s="217"/>
      <c r="B893" s="217"/>
      <c r="C893" s="217"/>
      <c r="D893" s="217"/>
      <c r="E893" s="217"/>
      <c r="F893" s="217"/>
      <c r="G893" s="218"/>
      <c r="H893" s="217"/>
    </row>
    <row r="894">
      <c r="A894" s="217"/>
      <c r="B894" s="217"/>
      <c r="C894" s="217"/>
      <c r="D894" s="217"/>
      <c r="E894" s="217"/>
      <c r="F894" s="217"/>
      <c r="G894" s="218"/>
      <c r="H894" s="217"/>
    </row>
    <row r="895">
      <c r="A895" s="217"/>
      <c r="B895" s="217"/>
      <c r="C895" s="217"/>
      <c r="D895" s="217"/>
      <c r="E895" s="217"/>
      <c r="F895" s="217"/>
      <c r="G895" s="218"/>
      <c r="H895" s="217"/>
    </row>
    <row r="896">
      <c r="A896" s="217"/>
      <c r="B896" s="217"/>
      <c r="C896" s="217"/>
      <c r="D896" s="217"/>
      <c r="E896" s="217"/>
      <c r="F896" s="217"/>
      <c r="G896" s="218"/>
      <c r="H896" s="217"/>
    </row>
    <row r="897">
      <c r="A897" s="217"/>
      <c r="B897" s="217"/>
      <c r="C897" s="217"/>
      <c r="D897" s="217"/>
      <c r="E897" s="217"/>
      <c r="F897" s="217"/>
      <c r="G897" s="218"/>
      <c r="H897" s="217"/>
    </row>
    <row r="898">
      <c r="A898" s="217"/>
      <c r="B898" s="217"/>
      <c r="C898" s="217"/>
      <c r="D898" s="217"/>
      <c r="E898" s="217"/>
      <c r="F898" s="217"/>
      <c r="G898" s="218"/>
      <c r="H898" s="217"/>
    </row>
    <row r="899">
      <c r="A899" s="217"/>
      <c r="B899" s="217"/>
      <c r="C899" s="217"/>
      <c r="D899" s="217"/>
      <c r="E899" s="217"/>
      <c r="F899" s="217"/>
      <c r="G899" s="218"/>
      <c r="H899" s="217"/>
    </row>
    <row r="900">
      <c r="A900" s="217"/>
      <c r="B900" s="217"/>
      <c r="C900" s="217"/>
      <c r="D900" s="217"/>
      <c r="E900" s="217"/>
      <c r="F900" s="217"/>
      <c r="G900" s="218"/>
      <c r="H900" s="217"/>
    </row>
    <row r="901">
      <c r="A901" s="217"/>
      <c r="B901" s="217"/>
      <c r="C901" s="217"/>
      <c r="D901" s="217"/>
      <c r="E901" s="217"/>
      <c r="F901" s="217"/>
      <c r="G901" s="218"/>
      <c r="H901" s="217"/>
    </row>
    <row r="902">
      <c r="A902" s="217"/>
      <c r="B902" s="217"/>
      <c r="C902" s="217"/>
      <c r="D902" s="217"/>
      <c r="E902" s="217"/>
      <c r="F902" s="217"/>
      <c r="G902" s="218"/>
      <c r="H902" s="217"/>
    </row>
    <row r="903">
      <c r="A903" s="217"/>
      <c r="B903" s="217"/>
      <c r="C903" s="217"/>
      <c r="D903" s="217"/>
      <c r="E903" s="217"/>
      <c r="F903" s="217"/>
      <c r="G903" s="218"/>
      <c r="H903" s="217"/>
    </row>
    <row r="904">
      <c r="A904" s="217"/>
      <c r="B904" s="217"/>
      <c r="C904" s="217"/>
      <c r="D904" s="217"/>
      <c r="E904" s="217"/>
      <c r="F904" s="217"/>
      <c r="G904" s="218"/>
      <c r="H904" s="217"/>
    </row>
    <row r="905">
      <c r="A905" s="217"/>
      <c r="B905" s="217"/>
      <c r="C905" s="217"/>
      <c r="D905" s="217"/>
      <c r="E905" s="217"/>
      <c r="F905" s="217"/>
      <c r="G905" s="218"/>
      <c r="H905" s="217"/>
    </row>
    <row r="906">
      <c r="A906" s="217"/>
      <c r="B906" s="217"/>
      <c r="C906" s="217"/>
      <c r="D906" s="217"/>
      <c r="E906" s="217"/>
      <c r="F906" s="217"/>
      <c r="G906" s="218"/>
      <c r="H906" s="217"/>
    </row>
    <row r="907">
      <c r="A907" s="217"/>
      <c r="B907" s="217"/>
      <c r="C907" s="217"/>
      <c r="D907" s="217"/>
      <c r="E907" s="217"/>
      <c r="F907" s="217"/>
      <c r="G907" s="218"/>
      <c r="H907" s="217"/>
    </row>
    <row r="908">
      <c r="A908" s="217"/>
      <c r="B908" s="217"/>
      <c r="C908" s="217"/>
      <c r="D908" s="217"/>
      <c r="E908" s="217"/>
      <c r="F908" s="217"/>
      <c r="G908" s="218"/>
      <c r="H908" s="217"/>
    </row>
    <row r="909">
      <c r="A909" s="217"/>
      <c r="B909" s="217"/>
      <c r="C909" s="217"/>
      <c r="D909" s="217"/>
      <c r="E909" s="217"/>
      <c r="F909" s="217"/>
      <c r="G909" s="218"/>
      <c r="H909" s="217"/>
    </row>
    <row r="910">
      <c r="A910" s="217"/>
      <c r="B910" s="217"/>
      <c r="C910" s="217"/>
      <c r="D910" s="217"/>
      <c r="E910" s="217"/>
      <c r="F910" s="217"/>
      <c r="G910" s="218"/>
      <c r="H910" s="217"/>
    </row>
    <row r="911">
      <c r="A911" s="217"/>
      <c r="B911" s="217"/>
      <c r="C911" s="217"/>
      <c r="D911" s="217"/>
      <c r="E911" s="217"/>
      <c r="F911" s="217"/>
      <c r="G911" s="218"/>
      <c r="H911" s="217"/>
    </row>
    <row r="912">
      <c r="A912" s="217"/>
      <c r="B912" s="217"/>
      <c r="C912" s="217"/>
      <c r="D912" s="217"/>
      <c r="E912" s="217"/>
      <c r="F912" s="217"/>
      <c r="G912" s="218"/>
      <c r="H912" s="217"/>
    </row>
    <row r="913">
      <c r="A913" s="217"/>
      <c r="B913" s="217"/>
      <c r="C913" s="217"/>
      <c r="D913" s="217"/>
      <c r="E913" s="217"/>
      <c r="F913" s="217"/>
      <c r="G913" s="218"/>
      <c r="H913" s="217"/>
    </row>
    <row r="914">
      <c r="A914" s="217"/>
      <c r="B914" s="217"/>
      <c r="C914" s="217"/>
      <c r="D914" s="217"/>
      <c r="E914" s="217"/>
      <c r="F914" s="217"/>
      <c r="G914" s="218"/>
      <c r="H914" s="217"/>
    </row>
    <row r="915">
      <c r="A915" s="217"/>
      <c r="B915" s="217"/>
      <c r="C915" s="217"/>
      <c r="D915" s="217"/>
      <c r="E915" s="217"/>
      <c r="F915" s="217"/>
      <c r="G915" s="218"/>
      <c r="H915" s="217"/>
    </row>
    <row r="916">
      <c r="A916" s="217"/>
      <c r="B916" s="217"/>
      <c r="C916" s="217"/>
      <c r="D916" s="217"/>
      <c r="E916" s="217"/>
      <c r="F916" s="217"/>
      <c r="G916" s="218"/>
      <c r="H916" s="217"/>
    </row>
    <row r="917">
      <c r="A917" s="217"/>
      <c r="B917" s="217"/>
      <c r="C917" s="217"/>
      <c r="D917" s="217"/>
      <c r="E917" s="217"/>
      <c r="F917" s="217"/>
      <c r="G917" s="218"/>
      <c r="H917" s="217"/>
    </row>
    <row r="918">
      <c r="A918" s="217"/>
      <c r="B918" s="217"/>
      <c r="C918" s="217"/>
      <c r="D918" s="217"/>
      <c r="E918" s="217"/>
      <c r="F918" s="217"/>
      <c r="G918" s="218"/>
      <c r="H918" s="217"/>
    </row>
    <row r="919">
      <c r="A919" s="217"/>
      <c r="B919" s="217"/>
      <c r="C919" s="217"/>
      <c r="D919" s="217"/>
      <c r="E919" s="217"/>
      <c r="F919" s="217"/>
      <c r="G919" s="218"/>
      <c r="H919" s="217"/>
    </row>
    <row r="920">
      <c r="A920" s="217"/>
      <c r="B920" s="217"/>
      <c r="C920" s="217"/>
      <c r="D920" s="217"/>
      <c r="E920" s="217"/>
      <c r="F920" s="217"/>
      <c r="G920" s="218"/>
      <c r="H920" s="217"/>
    </row>
    <row r="921">
      <c r="A921" s="217"/>
      <c r="B921" s="217"/>
      <c r="C921" s="217"/>
      <c r="D921" s="217"/>
      <c r="E921" s="217"/>
      <c r="F921" s="217"/>
      <c r="G921" s="218"/>
      <c r="H921" s="217"/>
    </row>
    <row r="922">
      <c r="A922" s="217"/>
      <c r="B922" s="217"/>
      <c r="C922" s="217"/>
      <c r="D922" s="217"/>
      <c r="E922" s="217"/>
      <c r="F922" s="217"/>
      <c r="G922" s="218"/>
      <c r="H922" s="217"/>
    </row>
    <row r="923">
      <c r="A923" s="217"/>
      <c r="B923" s="217"/>
      <c r="C923" s="217"/>
      <c r="D923" s="217"/>
      <c r="E923" s="217"/>
      <c r="F923" s="217"/>
      <c r="G923" s="218"/>
      <c r="H923" s="217"/>
    </row>
    <row r="924">
      <c r="A924" s="217"/>
      <c r="B924" s="217"/>
      <c r="C924" s="217"/>
      <c r="D924" s="217"/>
      <c r="E924" s="217"/>
      <c r="F924" s="217"/>
      <c r="G924" s="218"/>
      <c r="H924" s="217"/>
    </row>
    <row r="925">
      <c r="A925" s="217"/>
      <c r="B925" s="217"/>
      <c r="C925" s="217"/>
      <c r="D925" s="217"/>
      <c r="E925" s="217"/>
      <c r="F925" s="217"/>
      <c r="G925" s="218"/>
      <c r="H925" s="217"/>
    </row>
    <row r="926">
      <c r="A926" s="217"/>
      <c r="B926" s="217"/>
      <c r="C926" s="217"/>
      <c r="D926" s="217"/>
      <c r="E926" s="217"/>
      <c r="F926" s="217"/>
      <c r="G926" s="218"/>
      <c r="H926" s="217"/>
    </row>
    <row r="927">
      <c r="A927" s="217"/>
      <c r="B927" s="217"/>
      <c r="C927" s="217"/>
      <c r="D927" s="217"/>
      <c r="E927" s="217"/>
      <c r="F927" s="217"/>
      <c r="G927" s="218"/>
      <c r="H927" s="217"/>
    </row>
    <row r="928">
      <c r="A928" s="217"/>
      <c r="B928" s="217"/>
      <c r="C928" s="217"/>
      <c r="D928" s="217"/>
      <c r="E928" s="217"/>
      <c r="F928" s="217"/>
      <c r="G928" s="218"/>
      <c r="H928" s="217"/>
    </row>
    <row r="929">
      <c r="A929" s="217"/>
      <c r="B929" s="217"/>
      <c r="C929" s="217"/>
      <c r="D929" s="217"/>
      <c r="E929" s="217"/>
      <c r="F929" s="217"/>
      <c r="G929" s="218"/>
      <c r="H929" s="217"/>
    </row>
    <row r="930">
      <c r="A930" s="217"/>
      <c r="B930" s="217"/>
      <c r="C930" s="217"/>
      <c r="D930" s="217"/>
      <c r="E930" s="217"/>
      <c r="F930" s="217"/>
      <c r="G930" s="218"/>
      <c r="H930" s="217"/>
    </row>
    <row r="931">
      <c r="A931" s="217"/>
      <c r="B931" s="217"/>
      <c r="C931" s="217"/>
      <c r="D931" s="217"/>
      <c r="E931" s="217"/>
      <c r="F931" s="217"/>
      <c r="G931" s="218"/>
      <c r="H931" s="217"/>
    </row>
    <row r="932">
      <c r="A932" s="217"/>
      <c r="B932" s="217"/>
      <c r="C932" s="217"/>
      <c r="D932" s="217"/>
      <c r="E932" s="217"/>
      <c r="F932" s="217"/>
      <c r="G932" s="218"/>
      <c r="H932" s="217"/>
    </row>
    <row r="933">
      <c r="A933" s="217"/>
      <c r="B933" s="217"/>
      <c r="C933" s="217"/>
      <c r="D933" s="217"/>
      <c r="E933" s="217"/>
      <c r="F933" s="217"/>
      <c r="G933" s="218"/>
      <c r="H933" s="217"/>
    </row>
    <row r="934">
      <c r="A934" s="217"/>
      <c r="B934" s="217"/>
      <c r="C934" s="217"/>
      <c r="D934" s="217"/>
      <c r="E934" s="217"/>
      <c r="F934" s="217"/>
      <c r="G934" s="218"/>
      <c r="H934" s="217"/>
    </row>
    <row r="935">
      <c r="A935" s="217"/>
      <c r="B935" s="217"/>
      <c r="C935" s="217"/>
      <c r="D935" s="217"/>
      <c r="E935" s="217"/>
      <c r="F935" s="217"/>
      <c r="G935" s="218"/>
      <c r="H935" s="217"/>
    </row>
    <row r="936">
      <c r="A936" s="217"/>
      <c r="B936" s="217"/>
      <c r="C936" s="217"/>
      <c r="D936" s="217"/>
      <c r="E936" s="217"/>
      <c r="F936" s="217"/>
      <c r="G936" s="218"/>
      <c r="H936" s="217"/>
    </row>
    <row r="937">
      <c r="A937" s="217"/>
      <c r="B937" s="217"/>
      <c r="C937" s="217"/>
      <c r="D937" s="217"/>
      <c r="E937" s="217"/>
      <c r="F937" s="217"/>
      <c r="G937" s="218"/>
      <c r="H937" s="217"/>
    </row>
    <row r="938">
      <c r="A938" s="217"/>
      <c r="B938" s="217"/>
      <c r="C938" s="217"/>
      <c r="D938" s="217"/>
      <c r="E938" s="217"/>
      <c r="F938" s="217"/>
      <c r="G938" s="218"/>
      <c r="H938" s="217"/>
    </row>
    <row r="939">
      <c r="A939" s="217"/>
      <c r="B939" s="217"/>
      <c r="C939" s="217"/>
      <c r="D939" s="217"/>
      <c r="E939" s="217"/>
      <c r="F939" s="217"/>
      <c r="G939" s="218"/>
      <c r="H939" s="217"/>
    </row>
    <row r="940">
      <c r="A940" s="217"/>
      <c r="B940" s="217"/>
      <c r="C940" s="217"/>
      <c r="D940" s="217"/>
      <c r="E940" s="217"/>
      <c r="F940" s="217"/>
      <c r="G940" s="218"/>
      <c r="H940" s="217"/>
    </row>
    <row r="941">
      <c r="A941" s="217"/>
      <c r="B941" s="217"/>
      <c r="C941" s="217"/>
      <c r="D941" s="217"/>
      <c r="E941" s="217"/>
      <c r="F941" s="217"/>
      <c r="G941" s="218"/>
      <c r="H941" s="217"/>
    </row>
    <row r="942">
      <c r="A942" s="217"/>
      <c r="B942" s="217"/>
      <c r="C942" s="217"/>
      <c r="D942" s="217"/>
      <c r="E942" s="217"/>
      <c r="F942" s="217"/>
      <c r="G942" s="218"/>
      <c r="H942" s="217"/>
    </row>
    <row r="943">
      <c r="A943" s="217"/>
      <c r="B943" s="217"/>
      <c r="C943" s="217"/>
      <c r="D943" s="217"/>
      <c r="E943" s="217"/>
      <c r="F943" s="217"/>
      <c r="G943" s="218"/>
      <c r="H943" s="217"/>
    </row>
    <row r="944">
      <c r="A944" s="217"/>
      <c r="B944" s="217"/>
      <c r="C944" s="217"/>
      <c r="D944" s="217"/>
      <c r="E944" s="217"/>
      <c r="F944" s="217"/>
      <c r="G944" s="218"/>
      <c r="H944" s="217"/>
    </row>
    <row r="945">
      <c r="A945" s="217"/>
      <c r="B945" s="217"/>
      <c r="C945" s="217"/>
      <c r="D945" s="217"/>
      <c r="E945" s="217"/>
      <c r="F945" s="217"/>
      <c r="G945" s="218"/>
      <c r="H945" s="217"/>
    </row>
    <row r="946">
      <c r="A946" s="217"/>
      <c r="B946" s="217"/>
      <c r="C946" s="217"/>
      <c r="D946" s="217"/>
      <c r="E946" s="217"/>
      <c r="F946" s="217"/>
      <c r="G946" s="218"/>
      <c r="H946" s="217"/>
    </row>
    <row r="947">
      <c r="A947" s="217"/>
      <c r="B947" s="217"/>
      <c r="C947" s="217"/>
      <c r="D947" s="217"/>
      <c r="E947" s="217"/>
      <c r="F947" s="217"/>
      <c r="G947" s="218"/>
      <c r="H947" s="217"/>
    </row>
    <row r="948">
      <c r="A948" s="217"/>
      <c r="B948" s="217"/>
      <c r="C948" s="217"/>
      <c r="D948" s="217"/>
      <c r="E948" s="217"/>
      <c r="F948" s="217"/>
      <c r="G948" s="218"/>
      <c r="H948" s="217"/>
    </row>
    <row r="949">
      <c r="A949" s="217"/>
      <c r="B949" s="217"/>
      <c r="C949" s="217"/>
      <c r="D949" s="217"/>
      <c r="E949" s="217"/>
      <c r="F949" s="217"/>
      <c r="G949" s="218"/>
      <c r="H949" s="217"/>
    </row>
    <row r="950">
      <c r="A950" s="217"/>
      <c r="B950" s="217"/>
      <c r="C950" s="217"/>
      <c r="D950" s="217"/>
      <c r="E950" s="217"/>
      <c r="F950" s="217"/>
      <c r="G950" s="218"/>
      <c r="H950" s="217"/>
    </row>
    <row r="951">
      <c r="A951" s="217"/>
      <c r="B951" s="217"/>
      <c r="C951" s="217"/>
      <c r="D951" s="217"/>
      <c r="E951" s="217"/>
      <c r="F951" s="217"/>
      <c r="G951" s="218"/>
      <c r="H951" s="217"/>
    </row>
    <row r="952">
      <c r="A952" s="217"/>
      <c r="B952" s="217"/>
      <c r="C952" s="217"/>
      <c r="D952" s="217"/>
      <c r="E952" s="217"/>
      <c r="F952" s="217"/>
      <c r="G952" s="218"/>
      <c r="H952" s="217"/>
    </row>
    <row r="953">
      <c r="A953" s="217"/>
      <c r="B953" s="217"/>
      <c r="C953" s="217"/>
      <c r="D953" s="217"/>
      <c r="E953" s="217"/>
      <c r="F953" s="217"/>
      <c r="G953" s="218"/>
      <c r="H953" s="217"/>
    </row>
    <row r="954">
      <c r="A954" s="217"/>
      <c r="B954" s="217"/>
      <c r="C954" s="217"/>
      <c r="D954" s="217"/>
      <c r="E954" s="217"/>
      <c r="F954" s="217"/>
      <c r="G954" s="218"/>
      <c r="H954" s="217"/>
    </row>
    <row r="955">
      <c r="A955" s="217"/>
      <c r="B955" s="217"/>
      <c r="C955" s="217"/>
      <c r="D955" s="217"/>
      <c r="E955" s="217"/>
      <c r="F955" s="217"/>
      <c r="G955" s="218"/>
      <c r="H955" s="217"/>
    </row>
    <row r="956">
      <c r="A956" s="217"/>
      <c r="B956" s="217"/>
      <c r="C956" s="217"/>
      <c r="D956" s="217"/>
      <c r="E956" s="217"/>
      <c r="F956" s="217"/>
      <c r="G956" s="218"/>
      <c r="H956" s="217"/>
    </row>
    <row r="957">
      <c r="A957" s="217"/>
      <c r="B957" s="217"/>
      <c r="C957" s="217"/>
      <c r="D957" s="217"/>
      <c r="E957" s="217"/>
      <c r="F957" s="217"/>
      <c r="G957" s="218"/>
      <c r="H957" s="217"/>
    </row>
    <row r="958">
      <c r="A958" s="217"/>
      <c r="B958" s="217"/>
      <c r="C958" s="217"/>
      <c r="D958" s="217"/>
      <c r="E958" s="217"/>
      <c r="F958" s="217"/>
      <c r="G958" s="218"/>
      <c r="H958" s="217"/>
    </row>
    <row r="959">
      <c r="A959" s="217"/>
      <c r="B959" s="217"/>
      <c r="C959" s="217"/>
      <c r="D959" s="217"/>
      <c r="E959" s="217"/>
      <c r="F959" s="217"/>
      <c r="G959" s="218"/>
      <c r="H959" s="217"/>
    </row>
    <row r="960">
      <c r="A960" s="217"/>
      <c r="B960" s="217"/>
      <c r="C960" s="217"/>
      <c r="D960" s="217"/>
      <c r="E960" s="217"/>
      <c r="F960" s="217"/>
      <c r="G960" s="218"/>
      <c r="H960" s="217"/>
    </row>
    <row r="961">
      <c r="A961" s="217"/>
      <c r="B961" s="217"/>
      <c r="C961" s="217"/>
      <c r="D961" s="217"/>
      <c r="E961" s="217"/>
      <c r="F961" s="217"/>
      <c r="G961" s="218"/>
      <c r="H961" s="217"/>
    </row>
    <row r="962">
      <c r="A962" s="217"/>
      <c r="B962" s="217"/>
      <c r="C962" s="217"/>
      <c r="D962" s="217"/>
      <c r="E962" s="217"/>
      <c r="F962" s="217"/>
      <c r="G962" s="218"/>
      <c r="H962" s="217"/>
    </row>
    <row r="963">
      <c r="A963" s="217"/>
      <c r="B963" s="217"/>
      <c r="C963" s="217"/>
      <c r="D963" s="217"/>
      <c r="E963" s="217"/>
      <c r="F963" s="217"/>
      <c r="G963" s="218"/>
      <c r="H963" s="217"/>
    </row>
    <row r="964">
      <c r="A964" s="217"/>
      <c r="B964" s="217"/>
      <c r="C964" s="217"/>
      <c r="D964" s="217"/>
      <c r="E964" s="217"/>
      <c r="F964" s="217"/>
      <c r="G964" s="218"/>
      <c r="H964" s="217"/>
    </row>
    <row r="965">
      <c r="A965" s="217"/>
      <c r="B965" s="217"/>
      <c r="C965" s="217"/>
      <c r="D965" s="217"/>
      <c r="E965" s="217"/>
      <c r="F965" s="217"/>
      <c r="G965" s="218"/>
      <c r="H965" s="217"/>
    </row>
    <row r="966">
      <c r="A966" s="217"/>
      <c r="B966" s="217"/>
      <c r="C966" s="217"/>
      <c r="D966" s="217"/>
      <c r="E966" s="217"/>
      <c r="F966" s="217"/>
      <c r="G966" s="218"/>
      <c r="H966" s="217"/>
    </row>
    <row r="967">
      <c r="A967" s="217"/>
      <c r="B967" s="217"/>
      <c r="C967" s="217"/>
      <c r="D967" s="217"/>
      <c r="E967" s="217"/>
      <c r="F967" s="217"/>
      <c r="G967" s="218"/>
      <c r="H967" s="217"/>
    </row>
    <row r="968">
      <c r="A968" s="217"/>
      <c r="B968" s="217"/>
      <c r="C968" s="217"/>
      <c r="D968" s="217"/>
      <c r="E968" s="217"/>
      <c r="F968" s="217"/>
      <c r="G968" s="218"/>
      <c r="H968" s="217"/>
    </row>
    <row r="969">
      <c r="A969" s="217"/>
      <c r="B969" s="217"/>
      <c r="C969" s="217"/>
      <c r="D969" s="217"/>
      <c r="E969" s="217"/>
      <c r="F969" s="217"/>
      <c r="G969" s="218"/>
      <c r="H969" s="217"/>
    </row>
    <row r="970">
      <c r="A970" s="217"/>
      <c r="B970" s="217"/>
      <c r="C970" s="217"/>
      <c r="D970" s="217"/>
      <c r="E970" s="217"/>
      <c r="F970" s="217"/>
      <c r="G970" s="218"/>
      <c r="H970" s="217"/>
    </row>
    <row r="971">
      <c r="A971" s="217"/>
      <c r="B971" s="217"/>
      <c r="C971" s="217"/>
      <c r="D971" s="217"/>
      <c r="E971" s="217"/>
      <c r="F971" s="217"/>
      <c r="G971" s="218"/>
      <c r="H971" s="217"/>
    </row>
    <row r="972">
      <c r="A972" s="217"/>
      <c r="B972" s="217"/>
      <c r="C972" s="217"/>
      <c r="D972" s="217"/>
      <c r="E972" s="217"/>
      <c r="F972" s="217"/>
      <c r="G972" s="218"/>
      <c r="H972" s="217"/>
    </row>
    <row r="973">
      <c r="A973" s="217"/>
      <c r="B973" s="217"/>
      <c r="C973" s="217"/>
      <c r="D973" s="217"/>
      <c r="E973" s="217"/>
      <c r="F973" s="217"/>
      <c r="G973" s="218"/>
      <c r="H973" s="217"/>
    </row>
    <row r="974">
      <c r="A974" s="217"/>
      <c r="B974" s="217"/>
      <c r="C974" s="217"/>
      <c r="D974" s="217"/>
      <c r="E974" s="217"/>
      <c r="F974" s="217"/>
      <c r="G974" s="218"/>
      <c r="H974" s="217"/>
    </row>
    <row r="975">
      <c r="A975" s="217"/>
      <c r="B975" s="217"/>
      <c r="C975" s="217"/>
      <c r="D975" s="217"/>
      <c r="E975" s="217"/>
      <c r="F975" s="217"/>
      <c r="G975" s="218"/>
      <c r="H975" s="217"/>
    </row>
    <row r="976">
      <c r="A976" s="217"/>
      <c r="B976" s="217"/>
      <c r="C976" s="217"/>
      <c r="D976" s="217"/>
      <c r="E976" s="217"/>
      <c r="F976" s="217"/>
      <c r="G976" s="218"/>
      <c r="H976" s="217"/>
    </row>
    <row r="977">
      <c r="A977" s="217"/>
      <c r="B977" s="217"/>
      <c r="C977" s="217"/>
      <c r="D977" s="217"/>
      <c r="E977" s="217"/>
      <c r="F977" s="217"/>
      <c r="G977" s="218"/>
      <c r="H977" s="217"/>
    </row>
    <row r="978">
      <c r="A978" s="217"/>
      <c r="B978" s="217"/>
      <c r="C978" s="217"/>
      <c r="D978" s="217"/>
      <c r="E978" s="217"/>
      <c r="F978" s="217"/>
      <c r="G978" s="218"/>
      <c r="H978" s="217"/>
    </row>
    <row r="979">
      <c r="A979" s="217"/>
      <c r="B979" s="217"/>
      <c r="C979" s="217"/>
      <c r="D979" s="217"/>
      <c r="E979" s="217"/>
      <c r="F979" s="217"/>
      <c r="G979" s="218"/>
      <c r="H979" s="217"/>
    </row>
    <row r="980">
      <c r="A980" s="217"/>
      <c r="B980" s="217"/>
      <c r="C980" s="217"/>
      <c r="D980" s="217"/>
      <c r="E980" s="217"/>
      <c r="F980" s="217"/>
      <c r="G980" s="218"/>
      <c r="H980" s="217"/>
    </row>
    <row r="981">
      <c r="A981" s="217"/>
      <c r="B981" s="217"/>
      <c r="C981" s="217"/>
      <c r="D981" s="217"/>
      <c r="E981" s="217"/>
      <c r="F981" s="217"/>
      <c r="G981" s="218"/>
      <c r="H981" s="217"/>
    </row>
    <row r="982">
      <c r="A982" s="217"/>
      <c r="B982" s="217"/>
      <c r="C982" s="217"/>
      <c r="D982" s="217"/>
      <c r="E982" s="217"/>
      <c r="F982" s="217"/>
      <c r="G982" s="218"/>
      <c r="H982" s="217"/>
    </row>
    <row r="983">
      <c r="A983" s="217"/>
      <c r="B983" s="217"/>
      <c r="C983" s="217"/>
      <c r="D983" s="217"/>
      <c r="E983" s="217"/>
      <c r="F983" s="217"/>
      <c r="G983" s="218"/>
      <c r="H983" s="217"/>
    </row>
    <row r="984">
      <c r="A984" s="217"/>
      <c r="B984" s="217"/>
      <c r="C984" s="217"/>
      <c r="D984" s="217"/>
      <c r="E984" s="217"/>
      <c r="F984" s="217"/>
      <c r="G984" s="218"/>
      <c r="H984" s="217"/>
    </row>
    <row r="985">
      <c r="A985" s="217"/>
      <c r="B985" s="217"/>
      <c r="C985" s="217"/>
      <c r="D985" s="217"/>
      <c r="E985" s="217"/>
      <c r="F985" s="217"/>
      <c r="G985" s="218"/>
      <c r="H985" s="217"/>
    </row>
    <row r="986">
      <c r="A986" s="217"/>
      <c r="B986" s="217"/>
      <c r="C986" s="217"/>
      <c r="D986" s="217"/>
      <c r="E986" s="217"/>
      <c r="F986" s="217"/>
      <c r="G986" s="218"/>
      <c r="H986" s="217"/>
    </row>
    <row r="987">
      <c r="A987" s="217"/>
      <c r="B987" s="217"/>
      <c r="C987" s="217"/>
      <c r="D987" s="217"/>
      <c r="E987" s="217"/>
      <c r="F987" s="217"/>
      <c r="G987" s="218"/>
      <c r="H987" s="217"/>
    </row>
    <row r="988">
      <c r="A988" s="217"/>
      <c r="B988" s="217"/>
      <c r="C988" s="217"/>
      <c r="D988" s="217"/>
      <c r="E988" s="217"/>
      <c r="F988" s="217"/>
      <c r="G988" s="218"/>
      <c r="H988" s="217"/>
    </row>
    <row r="989">
      <c r="A989" s="217"/>
      <c r="B989" s="217"/>
      <c r="C989" s="217"/>
      <c r="D989" s="217"/>
      <c r="E989" s="217"/>
      <c r="F989" s="217"/>
      <c r="G989" s="218"/>
      <c r="H989" s="217"/>
    </row>
    <row r="990">
      <c r="A990" s="217"/>
      <c r="B990" s="217"/>
      <c r="C990" s="217"/>
      <c r="D990" s="217"/>
      <c r="E990" s="217"/>
      <c r="F990" s="217"/>
      <c r="G990" s="218"/>
      <c r="H990" s="217"/>
    </row>
    <row r="991">
      <c r="A991" s="217"/>
      <c r="B991" s="217"/>
      <c r="C991" s="217"/>
      <c r="D991" s="217"/>
      <c r="E991" s="217"/>
      <c r="F991" s="217"/>
      <c r="G991" s="218"/>
      <c r="H991" s="217"/>
    </row>
    <row r="992">
      <c r="A992" s="217"/>
      <c r="B992" s="217"/>
      <c r="C992" s="217"/>
      <c r="D992" s="217"/>
      <c r="E992" s="217"/>
      <c r="F992" s="217"/>
      <c r="G992" s="218"/>
      <c r="H992" s="217"/>
    </row>
    <row r="993">
      <c r="A993" s="217"/>
      <c r="B993" s="217"/>
      <c r="C993" s="217"/>
      <c r="D993" s="217"/>
      <c r="E993" s="217"/>
      <c r="F993" s="217"/>
      <c r="G993" s="218"/>
      <c r="H993" s="217"/>
    </row>
    <row r="994">
      <c r="A994" s="217"/>
      <c r="B994" s="217"/>
      <c r="C994" s="217"/>
      <c r="D994" s="217"/>
      <c r="E994" s="217"/>
      <c r="F994" s="217"/>
      <c r="G994" s="218"/>
      <c r="H994" s="217"/>
    </row>
    <row r="995">
      <c r="A995" s="217"/>
      <c r="B995" s="217"/>
      <c r="C995" s="217"/>
      <c r="D995" s="217"/>
      <c r="E995" s="217"/>
      <c r="F995" s="217"/>
      <c r="G995" s="218"/>
      <c r="H995" s="217"/>
    </row>
    <row r="996">
      <c r="A996" s="217"/>
      <c r="B996" s="217"/>
      <c r="C996" s="217"/>
      <c r="D996" s="217"/>
      <c r="E996" s="217"/>
      <c r="F996" s="217"/>
      <c r="G996" s="218"/>
      <c r="H996" s="217"/>
    </row>
    <row r="997">
      <c r="A997" s="217"/>
      <c r="B997" s="217"/>
      <c r="C997" s="217"/>
      <c r="D997" s="217"/>
      <c r="E997" s="217"/>
      <c r="F997" s="217"/>
      <c r="G997" s="218"/>
      <c r="H997" s="217"/>
    </row>
    <row r="998">
      <c r="A998" s="217"/>
      <c r="B998" s="217"/>
      <c r="C998" s="217"/>
      <c r="D998" s="217"/>
      <c r="E998" s="217"/>
      <c r="F998" s="217"/>
      <c r="G998" s="218"/>
      <c r="H998" s="217"/>
    </row>
    <row r="999">
      <c r="A999" s="217"/>
      <c r="B999" s="217"/>
      <c r="C999" s="217"/>
      <c r="D999" s="217"/>
      <c r="E999" s="217"/>
      <c r="F999" s="217"/>
      <c r="G999" s="218"/>
      <c r="H999" s="217"/>
    </row>
    <row r="1000">
      <c r="A1000" s="217"/>
      <c r="B1000" s="217"/>
      <c r="C1000" s="217"/>
      <c r="D1000" s="217"/>
      <c r="E1000" s="217"/>
      <c r="F1000" s="217"/>
      <c r="G1000" s="218"/>
      <c r="H1000" s="217"/>
    </row>
    <row r="1001">
      <c r="A1001" s="217"/>
      <c r="B1001" s="217"/>
      <c r="C1001" s="217"/>
      <c r="D1001" s="217"/>
      <c r="E1001" s="217"/>
      <c r="F1001" s="217"/>
      <c r="G1001" s="218"/>
      <c r="H1001" s="217"/>
    </row>
    <row r="1002">
      <c r="A1002" s="217"/>
      <c r="B1002" s="217"/>
      <c r="C1002" s="217"/>
      <c r="D1002" s="217"/>
      <c r="E1002" s="217"/>
      <c r="F1002" s="217"/>
      <c r="G1002" s="218"/>
      <c r="H1002" s="217"/>
    </row>
    <row r="1003">
      <c r="A1003" s="217"/>
      <c r="B1003" s="217"/>
      <c r="C1003" s="217"/>
      <c r="D1003" s="217"/>
      <c r="E1003" s="217"/>
      <c r="F1003" s="217"/>
      <c r="G1003" s="218"/>
      <c r="H1003" s="217"/>
    </row>
    <row r="1004">
      <c r="A1004" s="217"/>
      <c r="B1004" s="217"/>
      <c r="C1004" s="217"/>
      <c r="D1004" s="217"/>
      <c r="E1004" s="217"/>
      <c r="F1004" s="217"/>
      <c r="G1004" s="218"/>
      <c r="H1004" s="217"/>
    </row>
    <row r="1005">
      <c r="A1005" s="217"/>
      <c r="B1005" s="217"/>
      <c r="C1005" s="217"/>
      <c r="D1005" s="217"/>
      <c r="E1005" s="217"/>
      <c r="F1005" s="217"/>
      <c r="G1005" s="218"/>
      <c r="H1005" s="217"/>
    </row>
    <row r="1006">
      <c r="A1006" s="217"/>
      <c r="B1006" s="217"/>
      <c r="C1006" s="217"/>
      <c r="D1006" s="217"/>
      <c r="E1006" s="217"/>
      <c r="F1006" s="217"/>
      <c r="G1006" s="218"/>
      <c r="H1006" s="217"/>
    </row>
    <row r="1007">
      <c r="A1007" s="217"/>
      <c r="B1007" s="217"/>
      <c r="C1007" s="217"/>
      <c r="D1007" s="217"/>
      <c r="E1007" s="217"/>
      <c r="F1007" s="217"/>
      <c r="G1007" s="218"/>
      <c r="H1007" s="217"/>
    </row>
    <row r="1008">
      <c r="A1008" s="217"/>
      <c r="B1008" s="217"/>
      <c r="C1008" s="217"/>
      <c r="D1008" s="217"/>
      <c r="E1008" s="217"/>
      <c r="F1008" s="217"/>
      <c r="G1008" s="218"/>
      <c r="H1008" s="217"/>
    </row>
    <row r="1009">
      <c r="A1009" s="217"/>
      <c r="B1009" s="217"/>
      <c r="C1009" s="217"/>
      <c r="D1009" s="217"/>
      <c r="E1009" s="217"/>
      <c r="F1009" s="217"/>
      <c r="G1009" s="218"/>
      <c r="H1009" s="217"/>
    </row>
    <row r="1010">
      <c r="A1010" s="217"/>
      <c r="B1010" s="217"/>
      <c r="C1010" s="217"/>
      <c r="D1010" s="217"/>
      <c r="E1010" s="217"/>
      <c r="F1010" s="217"/>
      <c r="G1010" s="218"/>
      <c r="H1010" s="217"/>
    </row>
    <row r="1011">
      <c r="A1011" s="217"/>
      <c r="B1011" s="217"/>
      <c r="C1011" s="217"/>
      <c r="D1011" s="217"/>
      <c r="E1011" s="217"/>
      <c r="F1011" s="217"/>
      <c r="G1011" s="218"/>
      <c r="H1011" s="217"/>
    </row>
    <row r="1012">
      <c r="A1012" s="217"/>
      <c r="B1012" s="217"/>
      <c r="C1012" s="217"/>
      <c r="D1012" s="217"/>
      <c r="E1012" s="217"/>
      <c r="F1012" s="217"/>
      <c r="G1012" s="218"/>
      <c r="H1012" s="217"/>
    </row>
    <row r="1013">
      <c r="A1013" s="217"/>
      <c r="B1013" s="217"/>
      <c r="C1013" s="217"/>
      <c r="D1013" s="217"/>
      <c r="E1013" s="217"/>
      <c r="F1013" s="217"/>
      <c r="G1013" s="218"/>
      <c r="H1013" s="217"/>
    </row>
    <row r="1014">
      <c r="A1014" s="217"/>
      <c r="B1014" s="217"/>
      <c r="C1014" s="217"/>
      <c r="D1014" s="217"/>
      <c r="E1014" s="217"/>
      <c r="F1014" s="217"/>
      <c r="G1014" s="218"/>
      <c r="H1014" s="217"/>
    </row>
    <row r="1015">
      <c r="A1015" s="217"/>
      <c r="B1015" s="217"/>
      <c r="C1015" s="217"/>
      <c r="D1015" s="217"/>
      <c r="E1015" s="217"/>
      <c r="F1015" s="217"/>
      <c r="G1015" s="218"/>
      <c r="H1015" s="217"/>
    </row>
    <row r="1016">
      <c r="A1016" s="217"/>
      <c r="B1016" s="217"/>
      <c r="C1016" s="217"/>
      <c r="D1016" s="217"/>
      <c r="E1016" s="217"/>
      <c r="F1016" s="217"/>
      <c r="G1016" s="218"/>
      <c r="H1016" s="217"/>
    </row>
    <row r="1017">
      <c r="A1017" s="217"/>
      <c r="B1017" s="217"/>
      <c r="C1017" s="217"/>
      <c r="D1017" s="217"/>
      <c r="E1017" s="217"/>
      <c r="F1017" s="217"/>
      <c r="G1017" s="218"/>
      <c r="H1017" s="217"/>
    </row>
    <row r="1018">
      <c r="A1018" s="217"/>
      <c r="B1018" s="217"/>
      <c r="C1018" s="217"/>
      <c r="D1018" s="217"/>
      <c r="E1018" s="217"/>
      <c r="F1018" s="217"/>
      <c r="G1018" s="218"/>
      <c r="H1018" s="217"/>
    </row>
    <row r="1019">
      <c r="A1019" s="217"/>
      <c r="B1019" s="217"/>
      <c r="C1019" s="217"/>
      <c r="D1019" s="217"/>
      <c r="E1019" s="217"/>
      <c r="F1019" s="217"/>
      <c r="G1019" s="218"/>
      <c r="H1019" s="217"/>
    </row>
    <row r="1020">
      <c r="A1020" s="217"/>
      <c r="B1020" s="217"/>
      <c r="C1020" s="217"/>
      <c r="D1020" s="217"/>
      <c r="E1020" s="217"/>
      <c r="F1020" s="217"/>
      <c r="G1020" s="218"/>
      <c r="H1020" s="217"/>
    </row>
    <row r="1021">
      <c r="A1021" s="217"/>
      <c r="B1021" s="217"/>
      <c r="C1021" s="217"/>
      <c r="D1021" s="217"/>
      <c r="E1021" s="217"/>
      <c r="F1021" s="217"/>
      <c r="G1021" s="218"/>
      <c r="H1021" s="217"/>
    </row>
    <row r="1022">
      <c r="A1022" s="217"/>
      <c r="B1022" s="217"/>
      <c r="C1022" s="217"/>
      <c r="D1022" s="217"/>
      <c r="E1022" s="217"/>
      <c r="F1022" s="217"/>
      <c r="G1022" s="218"/>
      <c r="H1022" s="217"/>
    </row>
    <row r="1023">
      <c r="A1023" s="217"/>
      <c r="B1023" s="217"/>
      <c r="C1023" s="217"/>
      <c r="D1023" s="217"/>
      <c r="E1023" s="217"/>
      <c r="F1023" s="217"/>
      <c r="G1023" s="218"/>
      <c r="H1023" s="217"/>
    </row>
    <row r="1024">
      <c r="A1024" s="217"/>
      <c r="B1024" s="217"/>
      <c r="C1024" s="217"/>
      <c r="D1024" s="217"/>
      <c r="E1024" s="217"/>
      <c r="F1024" s="217"/>
      <c r="G1024" s="218"/>
      <c r="H1024" s="217"/>
    </row>
    <row r="1025">
      <c r="A1025" s="217"/>
      <c r="B1025" s="217"/>
      <c r="C1025" s="217"/>
      <c r="D1025" s="217"/>
      <c r="E1025" s="217"/>
      <c r="F1025" s="217"/>
      <c r="G1025" s="218"/>
      <c r="H1025" s="217"/>
    </row>
    <row r="1026">
      <c r="A1026" s="217"/>
      <c r="B1026" s="217"/>
      <c r="C1026" s="217"/>
      <c r="D1026" s="217"/>
      <c r="E1026" s="217"/>
      <c r="F1026" s="217"/>
      <c r="G1026" s="218"/>
      <c r="H1026" s="217"/>
    </row>
    <row r="1027">
      <c r="A1027" s="217"/>
      <c r="B1027" s="217"/>
      <c r="C1027" s="217"/>
      <c r="D1027" s="217"/>
      <c r="E1027" s="217"/>
      <c r="F1027" s="217"/>
      <c r="G1027" s="218"/>
      <c r="H1027" s="217"/>
    </row>
    <row r="1028">
      <c r="A1028" s="217"/>
      <c r="B1028" s="217"/>
      <c r="C1028" s="217"/>
      <c r="D1028" s="217"/>
      <c r="E1028" s="217"/>
      <c r="F1028" s="217"/>
      <c r="G1028" s="218"/>
      <c r="H1028" s="217"/>
    </row>
    <row r="1029">
      <c r="A1029" s="217"/>
      <c r="B1029" s="217"/>
      <c r="C1029" s="217"/>
      <c r="D1029" s="217"/>
      <c r="E1029" s="217"/>
      <c r="F1029" s="217"/>
      <c r="G1029" s="218"/>
      <c r="H1029" s="217"/>
    </row>
    <row r="1030">
      <c r="A1030" s="217"/>
      <c r="B1030" s="217"/>
      <c r="C1030" s="217"/>
      <c r="D1030" s="217"/>
      <c r="E1030" s="217"/>
      <c r="F1030" s="217"/>
      <c r="G1030" s="218"/>
      <c r="H1030" s="217"/>
    </row>
    <row r="1031">
      <c r="A1031" s="217"/>
      <c r="B1031" s="217"/>
      <c r="C1031" s="217"/>
      <c r="D1031" s="217"/>
      <c r="E1031" s="217"/>
      <c r="F1031" s="217"/>
      <c r="G1031" s="218"/>
      <c r="H1031" s="217"/>
    </row>
    <row r="1032">
      <c r="A1032" s="217"/>
      <c r="B1032" s="217"/>
      <c r="C1032" s="217"/>
      <c r="D1032" s="217"/>
      <c r="E1032" s="217"/>
      <c r="F1032" s="217"/>
      <c r="G1032" s="218"/>
      <c r="H1032" s="217"/>
    </row>
    <row r="1033">
      <c r="A1033" s="217"/>
      <c r="B1033" s="217"/>
      <c r="C1033" s="217"/>
      <c r="D1033" s="217"/>
      <c r="E1033" s="217"/>
      <c r="F1033" s="217"/>
      <c r="G1033" s="218"/>
      <c r="H1033" s="217"/>
    </row>
    <row r="1034">
      <c r="A1034" s="217"/>
      <c r="B1034" s="217"/>
      <c r="C1034" s="217"/>
      <c r="D1034" s="217"/>
      <c r="E1034" s="217"/>
      <c r="F1034" s="217"/>
      <c r="G1034" s="218"/>
      <c r="H1034" s="217"/>
    </row>
    <row r="1035">
      <c r="A1035" s="217"/>
      <c r="B1035" s="217"/>
      <c r="C1035" s="217"/>
      <c r="D1035" s="217"/>
      <c r="E1035" s="217"/>
      <c r="F1035" s="217"/>
      <c r="G1035" s="218"/>
      <c r="H1035" s="217"/>
    </row>
    <row r="1036">
      <c r="A1036" s="217"/>
      <c r="B1036" s="217"/>
      <c r="C1036" s="217"/>
      <c r="D1036" s="217"/>
      <c r="E1036" s="217"/>
      <c r="F1036" s="217"/>
      <c r="G1036" s="218"/>
      <c r="H1036" s="217"/>
    </row>
    <row r="1037">
      <c r="A1037" s="217"/>
      <c r="B1037" s="217"/>
      <c r="C1037" s="217"/>
      <c r="D1037" s="217"/>
      <c r="E1037" s="217"/>
      <c r="F1037" s="217"/>
      <c r="G1037" s="218"/>
      <c r="H1037" s="217"/>
    </row>
    <row r="1038">
      <c r="A1038" s="217"/>
      <c r="B1038" s="217"/>
      <c r="C1038" s="217"/>
      <c r="D1038" s="217"/>
      <c r="E1038" s="217"/>
      <c r="F1038" s="217"/>
      <c r="G1038" s="218"/>
      <c r="H1038" s="217"/>
    </row>
    <row r="1039">
      <c r="A1039" s="217"/>
      <c r="B1039" s="217"/>
      <c r="C1039" s="217"/>
      <c r="D1039" s="217"/>
      <c r="E1039" s="217"/>
      <c r="F1039" s="217"/>
      <c r="G1039" s="218"/>
      <c r="H1039" s="217"/>
    </row>
    <row r="1040">
      <c r="A1040" s="217"/>
      <c r="B1040" s="217"/>
      <c r="C1040" s="217"/>
      <c r="D1040" s="217"/>
      <c r="E1040" s="217"/>
      <c r="F1040" s="217"/>
      <c r="G1040" s="218"/>
      <c r="H1040" s="217"/>
    </row>
    <row r="1041">
      <c r="A1041" s="217"/>
      <c r="B1041" s="217"/>
      <c r="C1041" s="217"/>
      <c r="D1041" s="217"/>
      <c r="E1041" s="217"/>
      <c r="F1041" s="217"/>
      <c r="G1041" s="218"/>
      <c r="H1041" s="217"/>
    </row>
    <row r="1042">
      <c r="A1042" s="217"/>
      <c r="B1042" s="217"/>
      <c r="C1042" s="217"/>
      <c r="D1042" s="217"/>
      <c r="E1042" s="217"/>
      <c r="F1042" s="217"/>
      <c r="G1042" s="218"/>
      <c r="H1042" s="217"/>
    </row>
    <row r="1043">
      <c r="A1043" s="217"/>
      <c r="B1043" s="217"/>
      <c r="C1043" s="217"/>
      <c r="D1043" s="217"/>
      <c r="E1043" s="217"/>
      <c r="F1043" s="217"/>
      <c r="G1043" s="218"/>
      <c r="H1043" s="217"/>
    </row>
    <row r="1044">
      <c r="A1044" s="217"/>
      <c r="B1044" s="217"/>
      <c r="C1044" s="217"/>
      <c r="D1044" s="217"/>
      <c r="E1044" s="217"/>
      <c r="F1044" s="217"/>
      <c r="G1044" s="218"/>
      <c r="H1044" s="217"/>
    </row>
    <row r="1045">
      <c r="A1045" s="217"/>
      <c r="B1045" s="217"/>
      <c r="C1045" s="217"/>
      <c r="D1045" s="217"/>
      <c r="E1045" s="217"/>
      <c r="F1045" s="217"/>
      <c r="G1045" s="218"/>
      <c r="H1045" s="217"/>
    </row>
    <row r="1046">
      <c r="A1046" s="217"/>
      <c r="B1046" s="217"/>
      <c r="C1046" s="217"/>
      <c r="D1046" s="217"/>
      <c r="E1046" s="217"/>
      <c r="F1046" s="217"/>
      <c r="G1046" s="218"/>
      <c r="H1046" s="217"/>
    </row>
    <row r="1047">
      <c r="A1047" s="217"/>
      <c r="B1047" s="217"/>
      <c r="C1047" s="217"/>
      <c r="D1047" s="217"/>
      <c r="E1047" s="217"/>
      <c r="F1047" s="217"/>
      <c r="G1047" s="218"/>
      <c r="H1047" s="217"/>
    </row>
    <row r="1048">
      <c r="A1048" s="217"/>
      <c r="B1048" s="217"/>
      <c r="C1048" s="217"/>
      <c r="D1048" s="217"/>
      <c r="E1048" s="217"/>
      <c r="F1048" s="217"/>
      <c r="G1048" s="218"/>
      <c r="H1048" s="217"/>
    </row>
    <row r="1049">
      <c r="A1049" s="217"/>
      <c r="B1049" s="217"/>
      <c r="C1049" s="217"/>
      <c r="D1049" s="217"/>
      <c r="E1049" s="217"/>
      <c r="F1049" s="217"/>
      <c r="G1049" s="218"/>
      <c r="H1049" s="217"/>
    </row>
    <row r="1050">
      <c r="A1050" s="217"/>
      <c r="B1050" s="217"/>
      <c r="C1050" s="217"/>
      <c r="D1050" s="217"/>
      <c r="E1050" s="217"/>
      <c r="F1050" s="217"/>
      <c r="G1050" s="218"/>
      <c r="H1050" s="217"/>
    </row>
    <row r="1051">
      <c r="A1051" s="217"/>
      <c r="B1051" s="217"/>
      <c r="C1051" s="217"/>
      <c r="D1051" s="217"/>
      <c r="E1051" s="217"/>
      <c r="F1051" s="217"/>
      <c r="G1051" s="218"/>
      <c r="H1051" s="217"/>
    </row>
    <row r="1052">
      <c r="A1052" s="217"/>
      <c r="B1052" s="217"/>
      <c r="C1052" s="217"/>
      <c r="D1052" s="217"/>
      <c r="E1052" s="217"/>
      <c r="F1052" s="217"/>
      <c r="G1052" s="218"/>
      <c r="H1052" s="217"/>
    </row>
    <row r="1053">
      <c r="A1053" s="217"/>
      <c r="B1053" s="217"/>
      <c r="C1053" s="217"/>
      <c r="D1053" s="217"/>
      <c r="E1053" s="217"/>
      <c r="F1053" s="217"/>
      <c r="G1053" s="218"/>
      <c r="H1053" s="217"/>
    </row>
    <row r="1054">
      <c r="A1054" s="217"/>
      <c r="B1054" s="217"/>
      <c r="C1054" s="217"/>
      <c r="D1054" s="217"/>
      <c r="E1054" s="217"/>
      <c r="F1054" s="217"/>
      <c r="G1054" s="218"/>
      <c r="H1054" s="217"/>
    </row>
    <row r="1055">
      <c r="A1055" s="217"/>
      <c r="B1055" s="217"/>
      <c r="C1055" s="217"/>
      <c r="D1055" s="217"/>
      <c r="E1055" s="217"/>
      <c r="F1055" s="217"/>
      <c r="G1055" s="218"/>
      <c r="H1055" s="217"/>
    </row>
    <row r="1056">
      <c r="A1056" s="217"/>
      <c r="B1056" s="217"/>
      <c r="C1056" s="217"/>
      <c r="D1056" s="217"/>
      <c r="E1056" s="217"/>
      <c r="F1056" s="217"/>
      <c r="G1056" s="218"/>
      <c r="H1056" s="217"/>
    </row>
    <row r="1057">
      <c r="A1057" s="217"/>
      <c r="B1057" s="217"/>
      <c r="C1057" s="217"/>
      <c r="D1057" s="217"/>
      <c r="E1057" s="217"/>
      <c r="F1057" s="217"/>
      <c r="G1057" s="218"/>
      <c r="H1057" s="217"/>
    </row>
    <row r="1058">
      <c r="A1058" s="217"/>
      <c r="B1058" s="217"/>
      <c r="C1058" s="217"/>
      <c r="D1058" s="217"/>
      <c r="E1058" s="217"/>
      <c r="F1058" s="217"/>
      <c r="G1058" s="218"/>
      <c r="H1058" s="217"/>
    </row>
    <row r="1059">
      <c r="A1059" s="217"/>
      <c r="B1059" s="217"/>
      <c r="C1059" s="217"/>
      <c r="D1059" s="217"/>
      <c r="E1059" s="217"/>
      <c r="F1059" s="217"/>
      <c r="G1059" s="218"/>
      <c r="H1059" s="217"/>
    </row>
    <row r="1060">
      <c r="A1060" s="217"/>
      <c r="B1060" s="217"/>
      <c r="C1060" s="217"/>
      <c r="D1060" s="217"/>
      <c r="E1060" s="217"/>
      <c r="F1060" s="217"/>
      <c r="G1060" s="218"/>
      <c r="H1060" s="217"/>
    </row>
    <row r="1061">
      <c r="A1061" s="217"/>
      <c r="B1061" s="217"/>
      <c r="C1061" s="217"/>
      <c r="D1061" s="217"/>
      <c r="E1061" s="217"/>
      <c r="F1061" s="217"/>
      <c r="G1061" s="218"/>
      <c r="H1061" s="217"/>
    </row>
    <row r="1062">
      <c r="A1062" s="217"/>
      <c r="B1062" s="217"/>
      <c r="C1062" s="217"/>
      <c r="D1062" s="217"/>
      <c r="E1062" s="217"/>
      <c r="F1062" s="217"/>
      <c r="G1062" s="218"/>
      <c r="H1062" s="217"/>
    </row>
    <row r="1063">
      <c r="A1063" s="217"/>
      <c r="B1063" s="217"/>
      <c r="C1063" s="217"/>
      <c r="D1063" s="217"/>
      <c r="E1063" s="217"/>
      <c r="F1063" s="217"/>
      <c r="G1063" s="218"/>
      <c r="H1063" s="217"/>
    </row>
    <row r="1064">
      <c r="A1064" s="217"/>
      <c r="B1064" s="217"/>
      <c r="C1064" s="217"/>
      <c r="D1064" s="217"/>
      <c r="E1064" s="217"/>
      <c r="F1064" s="217"/>
      <c r="G1064" s="218"/>
      <c r="H1064" s="217"/>
    </row>
    <row r="1065">
      <c r="A1065" s="217"/>
      <c r="B1065" s="217"/>
      <c r="C1065" s="217"/>
      <c r="D1065" s="217"/>
      <c r="E1065" s="217"/>
      <c r="F1065" s="217"/>
      <c r="G1065" s="218"/>
      <c r="H1065" s="217"/>
    </row>
    <row r="1066">
      <c r="A1066" s="217"/>
      <c r="B1066" s="217"/>
      <c r="C1066" s="217"/>
      <c r="D1066" s="217"/>
      <c r="E1066" s="217"/>
      <c r="F1066" s="217"/>
      <c r="G1066" s="218"/>
      <c r="H1066" s="217"/>
    </row>
    <row r="1067">
      <c r="A1067" s="217"/>
      <c r="B1067" s="217"/>
      <c r="C1067" s="217"/>
      <c r="D1067" s="217"/>
      <c r="E1067" s="217"/>
      <c r="F1067" s="217"/>
      <c r="G1067" s="218"/>
      <c r="H1067" s="217"/>
    </row>
    <row r="1068">
      <c r="A1068" s="217"/>
      <c r="B1068" s="217"/>
      <c r="C1068" s="217"/>
      <c r="D1068" s="217"/>
      <c r="E1068" s="217"/>
      <c r="F1068" s="217"/>
      <c r="G1068" s="218"/>
      <c r="H1068" s="217"/>
    </row>
    <row r="1069">
      <c r="A1069" s="217"/>
      <c r="B1069" s="217"/>
      <c r="C1069" s="217"/>
      <c r="D1069" s="217"/>
      <c r="E1069" s="217"/>
      <c r="F1069" s="217"/>
      <c r="G1069" s="218"/>
      <c r="H1069" s="217"/>
    </row>
    <row r="1070">
      <c r="A1070" s="217"/>
      <c r="B1070" s="217"/>
      <c r="C1070" s="217"/>
      <c r="D1070" s="217"/>
      <c r="E1070" s="217"/>
      <c r="F1070" s="217"/>
      <c r="G1070" s="218"/>
      <c r="H1070" s="217"/>
    </row>
    <row r="1071">
      <c r="A1071" s="217"/>
      <c r="B1071" s="217"/>
      <c r="C1071" s="217"/>
      <c r="D1071" s="217"/>
      <c r="E1071" s="217"/>
      <c r="F1071" s="217"/>
      <c r="G1071" s="218"/>
      <c r="H1071" s="217"/>
    </row>
    <row r="1072">
      <c r="A1072" s="217"/>
      <c r="B1072" s="217"/>
      <c r="C1072" s="217"/>
      <c r="D1072" s="217"/>
      <c r="E1072" s="217"/>
      <c r="F1072" s="217"/>
      <c r="G1072" s="218"/>
      <c r="H1072" s="217"/>
    </row>
    <row r="1073">
      <c r="A1073" s="217"/>
      <c r="B1073" s="217"/>
      <c r="C1073" s="217"/>
      <c r="D1073" s="217"/>
      <c r="E1073" s="217"/>
      <c r="F1073" s="217"/>
      <c r="G1073" s="218"/>
      <c r="H1073" s="217"/>
    </row>
    <row r="1074">
      <c r="A1074" s="217"/>
      <c r="B1074" s="217"/>
      <c r="C1074" s="217"/>
      <c r="D1074" s="217"/>
      <c r="E1074" s="217"/>
      <c r="F1074" s="217"/>
      <c r="G1074" s="218"/>
      <c r="H1074" s="217"/>
    </row>
    <row r="1075">
      <c r="A1075" s="217"/>
      <c r="B1075" s="217"/>
      <c r="C1075" s="217"/>
      <c r="D1075" s="217"/>
      <c r="E1075" s="217"/>
      <c r="F1075" s="217"/>
      <c r="G1075" s="218"/>
      <c r="H1075" s="217"/>
    </row>
    <row r="1076">
      <c r="A1076" s="217"/>
      <c r="B1076" s="217"/>
      <c r="C1076" s="217"/>
      <c r="D1076" s="217"/>
      <c r="E1076" s="217"/>
      <c r="F1076" s="217"/>
      <c r="G1076" s="218"/>
      <c r="H1076" s="217"/>
    </row>
    <row r="1077">
      <c r="A1077" s="217"/>
      <c r="B1077" s="217"/>
      <c r="C1077" s="217"/>
      <c r="D1077" s="217"/>
      <c r="E1077" s="217"/>
      <c r="F1077" s="217"/>
      <c r="G1077" s="218"/>
      <c r="H1077" s="217"/>
    </row>
    <row r="1078">
      <c r="A1078" s="217"/>
      <c r="B1078" s="217"/>
      <c r="C1078" s="217"/>
      <c r="D1078" s="217"/>
      <c r="E1078" s="217"/>
      <c r="F1078" s="217"/>
      <c r="G1078" s="218"/>
      <c r="H1078" s="217"/>
    </row>
    <row r="1079">
      <c r="A1079" s="217"/>
      <c r="B1079" s="217"/>
      <c r="C1079" s="217"/>
      <c r="D1079" s="217"/>
      <c r="E1079" s="217"/>
      <c r="F1079" s="217"/>
      <c r="G1079" s="218"/>
      <c r="H1079" s="217"/>
    </row>
    <row r="1080">
      <c r="A1080" s="217"/>
      <c r="B1080" s="217"/>
      <c r="C1080" s="217"/>
      <c r="D1080" s="217"/>
      <c r="E1080" s="217"/>
      <c r="F1080" s="217"/>
      <c r="G1080" s="218"/>
      <c r="H1080" s="217"/>
    </row>
    <row r="1081">
      <c r="A1081" s="217"/>
      <c r="B1081" s="217"/>
      <c r="C1081" s="217"/>
      <c r="D1081" s="217"/>
      <c r="E1081" s="217"/>
      <c r="F1081" s="217"/>
      <c r="G1081" s="218"/>
      <c r="H1081" s="217"/>
    </row>
    <row r="1082">
      <c r="A1082" s="217"/>
      <c r="B1082" s="217"/>
      <c r="C1082" s="217"/>
      <c r="D1082" s="217"/>
      <c r="E1082" s="217"/>
      <c r="F1082" s="217"/>
      <c r="G1082" s="218"/>
      <c r="H1082" s="217"/>
    </row>
    <row r="1083">
      <c r="A1083" s="217"/>
      <c r="B1083" s="217"/>
      <c r="C1083" s="217"/>
      <c r="D1083" s="217"/>
      <c r="E1083" s="217"/>
      <c r="F1083" s="217"/>
      <c r="G1083" s="218"/>
      <c r="H1083" s="217"/>
    </row>
    <row r="1084">
      <c r="A1084" s="217"/>
      <c r="B1084" s="217"/>
      <c r="C1084" s="217"/>
      <c r="D1084" s="217"/>
      <c r="E1084" s="217"/>
      <c r="F1084" s="217"/>
      <c r="G1084" s="218"/>
      <c r="H1084" s="217"/>
    </row>
    <row r="1085">
      <c r="A1085" s="217"/>
      <c r="B1085" s="217"/>
      <c r="C1085" s="217"/>
      <c r="D1085" s="217"/>
      <c r="E1085" s="217"/>
      <c r="F1085" s="217"/>
      <c r="G1085" s="218"/>
      <c r="H1085" s="217"/>
    </row>
    <row r="1086">
      <c r="A1086" s="217"/>
      <c r="B1086" s="217"/>
      <c r="C1086" s="217"/>
      <c r="D1086" s="217"/>
      <c r="E1086" s="217"/>
      <c r="F1086" s="217"/>
      <c r="G1086" s="218"/>
      <c r="H1086" s="217"/>
    </row>
    <row r="1087">
      <c r="A1087" s="217"/>
      <c r="B1087" s="217"/>
      <c r="C1087" s="217"/>
      <c r="D1087" s="217"/>
      <c r="E1087" s="217"/>
      <c r="F1087" s="217"/>
      <c r="G1087" s="218"/>
      <c r="H1087" s="217"/>
    </row>
    <row r="1088">
      <c r="A1088" s="217"/>
      <c r="B1088" s="217"/>
      <c r="C1088" s="217"/>
      <c r="D1088" s="217"/>
      <c r="E1088" s="217"/>
      <c r="F1088" s="217"/>
      <c r="G1088" s="218"/>
      <c r="H1088" s="217"/>
    </row>
    <row r="1089">
      <c r="A1089" s="217"/>
      <c r="B1089" s="217"/>
      <c r="C1089" s="217"/>
      <c r="D1089" s="217"/>
      <c r="E1089" s="217"/>
      <c r="F1089" s="217"/>
      <c r="G1089" s="218"/>
      <c r="H1089" s="217"/>
    </row>
    <row r="1090">
      <c r="A1090" s="217"/>
      <c r="B1090" s="217"/>
      <c r="C1090" s="217"/>
      <c r="D1090" s="217"/>
      <c r="E1090" s="217"/>
      <c r="F1090" s="217"/>
      <c r="G1090" s="218"/>
      <c r="H1090" s="217"/>
    </row>
    <row r="1091">
      <c r="A1091" s="217"/>
      <c r="B1091" s="217"/>
      <c r="C1091" s="217"/>
      <c r="D1091" s="217"/>
      <c r="E1091" s="217"/>
      <c r="F1091" s="217"/>
      <c r="G1091" s="218"/>
      <c r="H1091" s="217"/>
    </row>
    <row r="1092">
      <c r="A1092" s="217"/>
      <c r="B1092" s="217"/>
      <c r="C1092" s="217"/>
      <c r="D1092" s="217"/>
      <c r="E1092" s="217"/>
      <c r="F1092" s="217"/>
      <c r="G1092" s="218"/>
      <c r="H1092" s="217"/>
    </row>
    <row r="1093">
      <c r="A1093" s="217"/>
      <c r="B1093" s="217"/>
      <c r="C1093" s="217"/>
      <c r="D1093" s="217"/>
      <c r="E1093" s="217"/>
      <c r="F1093" s="217"/>
      <c r="G1093" s="218"/>
      <c r="H1093" s="217"/>
    </row>
    <row r="1094">
      <c r="A1094" s="217"/>
      <c r="B1094" s="217"/>
      <c r="C1094" s="217"/>
      <c r="D1094" s="217"/>
      <c r="E1094" s="217"/>
      <c r="F1094" s="217"/>
      <c r="G1094" s="218"/>
      <c r="H1094" s="217"/>
    </row>
    <row r="1095">
      <c r="A1095" s="217"/>
      <c r="B1095" s="217"/>
      <c r="C1095" s="217"/>
      <c r="D1095" s="217"/>
      <c r="E1095" s="217"/>
      <c r="F1095" s="217"/>
      <c r="G1095" s="218"/>
      <c r="H1095" s="217"/>
    </row>
    <row r="1096">
      <c r="A1096" s="217"/>
      <c r="B1096" s="217"/>
      <c r="C1096" s="217"/>
      <c r="D1096" s="217"/>
      <c r="E1096" s="217"/>
      <c r="F1096" s="217"/>
      <c r="G1096" s="218"/>
      <c r="H1096" s="217"/>
    </row>
    <row r="1097">
      <c r="A1097" s="217"/>
      <c r="B1097" s="217"/>
      <c r="C1097" s="217"/>
      <c r="D1097" s="217"/>
      <c r="E1097" s="217"/>
      <c r="F1097" s="217"/>
      <c r="G1097" s="218"/>
      <c r="H1097" s="217"/>
    </row>
    <row r="1098">
      <c r="A1098" s="217"/>
      <c r="B1098" s="217"/>
      <c r="C1098" s="217"/>
      <c r="D1098" s="217"/>
      <c r="E1098" s="217"/>
      <c r="F1098" s="217"/>
      <c r="G1098" s="218"/>
      <c r="H1098" s="217"/>
    </row>
    <row r="1099">
      <c r="A1099" s="217"/>
      <c r="B1099" s="217"/>
      <c r="C1099" s="217"/>
      <c r="D1099" s="217"/>
      <c r="E1099" s="217"/>
      <c r="F1099" s="217"/>
      <c r="G1099" s="218"/>
      <c r="H1099" s="217"/>
    </row>
    <row r="1100">
      <c r="A1100" s="217"/>
      <c r="B1100" s="217"/>
      <c r="C1100" s="217"/>
      <c r="D1100" s="217"/>
      <c r="E1100" s="217"/>
      <c r="F1100" s="217"/>
      <c r="G1100" s="218"/>
      <c r="H1100" s="217"/>
    </row>
    <row r="1101">
      <c r="A1101" s="217"/>
      <c r="B1101" s="217"/>
      <c r="C1101" s="217"/>
      <c r="D1101" s="217"/>
      <c r="E1101" s="217"/>
      <c r="F1101" s="217"/>
      <c r="G1101" s="218"/>
      <c r="H1101" s="217"/>
    </row>
    <row r="1102">
      <c r="A1102" s="217"/>
      <c r="B1102" s="217"/>
      <c r="C1102" s="217"/>
      <c r="D1102" s="217"/>
      <c r="E1102" s="217"/>
      <c r="F1102" s="217"/>
      <c r="G1102" s="218"/>
      <c r="H1102" s="217"/>
    </row>
    <row r="1103">
      <c r="A1103" s="217"/>
      <c r="B1103" s="217"/>
      <c r="C1103" s="217"/>
      <c r="D1103" s="217"/>
      <c r="E1103" s="217"/>
      <c r="F1103" s="217"/>
      <c r="G1103" s="218"/>
      <c r="H1103" s="217"/>
    </row>
    <row r="1104">
      <c r="A1104" s="217"/>
      <c r="B1104" s="217"/>
      <c r="C1104" s="217"/>
      <c r="D1104" s="217"/>
      <c r="E1104" s="217"/>
      <c r="F1104" s="217"/>
      <c r="G1104" s="218"/>
      <c r="H1104" s="217"/>
    </row>
    <row r="1105">
      <c r="A1105" s="217"/>
      <c r="B1105" s="217"/>
      <c r="C1105" s="217"/>
      <c r="D1105" s="217"/>
      <c r="E1105" s="217"/>
      <c r="F1105" s="217"/>
      <c r="G1105" s="218"/>
      <c r="H1105" s="217"/>
    </row>
    <row r="1106">
      <c r="A1106" s="217"/>
      <c r="B1106" s="217"/>
      <c r="C1106" s="217"/>
      <c r="D1106" s="217"/>
      <c r="E1106" s="217"/>
      <c r="F1106" s="217"/>
      <c r="G1106" s="218"/>
      <c r="H1106" s="217"/>
    </row>
    <row r="1107">
      <c r="A1107" s="217"/>
      <c r="B1107" s="217"/>
      <c r="C1107" s="217"/>
      <c r="D1107" s="217"/>
      <c r="E1107" s="217"/>
      <c r="F1107" s="217"/>
      <c r="G1107" s="218"/>
      <c r="H1107" s="217"/>
    </row>
    <row r="1108">
      <c r="A1108" s="217"/>
      <c r="B1108" s="217"/>
      <c r="C1108" s="217"/>
      <c r="D1108" s="217"/>
      <c r="E1108" s="217"/>
      <c r="F1108" s="217"/>
      <c r="G1108" s="218"/>
      <c r="H1108" s="217"/>
    </row>
    <row r="1109">
      <c r="A1109" s="217"/>
      <c r="B1109" s="217"/>
      <c r="C1109" s="217"/>
      <c r="D1109" s="217"/>
      <c r="E1109" s="217"/>
      <c r="F1109" s="217"/>
      <c r="G1109" s="218"/>
      <c r="H1109" s="217"/>
    </row>
    <row r="1110">
      <c r="A1110" s="217"/>
      <c r="B1110" s="217"/>
      <c r="C1110" s="217"/>
      <c r="D1110" s="217"/>
      <c r="E1110" s="217"/>
      <c r="F1110" s="217"/>
      <c r="G1110" s="218"/>
      <c r="H1110" s="217"/>
    </row>
    <row r="1111">
      <c r="A1111" s="217"/>
      <c r="B1111" s="217"/>
      <c r="C1111" s="217"/>
      <c r="D1111" s="217"/>
      <c r="E1111" s="217"/>
      <c r="F1111" s="217"/>
      <c r="G1111" s="218"/>
      <c r="H1111" s="217"/>
    </row>
    <row r="1112">
      <c r="A1112" s="217"/>
      <c r="B1112" s="217"/>
      <c r="C1112" s="217"/>
      <c r="D1112" s="217"/>
      <c r="E1112" s="217"/>
      <c r="F1112" s="217"/>
      <c r="G1112" s="218"/>
      <c r="H1112" s="217"/>
    </row>
    <row r="1113">
      <c r="A1113" s="217"/>
      <c r="B1113" s="217"/>
      <c r="C1113" s="217"/>
      <c r="D1113" s="217"/>
      <c r="E1113" s="217"/>
      <c r="F1113" s="217"/>
      <c r="G1113" s="218"/>
      <c r="H1113" s="217"/>
    </row>
    <row r="1114">
      <c r="A1114" s="217"/>
      <c r="B1114" s="217"/>
      <c r="C1114" s="217"/>
      <c r="D1114" s="217"/>
      <c r="E1114" s="217"/>
      <c r="F1114" s="217"/>
      <c r="G1114" s="218"/>
      <c r="H1114" s="217"/>
    </row>
    <row r="1115">
      <c r="A1115" s="217"/>
      <c r="B1115" s="217"/>
      <c r="C1115" s="217"/>
      <c r="D1115" s="217"/>
      <c r="E1115" s="217"/>
      <c r="F1115" s="217"/>
      <c r="G1115" s="218"/>
      <c r="H1115" s="217"/>
    </row>
    <row r="1116">
      <c r="A1116" s="217"/>
      <c r="B1116" s="217"/>
      <c r="C1116" s="217"/>
      <c r="D1116" s="217"/>
      <c r="E1116" s="217"/>
      <c r="F1116" s="217"/>
      <c r="G1116" s="218"/>
      <c r="H1116" s="217"/>
    </row>
    <row r="1117">
      <c r="A1117" s="217"/>
      <c r="B1117" s="217"/>
      <c r="C1117" s="217"/>
      <c r="D1117" s="217"/>
      <c r="E1117" s="217"/>
      <c r="F1117" s="217"/>
      <c r="G1117" s="218"/>
      <c r="H1117" s="217"/>
    </row>
    <row r="1118">
      <c r="A1118" s="217"/>
      <c r="B1118" s="217"/>
      <c r="C1118" s="217"/>
      <c r="D1118" s="217"/>
      <c r="E1118" s="217"/>
      <c r="F1118" s="217"/>
      <c r="G1118" s="218"/>
      <c r="H1118" s="217"/>
    </row>
    <row r="1119">
      <c r="A1119" s="217"/>
      <c r="B1119" s="217"/>
      <c r="C1119" s="217"/>
      <c r="D1119" s="217"/>
      <c r="E1119" s="217"/>
      <c r="F1119" s="217"/>
      <c r="G1119" s="218"/>
      <c r="H1119" s="217"/>
    </row>
    <row r="1120">
      <c r="A1120" s="217"/>
      <c r="B1120" s="217"/>
      <c r="C1120" s="217"/>
      <c r="D1120" s="217"/>
      <c r="E1120" s="217"/>
      <c r="F1120" s="217"/>
      <c r="G1120" s="218"/>
      <c r="H1120" s="217"/>
    </row>
    <row r="1121">
      <c r="A1121" s="217"/>
      <c r="B1121" s="217"/>
      <c r="C1121" s="217"/>
      <c r="D1121" s="217"/>
      <c r="E1121" s="217"/>
      <c r="F1121" s="217"/>
      <c r="G1121" s="218"/>
      <c r="H1121" s="217"/>
    </row>
    <row r="1122">
      <c r="A1122" s="217"/>
      <c r="B1122" s="217"/>
      <c r="C1122" s="217"/>
      <c r="D1122" s="217"/>
      <c r="E1122" s="217"/>
      <c r="F1122" s="217"/>
      <c r="G1122" s="218"/>
      <c r="H1122" s="217"/>
    </row>
    <row r="1123">
      <c r="A1123" s="217"/>
      <c r="B1123" s="217"/>
      <c r="C1123" s="217"/>
      <c r="D1123" s="217"/>
      <c r="E1123" s="217"/>
      <c r="F1123" s="217"/>
      <c r="G1123" s="218"/>
      <c r="H1123" s="217"/>
    </row>
    <row r="1124">
      <c r="A1124" s="217"/>
      <c r="B1124" s="217"/>
      <c r="C1124" s="217"/>
      <c r="D1124" s="217"/>
      <c r="E1124" s="217"/>
      <c r="F1124" s="217"/>
      <c r="G1124" s="218"/>
      <c r="H1124" s="217"/>
    </row>
    <row r="1125">
      <c r="A1125" s="217"/>
      <c r="B1125" s="217"/>
      <c r="C1125" s="217"/>
      <c r="D1125" s="217"/>
      <c r="E1125" s="217"/>
      <c r="F1125" s="217"/>
      <c r="G1125" s="218"/>
      <c r="H1125" s="217"/>
    </row>
    <row r="1126">
      <c r="A1126" s="217"/>
      <c r="B1126" s="217"/>
      <c r="C1126" s="217"/>
      <c r="D1126" s="217"/>
      <c r="E1126" s="217"/>
      <c r="F1126" s="217"/>
      <c r="G1126" s="218"/>
      <c r="H1126" s="217"/>
    </row>
    <row r="1127">
      <c r="A1127" s="217"/>
      <c r="B1127" s="217"/>
      <c r="C1127" s="217"/>
      <c r="D1127" s="217"/>
      <c r="E1127" s="217"/>
      <c r="F1127" s="217"/>
      <c r="G1127" s="218"/>
      <c r="H1127" s="217"/>
    </row>
    <row r="1128">
      <c r="A1128" s="217"/>
      <c r="B1128" s="217"/>
      <c r="C1128" s="217"/>
      <c r="D1128" s="217"/>
      <c r="E1128" s="217"/>
      <c r="F1128" s="217"/>
      <c r="G1128" s="218"/>
      <c r="H1128" s="217"/>
    </row>
    <row r="1129">
      <c r="A1129" s="217"/>
      <c r="B1129" s="217"/>
      <c r="C1129" s="217"/>
      <c r="D1129" s="217"/>
      <c r="E1129" s="217"/>
      <c r="F1129" s="217"/>
      <c r="G1129" s="218"/>
      <c r="H1129" s="217"/>
    </row>
    <row r="1130">
      <c r="A1130" s="217"/>
      <c r="B1130" s="217"/>
      <c r="C1130" s="217"/>
      <c r="D1130" s="217"/>
      <c r="E1130" s="217"/>
      <c r="F1130" s="217"/>
      <c r="G1130" s="218"/>
      <c r="H1130" s="217"/>
    </row>
    <row r="1131">
      <c r="A1131" s="217"/>
      <c r="B1131" s="217"/>
      <c r="C1131" s="217"/>
      <c r="D1131" s="217"/>
      <c r="E1131" s="217"/>
      <c r="F1131" s="217"/>
      <c r="G1131" s="218"/>
      <c r="H1131" s="217"/>
    </row>
    <row r="1132">
      <c r="A1132" s="217"/>
      <c r="B1132" s="217"/>
      <c r="C1132" s="217"/>
      <c r="D1132" s="217"/>
      <c r="E1132" s="217"/>
      <c r="F1132" s="217"/>
      <c r="G1132" s="218"/>
      <c r="H1132" s="217"/>
    </row>
    <row r="1133">
      <c r="A1133" s="217"/>
      <c r="B1133" s="217"/>
      <c r="C1133" s="217"/>
      <c r="D1133" s="217"/>
      <c r="E1133" s="217"/>
      <c r="F1133" s="217"/>
      <c r="G1133" s="218"/>
      <c r="H1133" s="217"/>
    </row>
    <row r="1134">
      <c r="A1134" s="217"/>
      <c r="B1134" s="217"/>
      <c r="C1134" s="217"/>
      <c r="D1134" s="217"/>
      <c r="E1134" s="217"/>
      <c r="F1134" s="217"/>
      <c r="G1134" s="218"/>
      <c r="H1134" s="217"/>
    </row>
    <row r="1135">
      <c r="A1135" s="217"/>
      <c r="B1135" s="217"/>
      <c r="C1135" s="217"/>
      <c r="D1135" s="217"/>
      <c r="E1135" s="217"/>
      <c r="F1135" s="217"/>
      <c r="G1135" s="218"/>
      <c r="H1135" s="217"/>
    </row>
    <row r="1136">
      <c r="A1136" s="217"/>
      <c r="B1136" s="217"/>
      <c r="C1136" s="217"/>
      <c r="D1136" s="217"/>
      <c r="E1136" s="217"/>
      <c r="F1136" s="217"/>
      <c r="G1136" s="218"/>
      <c r="H1136" s="217"/>
    </row>
    <row r="1137">
      <c r="A1137" s="217"/>
      <c r="B1137" s="217"/>
      <c r="C1137" s="217"/>
      <c r="D1137" s="217"/>
      <c r="E1137" s="217"/>
      <c r="F1137" s="217"/>
      <c r="G1137" s="218"/>
      <c r="H1137" s="217"/>
    </row>
    <row r="1138">
      <c r="A1138" s="217"/>
      <c r="B1138" s="217"/>
      <c r="C1138" s="217"/>
      <c r="D1138" s="217"/>
      <c r="E1138" s="217"/>
      <c r="F1138" s="217"/>
      <c r="G1138" s="218"/>
      <c r="H1138" s="217"/>
    </row>
    <row r="1139">
      <c r="A1139" s="217"/>
      <c r="B1139" s="217"/>
      <c r="C1139" s="217"/>
      <c r="D1139" s="217"/>
      <c r="E1139" s="217"/>
      <c r="F1139" s="217"/>
      <c r="G1139" s="218"/>
      <c r="H1139" s="217"/>
    </row>
    <row r="1140">
      <c r="A1140" s="217"/>
      <c r="B1140" s="217"/>
      <c r="C1140" s="217"/>
      <c r="D1140" s="217"/>
      <c r="E1140" s="217"/>
      <c r="F1140" s="217"/>
      <c r="G1140" s="218"/>
      <c r="H1140" s="217"/>
    </row>
    <row r="1141">
      <c r="A1141" s="217"/>
      <c r="B1141" s="217"/>
      <c r="C1141" s="217"/>
      <c r="D1141" s="217"/>
      <c r="E1141" s="217"/>
      <c r="F1141" s="217"/>
      <c r="G1141" s="218"/>
      <c r="H1141" s="217"/>
    </row>
    <row r="1142">
      <c r="A1142" s="217"/>
      <c r="B1142" s="217"/>
      <c r="C1142" s="217"/>
      <c r="D1142" s="217"/>
      <c r="E1142" s="217"/>
      <c r="F1142" s="217"/>
      <c r="G1142" s="218"/>
      <c r="H1142" s="217"/>
    </row>
    <row r="1143">
      <c r="A1143" s="217"/>
      <c r="B1143" s="217"/>
      <c r="C1143" s="217"/>
      <c r="D1143" s="217"/>
      <c r="E1143" s="217"/>
      <c r="F1143" s="217"/>
      <c r="G1143" s="218"/>
      <c r="H1143" s="217"/>
    </row>
    <row r="1144">
      <c r="A1144" s="217"/>
      <c r="B1144" s="217"/>
      <c r="C1144" s="217"/>
      <c r="D1144" s="217"/>
      <c r="E1144" s="217"/>
      <c r="F1144" s="217"/>
      <c r="G1144" s="218"/>
      <c r="H1144" s="217"/>
    </row>
    <row r="1145">
      <c r="A1145" s="217"/>
      <c r="B1145" s="217"/>
      <c r="C1145" s="217"/>
      <c r="D1145" s="217"/>
      <c r="E1145" s="217"/>
      <c r="F1145" s="217"/>
      <c r="G1145" s="218"/>
      <c r="H1145" s="217"/>
    </row>
    <row r="1146">
      <c r="A1146" s="217"/>
      <c r="B1146" s="217"/>
      <c r="C1146" s="217"/>
      <c r="D1146" s="217"/>
      <c r="E1146" s="217"/>
      <c r="F1146" s="217"/>
      <c r="G1146" s="218"/>
      <c r="H1146" s="217"/>
    </row>
    <row r="1147">
      <c r="A1147" s="217"/>
      <c r="B1147" s="217"/>
      <c r="C1147" s="217"/>
      <c r="D1147" s="217"/>
      <c r="E1147" s="217"/>
      <c r="F1147" s="217"/>
      <c r="G1147" s="218"/>
      <c r="H1147" s="217"/>
    </row>
    <row r="1148">
      <c r="A1148" s="217"/>
      <c r="B1148" s="217"/>
      <c r="C1148" s="217"/>
      <c r="D1148" s="217"/>
      <c r="E1148" s="217"/>
      <c r="F1148" s="217"/>
      <c r="G1148" s="218"/>
      <c r="H1148" s="217"/>
    </row>
    <row r="1149">
      <c r="A1149" s="217"/>
      <c r="B1149" s="217"/>
      <c r="C1149" s="217"/>
      <c r="D1149" s="217"/>
      <c r="E1149" s="217"/>
      <c r="F1149" s="217"/>
      <c r="G1149" s="218"/>
      <c r="H1149" s="217"/>
    </row>
    <row r="1150">
      <c r="A1150" s="217"/>
      <c r="B1150" s="217"/>
      <c r="C1150" s="217"/>
      <c r="D1150" s="217"/>
      <c r="E1150" s="217"/>
      <c r="F1150" s="217"/>
      <c r="G1150" s="218"/>
      <c r="H1150" s="217"/>
    </row>
    <row r="1151">
      <c r="A1151" s="217"/>
      <c r="B1151" s="217"/>
      <c r="C1151" s="217"/>
      <c r="D1151" s="217"/>
      <c r="E1151" s="217"/>
      <c r="F1151" s="217"/>
      <c r="G1151" s="218"/>
      <c r="H1151" s="217"/>
    </row>
    <row r="1152">
      <c r="A1152" s="217"/>
      <c r="B1152" s="217"/>
      <c r="C1152" s="217"/>
      <c r="D1152" s="217"/>
      <c r="E1152" s="217"/>
      <c r="F1152" s="217"/>
      <c r="G1152" s="218"/>
      <c r="H1152" s="217"/>
    </row>
    <row r="1153">
      <c r="A1153" s="217"/>
      <c r="B1153" s="217"/>
      <c r="C1153" s="217"/>
      <c r="D1153" s="217"/>
      <c r="E1153" s="217"/>
      <c r="F1153" s="217"/>
      <c r="G1153" s="218"/>
      <c r="H1153" s="217"/>
    </row>
    <row r="1154">
      <c r="A1154" s="217"/>
      <c r="B1154" s="217"/>
      <c r="C1154" s="217"/>
      <c r="D1154" s="217"/>
      <c r="E1154" s="217"/>
      <c r="F1154" s="217"/>
      <c r="G1154" s="218"/>
      <c r="H1154" s="217"/>
    </row>
    <row r="1155">
      <c r="A1155" s="217"/>
      <c r="B1155" s="217"/>
      <c r="C1155" s="217"/>
      <c r="D1155" s="217"/>
      <c r="E1155" s="217"/>
      <c r="F1155" s="217"/>
      <c r="G1155" s="218"/>
      <c r="H1155" s="217"/>
    </row>
    <row r="1156">
      <c r="A1156" s="217"/>
      <c r="B1156" s="217"/>
      <c r="C1156" s="217"/>
      <c r="D1156" s="217"/>
      <c r="E1156" s="217"/>
      <c r="F1156" s="217"/>
      <c r="G1156" s="218"/>
      <c r="H1156" s="217"/>
    </row>
    <row r="1157">
      <c r="A1157" s="217"/>
      <c r="B1157" s="217"/>
      <c r="C1157" s="217"/>
      <c r="D1157" s="217"/>
      <c r="E1157" s="217"/>
      <c r="F1157" s="217"/>
      <c r="G1157" s="218"/>
      <c r="H1157" s="217"/>
    </row>
    <row r="1158">
      <c r="A1158" s="217"/>
      <c r="B1158" s="217"/>
      <c r="C1158" s="217"/>
      <c r="D1158" s="217"/>
      <c r="E1158" s="217"/>
      <c r="F1158" s="217"/>
      <c r="G1158" s="218"/>
      <c r="H1158" s="217"/>
    </row>
    <row r="1159">
      <c r="A1159" s="217"/>
      <c r="B1159" s="217"/>
      <c r="C1159" s="217"/>
      <c r="D1159" s="217"/>
      <c r="E1159" s="217"/>
      <c r="F1159" s="217"/>
      <c r="G1159" s="218"/>
      <c r="H1159" s="217"/>
    </row>
    <row r="1160">
      <c r="A1160" s="217"/>
      <c r="B1160" s="217"/>
      <c r="C1160" s="217"/>
      <c r="D1160" s="217"/>
      <c r="E1160" s="217"/>
      <c r="F1160" s="217"/>
      <c r="G1160" s="218"/>
      <c r="H1160" s="217"/>
    </row>
    <row r="1161">
      <c r="A1161" s="217"/>
      <c r="B1161" s="217"/>
      <c r="C1161" s="217"/>
      <c r="D1161" s="217"/>
      <c r="E1161" s="217"/>
      <c r="F1161" s="217"/>
      <c r="G1161" s="218"/>
      <c r="H1161" s="217"/>
    </row>
    <row r="1162">
      <c r="A1162" s="217"/>
      <c r="B1162" s="217"/>
      <c r="C1162" s="217"/>
      <c r="D1162" s="217"/>
      <c r="E1162" s="217"/>
      <c r="F1162" s="217"/>
      <c r="G1162" s="218"/>
      <c r="H1162" s="217"/>
    </row>
    <row r="1163">
      <c r="A1163" s="217"/>
      <c r="B1163" s="217"/>
      <c r="C1163" s="217"/>
      <c r="D1163" s="217"/>
      <c r="E1163" s="217"/>
      <c r="F1163" s="217"/>
      <c r="G1163" s="218"/>
      <c r="H1163" s="217"/>
    </row>
    <row r="1164">
      <c r="A1164" s="217"/>
      <c r="B1164" s="217"/>
      <c r="C1164" s="217"/>
      <c r="D1164" s="217"/>
      <c r="E1164" s="217"/>
      <c r="F1164" s="217"/>
      <c r="G1164" s="218"/>
      <c r="H1164" s="217"/>
    </row>
    <row r="1165">
      <c r="A1165" s="217"/>
      <c r="B1165" s="217"/>
      <c r="C1165" s="217"/>
      <c r="D1165" s="217"/>
      <c r="E1165" s="217"/>
      <c r="F1165" s="217"/>
      <c r="G1165" s="218"/>
      <c r="H1165" s="217"/>
    </row>
    <row r="1166">
      <c r="A1166" s="217"/>
      <c r="B1166" s="217"/>
      <c r="C1166" s="217"/>
      <c r="D1166" s="217"/>
      <c r="E1166" s="217"/>
      <c r="F1166" s="217"/>
      <c r="G1166" s="218"/>
      <c r="H1166" s="217"/>
    </row>
    <row r="1167">
      <c r="A1167" s="217"/>
      <c r="B1167" s="217"/>
      <c r="C1167" s="217"/>
      <c r="D1167" s="217"/>
      <c r="E1167" s="217"/>
      <c r="F1167" s="217"/>
      <c r="G1167" s="218"/>
      <c r="H1167" s="217"/>
    </row>
    <row r="1168">
      <c r="A1168" s="217"/>
      <c r="B1168" s="217"/>
      <c r="C1168" s="217"/>
      <c r="D1168" s="217"/>
      <c r="E1168" s="217"/>
      <c r="F1168" s="217"/>
      <c r="G1168" s="218"/>
      <c r="H1168" s="217"/>
    </row>
    <row r="1169">
      <c r="A1169" s="217"/>
      <c r="B1169" s="217"/>
      <c r="C1169" s="217"/>
      <c r="D1169" s="217"/>
      <c r="E1169" s="217"/>
      <c r="F1169" s="217"/>
      <c r="G1169" s="218"/>
      <c r="H1169" s="217"/>
    </row>
    <row r="1170">
      <c r="A1170" s="217"/>
      <c r="B1170" s="217"/>
      <c r="C1170" s="217"/>
      <c r="D1170" s="217"/>
      <c r="E1170" s="217"/>
      <c r="F1170" s="217"/>
      <c r="G1170" s="218"/>
      <c r="H1170" s="217"/>
    </row>
    <row r="1171">
      <c r="A1171" s="217"/>
      <c r="B1171" s="217"/>
      <c r="C1171" s="217"/>
      <c r="D1171" s="217"/>
      <c r="E1171" s="217"/>
      <c r="F1171" s="217"/>
      <c r="G1171" s="218"/>
      <c r="H1171" s="217"/>
    </row>
    <row r="1172">
      <c r="A1172" s="217"/>
      <c r="B1172" s="217"/>
      <c r="C1172" s="217"/>
      <c r="D1172" s="217"/>
      <c r="E1172" s="217"/>
      <c r="F1172" s="217"/>
      <c r="G1172" s="218"/>
      <c r="H1172" s="217"/>
    </row>
    <row r="1173">
      <c r="A1173" s="217"/>
      <c r="B1173" s="217"/>
      <c r="C1173" s="217"/>
      <c r="D1173" s="217"/>
      <c r="E1173" s="217"/>
      <c r="F1173" s="217"/>
      <c r="G1173" s="218"/>
      <c r="H1173" s="217"/>
    </row>
    <row r="1174">
      <c r="A1174" s="217"/>
      <c r="B1174" s="217"/>
      <c r="C1174" s="217"/>
      <c r="D1174" s="217"/>
      <c r="E1174" s="217"/>
      <c r="F1174" s="217"/>
      <c r="G1174" s="218"/>
      <c r="H1174" s="217"/>
    </row>
    <row r="1175">
      <c r="A1175" s="217"/>
      <c r="B1175" s="217"/>
      <c r="C1175" s="217"/>
      <c r="D1175" s="217"/>
      <c r="E1175" s="217"/>
      <c r="F1175" s="217"/>
      <c r="G1175" s="218"/>
      <c r="H1175" s="217"/>
    </row>
    <row r="1176">
      <c r="A1176" s="217"/>
      <c r="B1176" s="217"/>
      <c r="C1176" s="217"/>
      <c r="D1176" s="217"/>
      <c r="E1176" s="217"/>
      <c r="F1176" s="217"/>
      <c r="G1176" s="218"/>
      <c r="H1176" s="217"/>
    </row>
    <row r="1177">
      <c r="A1177" s="217"/>
      <c r="B1177" s="217"/>
      <c r="C1177" s="217"/>
      <c r="D1177" s="217"/>
      <c r="E1177" s="217"/>
      <c r="F1177" s="217"/>
      <c r="G1177" s="218"/>
      <c r="H1177" s="217"/>
    </row>
    <row r="1178">
      <c r="A1178" s="217"/>
      <c r="B1178" s="217"/>
      <c r="C1178" s="217"/>
      <c r="D1178" s="217"/>
      <c r="E1178" s="217"/>
      <c r="F1178" s="217"/>
      <c r="G1178" s="218"/>
      <c r="H1178" s="217"/>
    </row>
    <row r="1179">
      <c r="A1179" s="217"/>
      <c r="B1179" s="217"/>
      <c r="C1179" s="217"/>
      <c r="D1179" s="217"/>
      <c r="E1179" s="217"/>
      <c r="F1179" s="217"/>
      <c r="G1179" s="218"/>
      <c r="H1179" s="217"/>
    </row>
    <row r="1180">
      <c r="A1180" s="217"/>
      <c r="B1180" s="217"/>
      <c r="C1180" s="217"/>
      <c r="D1180" s="217"/>
      <c r="E1180" s="217"/>
      <c r="F1180" s="217"/>
      <c r="G1180" s="218"/>
      <c r="H1180" s="217"/>
    </row>
    <row r="1181">
      <c r="A1181" s="217"/>
      <c r="B1181" s="217"/>
      <c r="C1181" s="217"/>
      <c r="D1181" s="217"/>
      <c r="E1181" s="217"/>
      <c r="F1181" s="217"/>
      <c r="G1181" s="218"/>
      <c r="H1181" s="217"/>
    </row>
    <row r="1182">
      <c r="A1182" s="217"/>
      <c r="B1182" s="217"/>
      <c r="C1182" s="217"/>
      <c r="D1182" s="217"/>
      <c r="E1182" s="217"/>
      <c r="F1182" s="217"/>
      <c r="G1182" s="218"/>
      <c r="H1182" s="217"/>
    </row>
    <row r="1183">
      <c r="A1183" s="217"/>
      <c r="B1183" s="217"/>
      <c r="C1183" s="217"/>
      <c r="D1183" s="217"/>
      <c r="E1183" s="217"/>
      <c r="F1183" s="217"/>
      <c r="G1183" s="218"/>
      <c r="H1183" s="217"/>
    </row>
    <row r="1184">
      <c r="A1184" s="217"/>
      <c r="B1184" s="217"/>
      <c r="C1184" s="217"/>
      <c r="D1184" s="217"/>
      <c r="E1184" s="217"/>
      <c r="F1184" s="217"/>
      <c r="G1184" s="218"/>
      <c r="H1184" s="217"/>
    </row>
    <row r="1185">
      <c r="A1185" s="217"/>
      <c r="B1185" s="217"/>
      <c r="C1185" s="217"/>
      <c r="D1185" s="217"/>
      <c r="E1185" s="217"/>
      <c r="F1185" s="217"/>
      <c r="G1185" s="218"/>
      <c r="H1185" s="217"/>
    </row>
    <row r="1186">
      <c r="A1186" s="217"/>
      <c r="B1186" s="217"/>
      <c r="C1186" s="217"/>
      <c r="D1186" s="217"/>
      <c r="E1186" s="217"/>
      <c r="F1186" s="217"/>
      <c r="G1186" s="218"/>
      <c r="H1186" s="217"/>
    </row>
    <row r="1187">
      <c r="A1187" s="217"/>
      <c r="B1187" s="217"/>
      <c r="C1187" s="217"/>
      <c r="D1187" s="217"/>
      <c r="E1187" s="217"/>
      <c r="F1187" s="217"/>
      <c r="G1187" s="218"/>
      <c r="H1187" s="217"/>
    </row>
    <row r="1188">
      <c r="A1188" s="217"/>
      <c r="B1188" s="217"/>
      <c r="C1188" s="217"/>
      <c r="D1188" s="217"/>
      <c r="E1188" s="217"/>
      <c r="F1188" s="217"/>
      <c r="G1188" s="218"/>
      <c r="H1188" s="217"/>
    </row>
    <row r="1189">
      <c r="A1189" s="217"/>
      <c r="B1189" s="217"/>
      <c r="C1189" s="217"/>
      <c r="D1189" s="217"/>
      <c r="E1189" s="217"/>
      <c r="F1189" s="217"/>
      <c r="G1189" s="218"/>
      <c r="H1189" s="217"/>
    </row>
    <row r="1190">
      <c r="A1190" s="217"/>
      <c r="B1190" s="217"/>
      <c r="C1190" s="217"/>
      <c r="D1190" s="217"/>
      <c r="E1190" s="217"/>
      <c r="F1190" s="217"/>
      <c r="G1190" s="218"/>
      <c r="H1190" s="217"/>
    </row>
    <row r="1191">
      <c r="A1191" s="217"/>
      <c r="B1191" s="217"/>
      <c r="C1191" s="217"/>
      <c r="D1191" s="217"/>
      <c r="E1191" s="217"/>
      <c r="F1191" s="217"/>
      <c r="G1191" s="218"/>
      <c r="H1191" s="217"/>
    </row>
    <row r="1192">
      <c r="A1192" s="217"/>
      <c r="B1192" s="217"/>
      <c r="C1192" s="217"/>
      <c r="D1192" s="217"/>
      <c r="E1192" s="217"/>
      <c r="F1192" s="217"/>
      <c r="G1192" s="218"/>
      <c r="H1192" s="217"/>
    </row>
    <row r="1193">
      <c r="A1193" s="217"/>
      <c r="B1193" s="217"/>
      <c r="C1193" s="217"/>
      <c r="D1193" s="217"/>
      <c r="E1193" s="217"/>
      <c r="F1193" s="217"/>
      <c r="G1193" s="218"/>
      <c r="H1193" s="217"/>
    </row>
    <row r="1194">
      <c r="A1194" s="217"/>
      <c r="B1194" s="217"/>
      <c r="C1194" s="217"/>
      <c r="D1194" s="217"/>
      <c r="E1194" s="217"/>
      <c r="F1194" s="217"/>
      <c r="G1194" s="218"/>
      <c r="H1194" s="217"/>
    </row>
    <row r="1195">
      <c r="A1195" s="217"/>
      <c r="B1195" s="217"/>
      <c r="C1195" s="217"/>
      <c r="D1195" s="217"/>
      <c r="E1195" s="217"/>
      <c r="F1195" s="217"/>
      <c r="G1195" s="218"/>
      <c r="H1195" s="217"/>
    </row>
    <row r="1196">
      <c r="A1196" s="217"/>
      <c r="B1196" s="217"/>
      <c r="C1196" s="217"/>
      <c r="D1196" s="217"/>
      <c r="E1196" s="217"/>
      <c r="F1196" s="217"/>
      <c r="G1196" s="218"/>
      <c r="H1196" s="217"/>
    </row>
    <row r="1197">
      <c r="A1197" s="217"/>
      <c r="B1197" s="217"/>
      <c r="C1197" s="217"/>
      <c r="D1197" s="217"/>
      <c r="E1197" s="217"/>
      <c r="F1197" s="217"/>
      <c r="G1197" s="218"/>
      <c r="H1197" s="217"/>
    </row>
    <row r="1198">
      <c r="A1198" s="217"/>
      <c r="B1198" s="217"/>
      <c r="C1198" s="217"/>
      <c r="D1198" s="217"/>
      <c r="E1198" s="217"/>
      <c r="F1198" s="217"/>
      <c r="G1198" s="218"/>
      <c r="H1198" s="217"/>
    </row>
    <row r="1199">
      <c r="A1199" s="217"/>
      <c r="B1199" s="217"/>
      <c r="C1199" s="217"/>
      <c r="D1199" s="217"/>
      <c r="E1199" s="217"/>
      <c r="F1199" s="217"/>
      <c r="G1199" s="218"/>
      <c r="H1199" s="217"/>
    </row>
    <row r="1200">
      <c r="A1200" s="217"/>
      <c r="B1200" s="217"/>
      <c r="C1200" s="217"/>
      <c r="D1200" s="217"/>
      <c r="E1200" s="217"/>
      <c r="F1200" s="217"/>
      <c r="G1200" s="218"/>
      <c r="H1200" s="217"/>
    </row>
    <row r="1201">
      <c r="A1201" s="217"/>
      <c r="B1201" s="217"/>
      <c r="C1201" s="217"/>
      <c r="D1201" s="217"/>
      <c r="E1201" s="217"/>
      <c r="F1201" s="217"/>
      <c r="G1201" s="218"/>
      <c r="H1201" s="217"/>
    </row>
    <row r="1202">
      <c r="A1202" s="217"/>
      <c r="B1202" s="217"/>
      <c r="C1202" s="217"/>
      <c r="D1202" s="217"/>
      <c r="E1202" s="217"/>
      <c r="F1202" s="217"/>
      <c r="G1202" s="218"/>
      <c r="H1202" s="217"/>
    </row>
    <row r="1203">
      <c r="A1203" s="217"/>
      <c r="B1203" s="217"/>
      <c r="C1203" s="217"/>
      <c r="D1203" s="217"/>
      <c r="E1203" s="217"/>
      <c r="F1203" s="217"/>
      <c r="G1203" s="218"/>
      <c r="H1203" s="217"/>
    </row>
    <row r="1204">
      <c r="A1204" s="217"/>
      <c r="B1204" s="217"/>
      <c r="C1204" s="217"/>
      <c r="D1204" s="217"/>
      <c r="E1204" s="217"/>
      <c r="F1204" s="217"/>
      <c r="G1204" s="218"/>
      <c r="H1204" s="217"/>
    </row>
    <row r="1205">
      <c r="A1205" s="217"/>
      <c r="B1205" s="217"/>
      <c r="C1205" s="217"/>
      <c r="D1205" s="217"/>
      <c r="E1205" s="217"/>
      <c r="F1205" s="217"/>
      <c r="G1205" s="218"/>
      <c r="H1205" s="217"/>
    </row>
    <row r="1206">
      <c r="A1206" s="217"/>
      <c r="B1206" s="217"/>
      <c r="C1206" s="217"/>
      <c r="D1206" s="217"/>
      <c r="E1206" s="217"/>
      <c r="F1206" s="217"/>
      <c r="G1206" s="218"/>
      <c r="H1206" s="217"/>
    </row>
    <row r="1207">
      <c r="A1207" s="217"/>
      <c r="B1207" s="217"/>
      <c r="C1207" s="217"/>
      <c r="D1207" s="217"/>
      <c r="E1207" s="217"/>
      <c r="F1207" s="217"/>
      <c r="G1207" s="218"/>
      <c r="H1207" s="217"/>
    </row>
    <row r="1208">
      <c r="A1208" s="217"/>
      <c r="B1208" s="217"/>
      <c r="C1208" s="217"/>
      <c r="D1208" s="217"/>
      <c r="E1208" s="217"/>
      <c r="F1208" s="217"/>
      <c r="G1208" s="218"/>
      <c r="H1208" s="217"/>
    </row>
    <row r="1209">
      <c r="A1209" s="217"/>
      <c r="B1209" s="217"/>
      <c r="C1209" s="217"/>
      <c r="D1209" s="217"/>
      <c r="E1209" s="217"/>
      <c r="F1209" s="217"/>
      <c r="G1209" s="218"/>
      <c r="H1209" s="217"/>
    </row>
    <row r="1210">
      <c r="A1210" s="217"/>
      <c r="B1210" s="217"/>
      <c r="C1210" s="217"/>
      <c r="D1210" s="217"/>
      <c r="E1210" s="217"/>
      <c r="F1210" s="217"/>
      <c r="G1210" s="218"/>
      <c r="H1210" s="217"/>
    </row>
    <row r="1211">
      <c r="A1211" s="217"/>
      <c r="B1211" s="217"/>
      <c r="C1211" s="217"/>
      <c r="D1211" s="217"/>
      <c r="E1211" s="217"/>
      <c r="F1211" s="217"/>
      <c r="G1211" s="218"/>
      <c r="H1211" s="217"/>
    </row>
    <row r="1212">
      <c r="A1212" s="217"/>
      <c r="B1212" s="217"/>
      <c r="C1212" s="217"/>
      <c r="D1212" s="217"/>
      <c r="E1212" s="217"/>
      <c r="F1212" s="217"/>
      <c r="G1212" s="218"/>
      <c r="H1212" s="217"/>
    </row>
    <row r="1213">
      <c r="A1213" s="217"/>
      <c r="B1213" s="217"/>
      <c r="C1213" s="217"/>
      <c r="D1213" s="217"/>
      <c r="E1213" s="217"/>
      <c r="F1213" s="217"/>
      <c r="G1213" s="218"/>
      <c r="H1213" s="217"/>
    </row>
    <row r="1214">
      <c r="A1214" s="217"/>
      <c r="B1214" s="217"/>
      <c r="C1214" s="217"/>
      <c r="D1214" s="217"/>
      <c r="E1214" s="217"/>
      <c r="F1214" s="217"/>
      <c r="G1214" s="218"/>
      <c r="H1214" s="217"/>
    </row>
    <row r="1215">
      <c r="A1215" s="217"/>
      <c r="B1215" s="217"/>
      <c r="C1215" s="217"/>
      <c r="D1215" s="217"/>
      <c r="E1215" s="217"/>
      <c r="F1215" s="217"/>
      <c r="G1215" s="218"/>
      <c r="H1215" s="217"/>
    </row>
    <row r="1216">
      <c r="A1216" s="217"/>
      <c r="B1216" s="217"/>
      <c r="C1216" s="217"/>
      <c r="D1216" s="217"/>
      <c r="E1216" s="217"/>
      <c r="F1216" s="217"/>
      <c r="G1216" s="218"/>
      <c r="H1216" s="217"/>
    </row>
    <row r="1217">
      <c r="A1217" s="217"/>
      <c r="B1217" s="217"/>
      <c r="C1217" s="217"/>
      <c r="D1217" s="217"/>
      <c r="E1217" s="217"/>
      <c r="F1217" s="217"/>
      <c r="G1217" s="218"/>
      <c r="H1217" s="217"/>
    </row>
    <row r="1218">
      <c r="A1218" s="217"/>
      <c r="B1218" s="217"/>
      <c r="C1218" s="217"/>
      <c r="D1218" s="217"/>
      <c r="E1218" s="217"/>
      <c r="F1218" s="217"/>
      <c r="G1218" s="218"/>
      <c r="H1218" s="217"/>
    </row>
    <row r="1219">
      <c r="A1219" s="217"/>
      <c r="B1219" s="217"/>
      <c r="C1219" s="217"/>
      <c r="D1219" s="217"/>
      <c r="E1219" s="217"/>
      <c r="F1219" s="217"/>
      <c r="G1219" s="218"/>
      <c r="H1219" s="217"/>
    </row>
    <row r="1220">
      <c r="A1220" s="217"/>
      <c r="B1220" s="217"/>
      <c r="C1220" s="217"/>
      <c r="D1220" s="217"/>
      <c r="E1220" s="217"/>
      <c r="F1220" s="217"/>
      <c r="G1220" s="218"/>
      <c r="H1220" s="217"/>
    </row>
    <row r="1221">
      <c r="A1221" s="217"/>
      <c r="B1221" s="217"/>
      <c r="C1221" s="217"/>
      <c r="D1221" s="217"/>
      <c r="E1221" s="217"/>
      <c r="F1221" s="217"/>
      <c r="G1221" s="218"/>
      <c r="H1221" s="217"/>
    </row>
    <row r="1222">
      <c r="A1222" s="217"/>
      <c r="B1222" s="217"/>
      <c r="C1222" s="217"/>
      <c r="D1222" s="217"/>
      <c r="E1222" s="217"/>
      <c r="F1222" s="217"/>
      <c r="G1222" s="218"/>
      <c r="H1222" s="217"/>
    </row>
    <row r="1223">
      <c r="A1223" s="217"/>
      <c r="B1223" s="217"/>
      <c r="C1223" s="217"/>
      <c r="D1223" s="217"/>
      <c r="E1223" s="217"/>
      <c r="F1223" s="217"/>
      <c r="G1223" s="218"/>
      <c r="H1223" s="217"/>
    </row>
    <row r="1224">
      <c r="A1224" s="217"/>
      <c r="B1224" s="217"/>
      <c r="C1224" s="217"/>
      <c r="D1224" s="217"/>
      <c r="E1224" s="217"/>
      <c r="F1224" s="217"/>
      <c r="G1224" s="218"/>
      <c r="H1224" s="217"/>
    </row>
    <row r="1225">
      <c r="A1225" s="217"/>
      <c r="B1225" s="217"/>
      <c r="C1225" s="217"/>
      <c r="D1225" s="217"/>
      <c r="E1225" s="217"/>
      <c r="F1225" s="217"/>
      <c r="G1225" s="218"/>
      <c r="H1225" s="217"/>
    </row>
    <row r="1226">
      <c r="A1226" s="217"/>
      <c r="B1226" s="217"/>
      <c r="C1226" s="217"/>
      <c r="D1226" s="217"/>
      <c r="E1226" s="217"/>
      <c r="F1226" s="217"/>
      <c r="G1226" s="218"/>
      <c r="H1226" s="217"/>
    </row>
    <row r="1227">
      <c r="A1227" s="217"/>
      <c r="B1227" s="217"/>
      <c r="C1227" s="217"/>
      <c r="D1227" s="217"/>
      <c r="E1227" s="217"/>
      <c r="F1227" s="217"/>
      <c r="G1227" s="218"/>
      <c r="H1227" s="217"/>
    </row>
    <row r="1228">
      <c r="A1228" s="217"/>
      <c r="B1228" s="217"/>
      <c r="C1228" s="217"/>
      <c r="D1228" s="217"/>
      <c r="E1228" s="217"/>
      <c r="F1228" s="217"/>
      <c r="G1228" s="218"/>
      <c r="H1228" s="217"/>
    </row>
    <row r="1229">
      <c r="A1229" s="217"/>
      <c r="B1229" s="217"/>
      <c r="C1229" s="217"/>
      <c r="D1229" s="217"/>
      <c r="E1229" s="217"/>
      <c r="F1229" s="217"/>
      <c r="G1229" s="218"/>
      <c r="H1229" s="217"/>
    </row>
    <row r="1230">
      <c r="A1230" s="217"/>
      <c r="B1230" s="217"/>
      <c r="C1230" s="217"/>
      <c r="D1230" s="217"/>
      <c r="E1230" s="217"/>
      <c r="F1230" s="217"/>
      <c r="G1230" s="218"/>
      <c r="H1230" s="217"/>
    </row>
    <row r="1231">
      <c r="A1231" s="217"/>
      <c r="B1231" s="217"/>
      <c r="C1231" s="217"/>
      <c r="D1231" s="217"/>
      <c r="E1231" s="217"/>
      <c r="F1231" s="217"/>
      <c r="G1231" s="218"/>
      <c r="H1231" s="217"/>
    </row>
    <row r="1232">
      <c r="A1232" s="217"/>
      <c r="B1232" s="217"/>
      <c r="C1232" s="217"/>
      <c r="D1232" s="217"/>
      <c r="E1232" s="217"/>
      <c r="F1232" s="217"/>
      <c r="G1232" s="218"/>
      <c r="H1232" s="217"/>
    </row>
    <row r="1233">
      <c r="A1233" s="217"/>
      <c r="B1233" s="217"/>
      <c r="C1233" s="217"/>
      <c r="D1233" s="217"/>
      <c r="E1233" s="217"/>
      <c r="F1233" s="217"/>
      <c r="G1233" s="218"/>
      <c r="H1233" s="217"/>
    </row>
    <row r="1234">
      <c r="A1234" s="217"/>
      <c r="B1234" s="217"/>
      <c r="C1234" s="217"/>
      <c r="D1234" s="217"/>
      <c r="E1234" s="217"/>
      <c r="F1234" s="217"/>
      <c r="G1234" s="218"/>
      <c r="H1234" s="217"/>
    </row>
    <row r="1235">
      <c r="A1235" s="217"/>
      <c r="B1235" s="217"/>
      <c r="C1235" s="217"/>
      <c r="D1235" s="217"/>
      <c r="E1235" s="217"/>
      <c r="F1235" s="217"/>
      <c r="G1235" s="218"/>
      <c r="H1235" s="217"/>
    </row>
    <row r="1236">
      <c r="A1236" s="217"/>
      <c r="B1236" s="217"/>
      <c r="C1236" s="217"/>
      <c r="D1236" s="217"/>
      <c r="E1236" s="217"/>
      <c r="F1236" s="217"/>
      <c r="G1236" s="218"/>
      <c r="H1236" s="217"/>
    </row>
    <row r="1237">
      <c r="A1237" s="217"/>
      <c r="B1237" s="217"/>
      <c r="C1237" s="217"/>
      <c r="D1237" s="217"/>
      <c r="E1237" s="217"/>
      <c r="F1237" s="217"/>
      <c r="G1237" s="218"/>
      <c r="H1237" s="217"/>
    </row>
    <row r="1238">
      <c r="A1238" s="217"/>
      <c r="B1238" s="217"/>
      <c r="C1238" s="217"/>
      <c r="D1238" s="217"/>
      <c r="E1238" s="217"/>
      <c r="F1238" s="217"/>
      <c r="G1238" s="218"/>
      <c r="H1238" s="217"/>
    </row>
    <row r="1239">
      <c r="A1239" s="217"/>
      <c r="B1239" s="217"/>
      <c r="C1239" s="217"/>
      <c r="D1239" s="217"/>
      <c r="E1239" s="217"/>
      <c r="F1239" s="217"/>
      <c r="G1239" s="218"/>
      <c r="H1239" s="217"/>
    </row>
    <row r="1240">
      <c r="A1240" s="217"/>
      <c r="B1240" s="217"/>
      <c r="C1240" s="217"/>
      <c r="D1240" s="217"/>
      <c r="E1240" s="217"/>
      <c r="F1240" s="217"/>
      <c r="G1240" s="218"/>
      <c r="H1240" s="217"/>
    </row>
    <row r="1241">
      <c r="A1241" s="217"/>
      <c r="B1241" s="217"/>
      <c r="C1241" s="217"/>
      <c r="D1241" s="217"/>
      <c r="E1241" s="217"/>
      <c r="F1241" s="217"/>
      <c r="G1241" s="218"/>
      <c r="H1241" s="217"/>
    </row>
    <row r="1242">
      <c r="A1242" s="217"/>
      <c r="B1242" s="217"/>
      <c r="C1242" s="217"/>
      <c r="D1242" s="217"/>
      <c r="E1242" s="217"/>
      <c r="F1242" s="217"/>
      <c r="G1242" s="218"/>
      <c r="H1242" s="217"/>
    </row>
    <row r="1243">
      <c r="A1243" s="217"/>
      <c r="B1243" s="217"/>
      <c r="C1243" s="217"/>
      <c r="D1243" s="217"/>
      <c r="E1243" s="217"/>
      <c r="F1243" s="217"/>
      <c r="G1243" s="218"/>
      <c r="H1243" s="217"/>
    </row>
    <row r="1244">
      <c r="A1244" s="217"/>
      <c r="B1244" s="217"/>
      <c r="C1244" s="217"/>
      <c r="D1244" s="217"/>
      <c r="E1244" s="217"/>
      <c r="F1244" s="217"/>
      <c r="G1244" s="218"/>
      <c r="H1244" s="217"/>
    </row>
    <row r="1245">
      <c r="A1245" s="217"/>
      <c r="B1245" s="217"/>
      <c r="C1245" s="217"/>
      <c r="D1245" s="217"/>
      <c r="E1245" s="217"/>
      <c r="F1245" s="217"/>
      <c r="G1245" s="218"/>
      <c r="H1245" s="217"/>
    </row>
    <row r="1246">
      <c r="A1246" s="217"/>
      <c r="B1246" s="217"/>
      <c r="C1246" s="217"/>
      <c r="D1246" s="217"/>
      <c r="E1246" s="217"/>
      <c r="F1246" s="217"/>
      <c r="G1246" s="218"/>
      <c r="H1246" s="217"/>
    </row>
    <row r="1247">
      <c r="A1247" s="217"/>
      <c r="B1247" s="217"/>
      <c r="C1247" s="217"/>
      <c r="D1247" s="217"/>
      <c r="E1247" s="217"/>
      <c r="F1247" s="217"/>
      <c r="G1247" s="218"/>
      <c r="H1247" s="217"/>
    </row>
    <row r="1248">
      <c r="A1248" s="217"/>
      <c r="B1248" s="217"/>
      <c r="C1248" s="217"/>
      <c r="D1248" s="217"/>
      <c r="E1248" s="217"/>
      <c r="F1248" s="217"/>
      <c r="G1248" s="218"/>
      <c r="H1248" s="217"/>
    </row>
    <row r="1249">
      <c r="A1249" s="217"/>
      <c r="B1249" s="217"/>
      <c r="C1249" s="217"/>
      <c r="D1249" s="217"/>
      <c r="E1249" s="217"/>
      <c r="F1249" s="217"/>
      <c r="G1249" s="218"/>
      <c r="H1249" s="217"/>
    </row>
    <row r="1250">
      <c r="A1250" s="217"/>
      <c r="B1250" s="217"/>
      <c r="C1250" s="217"/>
      <c r="D1250" s="217"/>
      <c r="E1250" s="217"/>
      <c r="F1250" s="217"/>
      <c r="G1250" s="218"/>
      <c r="H1250" s="217"/>
    </row>
    <row r="1251">
      <c r="A1251" s="217"/>
      <c r="B1251" s="217"/>
      <c r="C1251" s="217"/>
      <c r="D1251" s="217"/>
      <c r="E1251" s="217"/>
      <c r="F1251" s="217"/>
      <c r="G1251" s="218"/>
      <c r="H1251" s="217"/>
    </row>
    <row r="1252">
      <c r="A1252" s="217"/>
      <c r="B1252" s="217"/>
      <c r="C1252" s="217"/>
      <c r="D1252" s="217"/>
      <c r="E1252" s="217"/>
      <c r="F1252" s="217"/>
      <c r="G1252" s="218"/>
      <c r="H1252" s="217"/>
    </row>
    <row r="1253">
      <c r="A1253" s="217"/>
      <c r="B1253" s="217"/>
      <c r="C1253" s="217"/>
      <c r="D1253" s="217"/>
      <c r="E1253" s="217"/>
      <c r="F1253" s="217"/>
      <c r="G1253" s="218"/>
      <c r="H1253" s="217"/>
    </row>
    <row r="1254">
      <c r="A1254" s="217"/>
      <c r="B1254" s="217"/>
      <c r="C1254" s="217"/>
      <c r="D1254" s="217"/>
      <c r="E1254" s="217"/>
      <c r="F1254" s="217"/>
      <c r="G1254" s="218"/>
      <c r="H1254" s="217"/>
    </row>
    <row r="1255">
      <c r="A1255" s="217"/>
      <c r="B1255" s="217"/>
      <c r="C1255" s="217"/>
      <c r="D1255" s="217"/>
      <c r="E1255" s="217"/>
      <c r="F1255" s="217"/>
      <c r="G1255" s="218"/>
      <c r="H1255" s="217"/>
    </row>
    <row r="1256">
      <c r="A1256" s="217"/>
      <c r="B1256" s="217"/>
      <c r="C1256" s="217"/>
      <c r="D1256" s="217"/>
      <c r="E1256" s="217"/>
      <c r="F1256" s="217"/>
      <c r="G1256" s="218"/>
      <c r="H1256" s="217"/>
    </row>
    <row r="1257">
      <c r="A1257" s="217"/>
      <c r="B1257" s="217"/>
      <c r="C1257" s="217"/>
      <c r="D1257" s="217"/>
      <c r="E1257" s="217"/>
      <c r="F1257" s="217"/>
      <c r="G1257" s="218"/>
      <c r="H1257" s="217"/>
    </row>
    <row r="1258">
      <c r="A1258" s="217"/>
      <c r="B1258" s="217"/>
      <c r="C1258" s="217"/>
      <c r="D1258" s="217"/>
      <c r="E1258" s="217"/>
      <c r="F1258" s="217"/>
      <c r="G1258" s="218"/>
      <c r="H1258" s="217"/>
    </row>
    <row r="1259">
      <c r="A1259" s="217"/>
      <c r="B1259" s="217"/>
      <c r="C1259" s="217"/>
      <c r="D1259" s="217"/>
      <c r="E1259" s="217"/>
      <c r="F1259" s="217"/>
      <c r="G1259" s="218"/>
      <c r="H1259" s="217"/>
    </row>
    <row r="1260">
      <c r="A1260" s="217"/>
      <c r="B1260" s="217"/>
      <c r="C1260" s="217"/>
      <c r="D1260" s="217"/>
      <c r="E1260" s="217"/>
      <c r="F1260" s="217"/>
      <c r="G1260" s="218"/>
      <c r="H1260" s="217"/>
    </row>
    <row r="1261">
      <c r="A1261" s="217"/>
      <c r="B1261" s="217"/>
      <c r="C1261" s="217"/>
      <c r="D1261" s="217"/>
      <c r="E1261" s="217"/>
      <c r="F1261" s="217"/>
      <c r="G1261" s="218"/>
      <c r="H1261" s="217"/>
    </row>
    <row r="1262">
      <c r="A1262" s="217"/>
      <c r="B1262" s="217"/>
      <c r="C1262" s="217"/>
      <c r="D1262" s="217"/>
      <c r="E1262" s="217"/>
      <c r="F1262" s="217"/>
      <c r="G1262" s="218"/>
      <c r="H1262" s="217"/>
    </row>
    <row r="1263">
      <c r="A1263" s="217"/>
      <c r="B1263" s="217"/>
      <c r="C1263" s="217"/>
      <c r="D1263" s="217"/>
      <c r="E1263" s="217"/>
      <c r="F1263" s="217"/>
      <c r="G1263" s="218"/>
      <c r="H1263" s="217"/>
    </row>
    <row r="1264">
      <c r="A1264" s="217"/>
      <c r="B1264" s="217"/>
      <c r="C1264" s="217"/>
      <c r="D1264" s="217"/>
      <c r="E1264" s="217"/>
      <c r="F1264" s="217"/>
      <c r="G1264" s="218"/>
      <c r="H1264" s="217"/>
    </row>
    <row r="1265">
      <c r="A1265" s="217"/>
      <c r="B1265" s="217"/>
      <c r="C1265" s="217"/>
      <c r="D1265" s="217"/>
      <c r="E1265" s="217"/>
      <c r="F1265" s="217"/>
      <c r="G1265" s="218"/>
      <c r="H1265" s="217"/>
    </row>
    <row r="1266">
      <c r="A1266" s="217"/>
      <c r="B1266" s="217"/>
      <c r="C1266" s="217"/>
      <c r="D1266" s="217"/>
      <c r="E1266" s="217"/>
      <c r="F1266" s="217"/>
      <c r="G1266" s="218"/>
      <c r="H1266" s="217"/>
    </row>
    <row r="1267">
      <c r="A1267" s="217"/>
      <c r="B1267" s="217"/>
      <c r="C1267" s="217"/>
      <c r="D1267" s="217"/>
      <c r="E1267" s="217"/>
      <c r="F1267" s="217"/>
      <c r="G1267" s="218"/>
      <c r="H1267" s="217"/>
    </row>
    <row r="1268">
      <c r="A1268" s="217"/>
      <c r="B1268" s="217"/>
      <c r="C1268" s="217"/>
      <c r="D1268" s="217"/>
      <c r="E1268" s="217"/>
      <c r="F1268" s="217"/>
      <c r="G1268" s="218"/>
      <c r="H1268" s="217"/>
    </row>
    <row r="1269">
      <c r="A1269" s="217"/>
      <c r="B1269" s="217"/>
      <c r="C1269" s="217"/>
      <c r="D1269" s="217"/>
      <c r="E1269" s="217"/>
      <c r="F1269" s="217"/>
      <c r="G1269" s="218"/>
      <c r="H1269" s="217"/>
    </row>
    <row r="1270">
      <c r="A1270" s="217"/>
      <c r="B1270" s="217"/>
      <c r="C1270" s="217"/>
      <c r="D1270" s="217"/>
      <c r="E1270" s="217"/>
      <c r="F1270" s="217"/>
      <c r="G1270" s="218"/>
      <c r="H1270" s="217"/>
    </row>
    <row r="1271">
      <c r="A1271" s="217"/>
      <c r="B1271" s="217"/>
      <c r="C1271" s="217"/>
      <c r="D1271" s="217"/>
      <c r="E1271" s="217"/>
      <c r="F1271" s="217"/>
      <c r="G1271" s="218"/>
      <c r="H1271" s="217"/>
    </row>
    <row r="1272">
      <c r="A1272" s="217"/>
      <c r="B1272" s="217"/>
      <c r="C1272" s="217"/>
      <c r="D1272" s="217"/>
      <c r="E1272" s="217"/>
      <c r="F1272" s="217"/>
      <c r="G1272" s="218"/>
      <c r="H1272" s="217"/>
    </row>
    <row r="1273">
      <c r="A1273" s="217"/>
      <c r="B1273" s="217"/>
      <c r="C1273" s="217"/>
      <c r="D1273" s="217"/>
      <c r="E1273" s="217"/>
      <c r="F1273" s="217"/>
      <c r="G1273" s="218"/>
      <c r="H1273" s="217"/>
    </row>
    <row r="1274">
      <c r="A1274" s="217"/>
      <c r="B1274" s="217"/>
      <c r="C1274" s="217"/>
      <c r="D1274" s="217"/>
      <c r="E1274" s="217"/>
      <c r="F1274" s="217"/>
      <c r="G1274" s="218"/>
      <c r="H1274" s="217"/>
    </row>
    <row r="1275">
      <c r="A1275" s="217"/>
      <c r="B1275" s="217"/>
      <c r="C1275" s="217"/>
      <c r="D1275" s="217"/>
      <c r="E1275" s="217"/>
      <c r="F1275" s="217"/>
      <c r="G1275" s="218"/>
      <c r="H1275" s="217"/>
    </row>
    <row r="1276">
      <c r="A1276" s="217"/>
      <c r="B1276" s="217"/>
      <c r="C1276" s="217"/>
      <c r="D1276" s="217"/>
      <c r="E1276" s="217"/>
      <c r="F1276" s="217"/>
      <c r="G1276" s="218"/>
      <c r="H1276" s="217"/>
    </row>
    <row r="1277">
      <c r="A1277" s="217"/>
      <c r="B1277" s="217"/>
      <c r="C1277" s="217"/>
      <c r="D1277" s="217"/>
      <c r="E1277" s="217"/>
      <c r="F1277" s="217"/>
      <c r="G1277" s="218"/>
      <c r="H1277" s="217"/>
    </row>
    <row r="1278">
      <c r="A1278" s="217"/>
      <c r="B1278" s="217"/>
      <c r="C1278" s="217"/>
      <c r="D1278" s="217"/>
      <c r="E1278" s="217"/>
      <c r="F1278" s="217"/>
      <c r="G1278" s="218"/>
      <c r="H1278" s="217"/>
    </row>
    <row r="1279">
      <c r="A1279" s="217"/>
      <c r="B1279" s="217"/>
      <c r="C1279" s="217"/>
      <c r="D1279" s="217"/>
      <c r="E1279" s="217"/>
      <c r="F1279" s="217"/>
      <c r="G1279" s="218"/>
      <c r="H1279" s="217"/>
    </row>
    <row r="1280">
      <c r="A1280" s="217"/>
      <c r="B1280" s="217"/>
      <c r="C1280" s="217"/>
      <c r="D1280" s="217"/>
      <c r="E1280" s="217"/>
      <c r="F1280" s="217"/>
      <c r="G1280" s="218"/>
      <c r="H1280" s="217"/>
    </row>
    <row r="1281">
      <c r="A1281" s="217"/>
      <c r="B1281" s="217"/>
      <c r="C1281" s="217"/>
      <c r="D1281" s="217"/>
      <c r="E1281" s="217"/>
      <c r="F1281" s="217"/>
      <c r="G1281" s="218"/>
      <c r="H1281" s="217"/>
    </row>
    <row r="1282">
      <c r="A1282" s="217"/>
      <c r="B1282" s="217"/>
      <c r="C1282" s="217"/>
      <c r="D1282" s="217"/>
      <c r="E1282" s="217"/>
      <c r="F1282" s="217"/>
      <c r="G1282" s="218"/>
      <c r="H1282" s="217"/>
    </row>
    <row r="1283">
      <c r="A1283" s="217"/>
      <c r="B1283" s="217"/>
      <c r="C1283" s="217"/>
      <c r="D1283" s="217"/>
      <c r="E1283" s="217"/>
      <c r="F1283" s="217"/>
      <c r="G1283" s="218"/>
      <c r="H1283" s="217"/>
    </row>
    <row r="1284">
      <c r="A1284" s="217"/>
      <c r="B1284" s="217"/>
      <c r="C1284" s="217"/>
      <c r="D1284" s="217"/>
      <c r="E1284" s="217"/>
      <c r="F1284" s="217"/>
      <c r="G1284" s="218"/>
      <c r="H1284" s="217"/>
    </row>
    <row r="1285">
      <c r="A1285" s="217"/>
      <c r="B1285" s="217"/>
      <c r="C1285" s="217"/>
      <c r="D1285" s="217"/>
      <c r="E1285" s="217"/>
      <c r="F1285" s="217"/>
      <c r="G1285" s="218"/>
      <c r="H1285" s="217"/>
    </row>
    <row r="1286">
      <c r="A1286" s="217"/>
      <c r="B1286" s="217"/>
      <c r="C1286" s="217"/>
      <c r="D1286" s="217"/>
      <c r="E1286" s="217"/>
      <c r="F1286" s="217"/>
      <c r="G1286" s="218"/>
      <c r="H1286" s="217"/>
    </row>
    <row r="1287">
      <c r="A1287" s="217"/>
      <c r="B1287" s="217"/>
      <c r="C1287" s="217"/>
      <c r="D1287" s="217"/>
      <c r="E1287" s="217"/>
      <c r="F1287" s="217"/>
      <c r="G1287" s="218"/>
      <c r="H1287" s="217"/>
    </row>
    <row r="1288">
      <c r="A1288" s="217"/>
      <c r="B1288" s="217"/>
      <c r="C1288" s="217"/>
      <c r="D1288" s="217"/>
      <c r="E1288" s="217"/>
      <c r="F1288" s="217"/>
      <c r="G1288" s="218"/>
      <c r="H1288" s="217"/>
    </row>
    <row r="1289">
      <c r="A1289" s="217"/>
      <c r="B1289" s="217"/>
      <c r="C1289" s="217"/>
      <c r="D1289" s="217"/>
      <c r="E1289" s="217"/>
      <c r="F1289" s="217"/>
      <c r="G1289" s="218"/>
      <c r="H1289" s="217"/>
    </row>
    <row r="1290">
      <c r="A1290" s="217"/>
      <c r="B1290" s="217"/>
      <c r="C1290" s="217"/>
      <c r="D1290" s="217"/>
      <c r="E1290" s="217"/>
      <c r="F1290" s="217"/>
      <c r="G1290" s="218"/>
      <c r="H1290" s="217"/>
    </row>
    <row r="1291">
      <c r="A1291" s="217"/>
      <c r="B1291" s="217"/>
      <c r="C1291" s="217"/>
      <c r="D1291" s="217"/>
      <c r="E1291" s="217"/>
      <c r="F1291" s="217"/>
      <c r="G1291" s="218"/>
      <c r="H1291" s="217"/>
    </row>
    <row r="1292">
      <c r="A1292" s="217"/>
      <c r="B1292" s="217"/>
      <c r="C1292" s="217"/>
      <c r="D1292" s="217"/>
      <c r="E1292" s="217"/>
      <c r="F1292" s="217"/>
      <c r="G1292" s="218"/>
      <c r="H1292" s="217"/>
    </row>
    <row r="1293">
      <c r="A1293" s="217"/>
      <c r="B1293" s="217"/>
      <c r="C1293" s="217"/>
      <c r="D1293" s="217"/>
      <c r="E1293" s="217"/>
      <c r="F1293" s="217"/>
      <c r="G1293" s="218"/>
      <c r="H1293" s="217"/>
    </row>
    <row r="1294">
      <c r="A1294" s="217"/>
      <c r="B1294" s="217"/>
      <c r="C1294" s="217"/>
      <c r="D1294" s="217"/>
      <c r="E1294" s="217"/>
      <c r="F1294" s="217"/>
      <c r="G1294" s="218"/>
      <c r="H1294" s="217"/>
    </row>
    <row r="1295">
      <c r="A1295" s="217"/>
      <c r="B1295" s="217"/>
      <c r="C1295" s="217"/>
      <c r="D1295" s="217"/>
      <c r="E1295" s="217"/>
      <c r="F1295" s="217"/>
      <c r="G1295" s="218"/>
      <c r="H1295" s="217"/>
    </row>
    <row r="1296">
      <c r="A1296" s="217"/>
      <c r="B1296" s="217"/>
      <c r="C1296" s="217"/>
      <c r="D1296" s="217"/>
      <c r="E1296" s="217"/>
      <c r="F1296" s="217"/>
      <c r="G1296" s="218"/>
      <c r="H1296" s="217"/>
    </row>
    <row r="1297">
      <c r="A1297" s="217"/>
      <c r="B1297" s="217"/>
      <c r="C1297" s="217"/>
      <c r="D1297" s="217"/>
      <c r="E1297" s="217"/>
      <c r="F1297" s="217"/>
      <c r="G1297" s="218"/>
      <c r="H1297" s="217"/>
    </row>
    <row r="1298">
      <c r="A1298" s="217"/>
      <c r="B1298" s="217"/>
      <c r="C1298" s="217"/>
      <c r="D1298" s="217"/>
      <c r="E1298" s="217"/>
      <c r="F1298" s="217"/>
      <c r="G1298" s="218"/>
      <c r="H1298" s="217"/>
    </row>
    <row r="1299">
      <c r="A1299" s="217"/>
      <c r="B1299" s="217"/>
      <c r="C1299" s="217"/>
      <c r="D1299" s="217"/>
      <c r="E1299" s="217"/>
      <c r="F1299" s="217"/>
      <c r="G1299" s="218"/>
      <c r="H1299" s="217"/>
    </row>
    <row r="1300">
      <c r="A1300" s="217"/>
      <c r="B1300" s="217"/>
      <c r="C1300" s="217"/>
      <c r="D1300" s="217"/>
      <c r="E1300" s="217"/>
      <c r="F1300" s="217"/>
      <c r="G1300" s="218"/>
      <c r="H1300" s="217"/>
    </row>
    <row r="1301">
      <c r="A1301" s="217"/>
      <c r="B1301" s="217"/>
      <c r="C1301" s="217"/>
      <c r="D1301" s="217"/>
      <c r="E1301" s="217"/>
      <c r="F1301" s="217"/>
      <c r="G1301" s="218"/>
      <c r="H1301" s="217"/>
    </row>
    <row r="1302">
      <c r="A1302" s="217"/>
      <c r="B1302" s="217"/>
      <c r="C1302" s="217"/>
      <c r="D1302" s="217"/>
      <c r="E1302" s="217"/>
      <c r="F1302" s="217"/>
      <c r="G1302" s="218"/>
      <c r="H1302" s="217"/>
    </row>
    <row r="1303">
      <c r="A1303" s="217"/>
      <c r="B1303" s="217"/>
      <c r="C1303" s="217"/>
      <c r="D1303" s="217"/>
      <c r="E1303" s="217"/>
      <c r="F1303" s="217"/>
      <c r="G1303" s="218"/>
      <c r="H1303" s="217"/>
    </row>
    <row r="1304">
      <c r="A1304" s="217"/>
      <c r="B1304" s="217"/>
      <c r="C1304" s="217"/>
      <c r="D1304" s="217"/>
      <c r="E1304" s="217"/>
      <c r="F1304" s="217"/>
      <c r="G1304" s="218"/>
      <c r="H1304" s="217"/>
    </row>
    <row r="1305">
      <c r="A1305" s="217"/>
      <c r="B1305" s="217"/>
      <c r="C1305" s="217"/>
      <c r="D1305" s="217"/>
      <c r="E1305" s="217"/>
      <c r="F1305" s="217"/>
      <c r="G1305" s="218"/>
      <c r="H1305" s="217"/>
    </row>
    <row r="1306">
      <c r="A1306" s="217"/>
      <c r="B1306" s="217"/>
      <c r="C1306" s="217"/>
      <c r="D1306" s="217"/>
      <c r="E1306" s="217"/>
      <c r="F1306" s="217"/>
      <c r="G1306" s="218"/>
      <c r="H1306" s="217"/>
    </row>
    <row r="1307">
      <c r="A1307" s="217"/>
      <c r="B1307" s="217"/>
      <c r="C1307" s="217"/>
      <c r="D1307" s="217"/>
      <c r="E1307" s="217"/>
      <c r="F1307" s="217"/>
      <c r="G1307" s="218"/>
      <c r="H1307" s="217"/>
    </row>
    <row r="1308">
      <c r="A1308" s="217"/>
      <c r="B1308" s="217"/>
      <c r="C1308" s="217"/>
      <c r="D1308" s="217"/>
      <c r="E1308" s="217"/>
      <c r="F1308" s="217"/>
      <c r="G1308" s="218"/>
      <c r="H1308" s="217"/>
    </row>
    <row r="1309">
      <c r="A1309" s="217"/>
      <c r="B1309" s="217"/>
      <c r="C1309" s="217"/>
      <c r="D1309" s="217"/>
      <c r="E1309" s="217"/>
      <c r="F1309" s="217"/>
      <c r="G1309" s="218"/>
      <c r="H1309" s="217"/>
    </row>
    <row r="1310">
      <c r="A1310" s="217"/>
      <c r="B1310" s="217"/>
      <c r="C1310" s="217"/>
      <c r="D1310" s="217"/>
      <c r="E1310" s="217"/>
      <c r="F1310" s="217"/>
      <c r="G1310" s="218"/>
      <c r="H1310" s="217"/>
    </row>
    <row r="1311">
      <c r="A1311" s="217"/>
      <c r="B1311" s="217"/>
      <c r="C1311" s="217"/>
      <c r="D1311" s="217"/>
      <c r="E1311" s="217"/>
      <c r="F1311" s="217"/>
      <c r="G1311" s="218"/>
      <c r="H1311" s="217"/>
    </row>
    <row r="1312">
      <c r="A1312" s="217"/>
      <c r="B1312" s="217"/>
      <c r="C1312" s="217"/>
      <c r="D1312" s="217"/>
      <c r="E1312" s="217"/>
      <c r="F1312" s="217"/>
      <c r="G1312" s="218"/>
      <c r="H1312" s="217"/>
    </row>
    <row r="1313">
      <c r="A1313" s="217"/>
      <c r="B1313" s="217"/>
      <c r="C1313" s="217"/>
      <c r="D1313" s="217"/>
      <c r="E1313" s="217"/>
      <c r="F1313" s="217"/>
      <c r="G1313" s="218"/>
      <c r="H1313" s="217"/>
    </row>
    <row r="1314">
      <c r="A1314" s="217"/>
      <c r="B1314" s="217"/>
      <c r="C1314" s="217"/>
      <c r="D1314" s="217"/>
      <c r="E1314" s="217"/>
      <c r="F1314" s="217"/>
      <c r="G1314" s="218"/>
      <c r="H1314" s="217"/>
    </row>
    <row r="1315">
      <c r="A1315" s="217"/>
      <c r="B1315" s="217"/>
      <c r="C1315" s="217"/>
      <c r="D1315" s="217"/>
      <c r="E1315" s="217"/>
      <c r="F1315" s="217"/>
      <c r="G1315" s="218"/>
      <c r="H1315" s="217"/>
    </row>
    <row r="1316">
      <c r="A1316" s="217"/>
      <c r="B1316" s="217"/>
      <c r="C1316" s="217"/>
      <c r="D1316" s="217"/>
      <c r="E1316" s="217"/>
      <c r="F1316" s="217"/>
      <c r="G1316" s="218"/>
      <c r="H1316" s="217"/>
    </row>
    <row r="1317">
      <c r="A1317" s="217"/>
      <c r="B1317" s="217"/>
      <c r="C1317" s="217"/>
      <c r="D1317" s="217"/>
      <c r="E1317" s="217"/>
      <c r="F1317" s="217"/>
      <c r="G1317" s="218"/>
      <c r="H1317" s="217"/>
    </row>
    <row r="1318">
      <c r="A1318" s="217"/>
      <c r="B1318" s="217"/>
      <c r="C1318" s="217"/>
      <c r="D1318" s="217"/>
      <c r="E1318" s="217"/>
      <c r="F1318" s="217"/>
      <c r="G1318" s="218"/>
      <c r="H1318" s="217"/>
    </row>
    <row r="1319">
      <c r="A1319" s="217"/>
      <c r="B1319" s="217"/>
      <c r="C1319" s="217"/>
      <c r="D1319" s="217"/>
      <c r="E1319" s="217"/>
      <c r="F1319" s="217"/>
      <c r="G1319" s="218"/>
      <c r="H1319" s="217"/>
    </row>
    <row r="1320">
      <c r="A1320" s="217"/>
      <c r="B1320" s="217"/>
      <c r="C1320" s="217"/>
      <c r="D1320" s="217"/>
      <c r="E1320" s="217"/>
      <c r="F1320" s="217"/>
      <c r="G1320" s="218"/>
      <c r="H1320" s="217"/>
    </row>
    <row r="1321">
      <c r="A1321" s="217"/>
      <c r="B1321" s="217"/>
      <c r="C1321" s="217"/>
      <c r="D1321" s="217"/>
      <c r="E1321" s="217"/>
      <c r="F1321" s="217"/>
      <c r="G1321" s="218"/>
      <c r="H1321" s="217"/>
    </row>
    <row r="1322">
      <c r="A1322" s="217"/>
      <c r="B1322" s="217"/>
      <c r="C1322" s="217"/>
      <c r="D1322" s="217"/>
      <c r="E1322" s="217"/>
      <c r="F1322" s="217"/>
      <c r="G1322" s="218"/>
      <c r="H1322" s="217"/>
    </row>
    <row r="1323">
      <c r="A1323" s="217"/>
      <c r="B1323" s="217"/>
      <c r="C1323" s="217"/>
      <c r="D1323" s="217"/>
      <c r="E1323" s="217"/>
      <c r="F1323" s="217"/>
      <c r="G1323" s="218"/>
      <c r="H1323" s="217"/>
    </row>
    <row r="1324">
      <c r="A1324" s="217"/>
      <c r="B1324" s="217"/>
      <c r="C1324" s="217"/>
      <c r="D1324" s="217"/>
      <c r="E1324" s="217"/>
      <c r="F1324" s="217"/>
      <c r="G1324" s="218"/>
      <c r="H1324" s="217"/>
    </row>
    <row r="1325">
      <c r="A1325" s="217"/>
      <c r="B1325" s="217"/>
      <c r="C1325" s="217"/>
      <c r="D1325" s="217"/>
      <c r="E1325" s="217"/>
      <c r="F1325" s="217"/>
      <c r="G1325" s="218"/>
      <c r="H1325" s="217"/>
    </row>
    <row r="1326">
      <c r="A1326" s="217"/>
      <c r="B1326" s="217"/>
      <c r="C1326" s="217"/>
      <c r="D1326" s="217"/>
      <c r="E1326" s="217"/>
      <c r="F1326" s="217"/>
      <c r="G1326" s="218"/>
      <c r="H1326" s="217"/>
    </row>
    <row r="1327">
      <c r="A1327" s="217"/>
      <c r="B1327" s="217"/>
      <c r="C1327" s="217"/>
      <c r="D1327" s="217"/>
      <c r="E1327" s="217"/>
      <c r="F1327" s="217"/>
      <c r="G1327" s="218"/>
      <c r="H1327" s="217"/>
    </row>
    <row r="1328">
      <c r="A1328" s="217"/>
      <c r="B1328" s="217"/>
      <c r="C1328" s="217"/>
      <c r="D1328" s="217"/>
      <c r="E1328" s="217"/>
      <c r="F1328" s="217"/>
      <c r="G1328" s="218"/>
      <c r="H1328" s="217"/>
    </row>
    <row r="1329">
      <c r="A1329" s="217"/>
      <c r="B1329" s="217"/>
      <c r="C1329" s="217"/>
      <c r="D1329" s="217"/>
      <c r="E1329" s="217"/>
      <c r="F1329" s="217"/>
      <c r="G1329" s="218"/>
      <c r="H1329" s="217"/>
    </row>
    <row r="1330">
      <c r="A1330" s="217"/>
      <c r="B1330" s="217"/>
      <c r="C1330" s="217"/>
      <c r="D1330" s="217"/>
      <c r="E1330" s="217"/>
      <c r="F1330" s="217"/>
      <c r="G1330" s="218"/>
      <c r="H1330" s="217"/>
    </row>
    <row r="1331">
      <c r="A1331" s="217"/>
      <c r="B1331" s="217"/>
      <c r="C1331" s="217"/>
      <c r="D1331" s="217"/>
      <c r="E1331" s="217"/>
      <c r="F1331" s="217"/>
      <c r="G1331" s="218"/>
      <c r="H1331" s="217"/>
    </row>
    <row r="1332">
      <c r="A1332" s="217"/>
      <c r="B1332" s="217"/>
      <c r="C1332" s="217"/>
      <c r="D1332" s="217"/>
      <c r="E1332" s="217"/>
      <c r="F1332" s="217"/>
      <c r="G1332" s="218"/>
      <c r="H1332" s="217"/>
    </row>
    <row r="1333">
      <c r="A1333" s="217"/>
      <c r="B1333" s="217"/>
      <c r="C1333" s="217"/>
      <c r="D1333" s="217"/>
      <c r="E1333" s="217"/>
      <c r="F1333" s="217"/>
      <c r="G1333" s="218"/>
      <c r="H1333" s="217"/>
    </row>
    <row r="1334">
      <c r="A1334" s="217"/>
      <c r="B1334" s="217"/>
      <c r="C1334" s="217"/>
      <c r="D1334" s="217"/>
      <c r="E1334" s="217"/>
      <c r="F1334" s="217"/>
      <c r="G1334" s="218"/>
      <c r="H1334" s="217"/>
    </row>
    <row r="1335">
      <c r="A1335" s="217"/>
      <c r="B1335" s="217"/>
      <c r="C1335" s="217"/>
      <c r="D1335" s="217"/>
      <c r="E1335" s="217"/>
      <c r="F1335" s="217"/>
      <c r="G1335" s="218"/>
      <c r="H1335" s="217"/>
    </row>
    <row r="1336">
      <c r="A1336" s="217"/>
      <c r="B1336" s="217"/>
      <c r="C1336" s="217"/>
      <c r="D1336" s="217"/>
      <c r="E1336" s="217"/>
      <c r="F1336" s="217"/>
      <c r="G1336" s="218"/>
      <c r="H1336" s="217"/>
    </row>
    <row r="1337">
      <c r="A1337" s="217"/>
      <c r="B1337" s="217"/>
      <c r="C1337" s="217"/>
      <c r="D1337" s="217"/>
      <c r="E1337" s="217"/>
      <c r="F1337" s="217"/>
      <c r="G1337" s="218"/>
      <c r="H1337" s="217"/>
    </row>
    <row r="1338">
      <c r="A1338" s="217"/>
      <c r="B1338" s="217"/>
      <c r="C1338" s="217"/>
      <c r="D1338" s="217"/>
      <c r="E1338" s="217"/>
      <c r="F1338" s="217"/>
      <c r="G1338" s="218"/>
      <c r="H1338" s="217"/>
    </row>
    <row r="1339">
      <c r="A1339" s="217"/>
      <c r="B1339" s="217"/>
      <c r="C1339" s="217"/>
      <c r="D1339" s="217"/>
      <c r="E1339" s="217"/>
      <c r="F1339" s="217"/>
      <c r="G1339" s="218"/>
      <c r="H1339" s="217"/>
    </row>
    <row r="1340">
      <c r="A1340" s="217"/>
      <c r="B1340" s="217"/>
      <c r="C1340" s="217"/>
      <c r="D1340" s="217"/>
      <c r="E1340" s="217"/>
      <c r="F1340" s="217"/>
      <c r="G1340" s="218"/>
      <c r="H1340" s="217"/>
    </row>
    <row r="1341">
      <c r="A1341" s="217"/>
      <c r="B1341" s="217"/>
      <c r="C1341" s="217"/>
      <c r="D1341" s="217"/>
      <c r="E1341" s="217"/>
      <c r="F1341" s="217"/>
      <c r="G1341" s="218"/>
      <c r="H1341" s="217"/>
    </row>
    <row r="1342">
      <c r="A1342" s="217"/>
      <c r="B1342" s="217"/>
      <c r="C1342" s="217"/>
      <c r="D1342" s="217"/>
      <c r="E1342" s="217"/>
      <c r="F1342" s="217"/>
      <c r="G1342" s="218"/>
      <c r="H1342" s="217"/>
    </row>
    <row r="1343">
      <c r="A1343" s="217"/>
      <c r="B1343" s="217"/>
      <c r="C1343" s="217"/>
      <c r="D1343" s="217"/>
      <c r="E1343" s="217"/>
      <c r="F1343" s="217"/>
      <c r="G1343" s="218"/>
      <c r="H1343" s="217"/>
    </row>
    <row r="1344">
      <c r="A1344" s="217"/>
      <c r="B1344" s="217"/>
      <c r="C1344" s="217"/>
      <c r="D1344" s="217"/>
      <c r="E1344" s="217"/>
      <c r="F1344" s="217"/>
      <c r="G1344" s="218"/>
      <c r="H1344" s="217"/>
    </row>
    <row r="1345">
      <c r="A1345" s="217"/>
      <c r="B1345" s="217"/>
      <c r="C1345" s="217"/>
      <c r="D1345" s="217"/>
      <c r="E1345" s="217"/>
      <c r="F1345" s="217"/>
      <c r="G1345" s="218"/>
      <c r="H1345" s="217"/>
    </row>
    <row r="1346">
      <c r="A1346" s="217"/>
      <c r="B1346" s="217"/>
      <c r="C1346" s="217"/>
      <c r="D1346" s="217"/>
      <c r="E1346" s="217"/>
      <c r="F1346" s="217"/>
      <c r="G1346" s="218"/>
      <c r="H1346" s="217"/>
    </row>
    <row r="1347">
      <c r="A1347" s="217"/>
      <c r="B1347" s="217"/>
      <c r="C1347" s="217"/>
      <c r="D1347" s="217"/>
      <c r="E1347" s="217"/>
      <c r="F1347" s="217"/>
      <c r="G1347" s="218"/>
      <c r="H1347" s="217"/>
    </row>
    <row r="1348">
      <c r="A1348" s="217"/>
      <c r="B1348" s="217"/>
      <c r="C1348" s="217"/>
      <c r="D1348" s="217"/>
      <c r="E1348" s="217"/>
      <c r="F1348" s="217"/>
      <c r="G1348" s="218"/>
      <c r="H1348" s="217"/>
    </row>
    <row r="1349">
      <c r="A1349" s="217"/>
      <c r="B1349" s="217"/>
      <c r="C1349" s="217"/>
      <c r="D1349" s="217"/>
      <c r="E1349" s="217"/>
      <c r="F1349" s="217"/>
      <c r="G1349" s="218"/>
      <c r="H1349" s="217"/>
    </row>
    <row r="1350">
      <c r="A1350" s="217"/>
      <c r="B1350" s="217"/>
      <c r="C1350" s="217"/>
      <c r="D1350" s="217"/>
      <c r="E1350" s="217"/>
      <c r="F1350" s="217"/>
      <c r="G1350" s="218"/>
      <c r="H1350" s="217"/>
    </row>
    <row r="1351">
      <c r="A1351" s="217"/>
      <c r="B1351" s="217"/>
      <c r="C1351" s="217"/>
      <c r="D1351" s="217"/>
      <c r="E1351" s="217"/>
      <c r="F1351" s="217"/>
      <c r="G1351" s="218"/>
      <c r="H1351" s="217"/>
    </row>
    <row r="1352">
      <c r="A1352" s="217"/>
      <c r="B1352" s="217"/>
      <c r="C1352" s="217"/>
      <c r="D1352" s="217"/>
      <c r="E1352" s="217"/>
      <c r="F1352" s="217"/>
      <c r="G1352" s="218"/>
      <c r="H1352" s="217"/>
    </row>
    <row r="1353">
      <c r="A1353" s="217"/>
      <c r="B1353" s="217"/>
      <c r="C1353" s="217"/>
      <c r="D1353" s="217"/>
      <c r="E1353" s="217"/>
      <c r="F1353" s="217"/>
      <c r="G1353" s="218"/>
      <c r="H1353" s="217"/>
    </row>
    <row r="1354">
      <c r="A1354" s="217"/>
      <c r="B1354" s="217"/>
      <c r="C1354" s="217"/>
      <c r="D1354" s="217"/>
      <c r="E1354" s="217"/>
      <c r="F1354" s="217"/>
      <c r="G1354" s="218"/>
      <c r="H1354" s="217"/>
    </row>
    <row r="1355">
      <c r="A1355" s="217"/>
      <c r="B1355" s="217"/>
      <c r="C1355" s="217"/>
      <c r="D1355" s="217"/>
      <c r="E1355" s="217"/>
      <c r="F1355" s="217"/>
      <c r="G1355" s="218"/>
      <c r="H1355" s="217"/>
    </row>
    <row r="1356">
      <c r="A1356" s="217"/>
      <c r="B1356" s="217"/>
      <c r="C1356" s="217"/>
      <c r="D1356" s="217"/>
      <c r="E1356" s="217"/>
      <c r="F1356" s="217"/>
      <c r="G1356" s="218"/>
      <c r="H1356" s="217"/>
    </row>
    <row r="1357">
      <c r="A1357" s="217"/>
      <c r="B1357" s="217"/>
      <c r="C1357" s="217"/>
      <c r="D1357" s="217"/>
      <c r="E1357" s="217"/>
      <c r="F1357" s="217"/>
      <c r="G1357" s="218"/>
      <c r="H1357" s="217"/>
    </row>
    <row r="1358">
      <c r="A1358" s="217"/>
      <c r="B1358" s="217"/>
      <c r="C1358" s="217"/>
      <c r="D1358" s="217"/>
      <c r="E1358" s="217"/>
      <c r="F1358" s="217"/>
      <c r="G1358" s="218"/>
      <c r="H1358" s="217"/>
    </row>
    <row r="1359">
      <c r="A1359" s="217"/>
      <c r="B1359" s="217"/>
      <c r="C1359" s="217"/>
      <c r="D1359" s="217"/>
      <c r="E1359" s="217"/>
      <c r="F1359" s="217"/>
      <c r="G1359" s="218"/>
      <c r="H1359" s="217"/>
    </row>
    <row r="1360">
      <c r="A1360" s="217"/>
      <c r="B1360" s="217"/>
      <c r="C1360" s="217"/>
      <c r="D1360" s="217"/>
      <c r="E1360" s="217"/>
      <c r="F1360" s="217"/>
      <c r="G1360" s="218"/>
      <c r="H1360" s="217"/>
    </row>
    <row r="1361">
      <c r="A1361" s="217"/>
      <c r="B1361" s="217"/>
      <c r="C1361" s="217"/>
      <c r="D1361" s="217"/>
      <c r="E1361" s="217"/>
      <c r="F1361" s="217"/>
      <c r="G1361" s="218"/>
      <c r="H1361" s="217"/>
    </row>
    <row r="1362">
      <c r="A1362" s="217"/>
      <c r="B1362" s="217"/>
      <c r="C1362" s="217"/>
      <c r="D1362" s="217"/>
      <c r="E1362" s="217"/>
      <c r="F1362" s="217"/>
      <c r="G1362" s="218"/>
      <c r="H1362" s="217"/>
    </row>
    <row r="1363">
      <c r="A1363" s="217"/>
      <c r="B1363" s="217"/>
      <c r="C1363" s="217"/>
      <c r="D1363" s="217"/>
      <c r="E1363" s="217"/>
      <c r="F1363" s="217"/>
      <c r="G1363" s="218"/>
      <c r="H1363" s="217"/>
    </row>
    <row r="1364">
      <c r="A1364" s="217"/>
      <c r="B1364" s="217"/>
      <c r="C1364" s="217"/>
      <c r="D1364" s="217"/>
      <c r="E1364" s="217"/>
      <c r="F1364" s="217"/>
      <c r="G1364" s="218"/>
      <c r="H1364" s="217"/>
    </row>
    <row r="1365">
      <c r="A1365" s="217"/>
      <c r="B1365" s="217"/>
      <c r="C1365" s="217"/>
      <c r="D1365" s="217"/>
      <c r="E1365" s="217"/>
      <c r="F1365" s="217"/>
      <c r="G1365" s="218"/>
      <c r="H1365" s="217"/>
    </row>
    <row r="1366">
      <c r="A1366" s="217"/>
      <c r="B1366" s="217"/>
      <c r="C1366" s="217"/>
      <c r="D1366" s="217"/>
      <c r="E1366" s="217"/>
      <c r="F1366" s="217"/>
      <c r="G1366" s="218"/>
      <c r="H1366" s="217"/>
    </row>
    <row r="1367">
      <c r="A1367" s="217"/>
      <c r="B1367" s="217"/>
      <c r="C1367" s="217"/>
      <c r="D1367" s="217"/>
      <c r="E1367" s="217"/>
      <c r="F1367" s="217"/>
      <c r="G1367" s="218"/>
      <c r="H1367" s="217"/>
    </row>
    <row r="1368">
      <c r="A1368" s="217"/>
      <c r="B1368" s="217"/>
      <c r="C1368" s="217"/>
      <c r="D1368" s="217"/>
      <c r="E1368" s="217"/>
      <c r="F1368" s="217"/>
      <c r="G1368" s="218"/>
      <c r="H1368" s="217"/>
    </row>
    <row r="1369">
      <c r="A1369" s="217"/>
      <c r="B1369" s="217"/>
      <c r="C1369" s="217"/>
      <c r="D1369" s="217"/>
      <c r="E1369" s="217"/>
      <c r="F1369" s="217"/>
      <c r="G1369" s="218"/>
      <c r="H1369" s="217"/>
    </row>
    <row r="1370">
      <c r="A1370" s="217"/>
      <c r="B1370" s="217"/>
      <c r="C1370" s="217"/>
      <c r="D1370" s="217"/>
      <c r="E1370" s="217"/>
      <c r="F1370" s="217"/>
      <c r="G1370" s="218"/>
      <c r="H1370" s="217"/>
    </row>
    <row r="1371">
      <c r="A1371" s="217"/>
      <c r="B1371" s="217"/>
      <c r="C1371" s="217"/>
      <c r="D1371" s="217"/>
      <c r="E1371" s="217"/>
      <c r="F1371" s="217"/>
      <c r="G1371" s="218"/>
      <c r="H1371" s="217"/>
    </row>
    <row r="1372">
      <c r="A1372" s="217"/>
      <c r="B1372" s="217"/>
      <c r="C1372" s="217"/>
      <c r="D1372" s="217"/>
      <c r="E1372" s="217"/>
      <c r="F1372" s="217"/>
      <c r="G1372" s="218"/>
      <c r="H1372" s="217"/>
    </row>
    <row r="1373">
      <c r="A1373" s="217"/>
      <c r="B1373" s="217"/>
      <c r="C1373" s="217"/>
      <c r="D1373" s="217"/>
      <c r="E1373" s="217"/>
      <c r="F1373" s="217"/>
      <c r="G1373" s="218"/>
      <c r="H1373" s="217"/>
    </row>
    <row r="1374">
      <c r="A1374" s="217"/>
      <c r="B1374" s="217"/>
      <c r="C1374" s="217"/>
      <c r="D1374" s="217"/>
      <c r="E1374" s="217"/>
      <c r="F1374" s="217"/>
      <c r="G1374" s="218"/>
      <c r="H1374" s="217"/>
    </row>
    <row r="1375">
      <c r="A1375" s="217"/>
      <c r="B1375" s="217"/>
      <c r="C1375" s="217"/>
      <c r="D1375" s="217"/>
      <c r="E1375" s="217"/>
      <c r="F1375" s="217"/>
      <c r="G1375" s="218"/>
      <c r="H1375" s="217"/>
    </row>
    <row r="1376">
      <c r="A1376" s="217"/>
      <c r="B1376" s="217"/>
      <c r="C1376" s="217"/>
      <c r="D1376" s="217"/>
      <c r="E1376" s="217"/>
      <c r="F1376" s="217"/>
      <c r="G1376" s="218"/>
      <c r="H1376" s="217"/>
    </row>
    <row r="1377">
      <c r="A1377" s="217"/>
      <c r="B1377" s="217"/>
      <c r="C1377" s="217"/>
      <c r="D1377" s="217"/>
      <c r="E1377" s="217"/>
      <c r="F1377" s="217"/>
      <c r="G1377" s="218"/>
      <c r="H1377" s="217"/>
    </row>
    <row r="1378">
      <c r="A1378" s="217"/>
      <c r="B1378" s="217"/>
      <c r="C1378" s="217"/>
      <c r="D1378" s="217"/>
      <c r="E1378" s="217"/>
      <c r="F1378" s="217"/>
      <c r="G1378" s="218"/>
      <c r="H1378" s="217"/>
    </row>
    <row r="1379">
      <c r="A1379" s="217"/>
      <c r="B1379" s="217"/>
      <c r="C1379" s="217"/>
      <c r="D1379" s="217"/>
      <c r="E1379" s="217"/>
      <c r="F1379" s="217"/>
      <c r="G1379" s="218"/>
      <c r="H1379" s="217"/>
    </row>
    <row r="1380">
      <c r="A1380" s="217"/>
      <c r="B1380" s="217"/>
      <c r="C1380" s="217"/>
      <c r="D1380" s="217"/>
      <c r="E1380" s="217"/>
      <c r="F1380" s="217"/>
      <c r="G1380" s="218"/>
      <c r="H1380" s="217"/>
    </row>
    <row r="1381">
      <c r="A1381" s="217"/>
      <c r="B1381" s="217"/>
      <c r="C1381" s="217"/>
      <c r="D1381" s="217"/>
      <c r="E1381" s="217"/>
      <c r="F1381" s="217"/>
      <c r="G1381" s="218"/>
      <c r="H1381" s="217"/>
    </row>
    <row r="1382">
      <c r="A1382" s="217"/>
      <c r="B1382" s="217"/>
      <c r="C1382" s="217"/>
      <c r="D1382" s="217"/>
      <c r="E1382" s="217"/>
      <c r="F1382" s="217"/>
      <c r="G1382" s="218"/>
      <c r="H1382" s="217"/>
    </row>
    <row r="1383">
      <c r="A1383" s="217"/>
      <c r="B1383" s="217"/>
      <c r="C1383" s="217"/>
      <c r="D1383" s="217"/>
      <c r="E1383" s="217"/>
      <c r="F1383" s="217"/>
      <c r="G1383" s="218"/>
      <c r="H1383" s="217"/>
    </row>
    <row r="1384">
      <c r="A1384" s="217"/>
      <c r="B1384" s="217"/>
      <c r="C1384" s="217"/>
      <c r="D1384" s="217"/>
      <c r="E1384" s="217"/>
      <c r="F1384" s="217"/>
      <c r="G1384" s="218"/>
      <c r="H1384" s="217"/>
    </row>
    <row r="1385">
      <c r="A1385" s="217"/>
      <c r="B1385" s="217"/>
      <c r="C1385" s="217"/>
      <c r="D1385" s="217"/>
      <c r="E1385" s="217"/>
      <c r="F1385" s="217"/>
      <c r="G1385" s="218"/>
      <c r="H1385" s="217"/>
    </row>
    <row r="1386">
      <c r="A1386" s="217"/>
      <c r="B1386" s="217"/>
      <c r="C1386" s="217"/>
      <c r="D1386" s="217"/>
      <c r="E1386" s="217"/>
      <c r="F1386" s="217"/>
      <c r="G1386" s="218"/>
      <c r="H1386" s="217"/>
    </row>
    <row r="1387">
      <c r="A1387" s="217"/>
      <c r="B1387" s="217"/>
      <c r="C1387" s="217"/>
      <c r="D1387" s="217"/>
      <c r="E1387" s="217"/>
      <c r="F1387" s="217"/>
      <c r="G1387" s="218"/>
      <c r="H1387" s="217"/>
    </row>
    <row r="1388">
      <c r="A1388" s="217"/>
      <c r="B1388" s="217"/>
      <c r="C1388" s="217"/>
      <c r="D1388" s="217"/>
      <c r="E1388" s="217"/>
      <c r="F1388" s="217"/>
      <c r="G1388" s="218"/>
      <c r="H1388" s="217"/>
    </row>
    <row r="1389">
      <c r="A1389" s="217"/>
      <c r="B1389" s="217"/>
      <c r="C1389" s="217"/>
      <c r="D1389" s="217"/>
      <c r="E1389" s="217"/>
      <c r="F1389" s="217"/>
      <c r="G1389" s="218"/>
      <c r="H1389" s="217"/>
    </row>
    <row r="1390">
      <c r="A1390" s="217"/>
      <c r="B1390" s="217"/>
      <c r="C1390" s="217"/>
      <c r="D1390" s="217"/>
      <c r="E1390" s="217"/>
      <c r="F1390" s="217"/>
      <c r="G1390" s="218"/>
      <c r="H1390" s="217"/>
    </row>
    <row r="1391">
      <c r="A1391" s="217"/>
      <c r="B1391" s="217"/>
      <c r="C1391" s="217"/>
      <c r="D1391" s="217"/>
      <c r="E1391" s="217"/>
      <c r="F1391" s="217"/>
      <c r="G1391" s="218"/>
      <c r="H1391" s="217"/>
    </row>
    <row r="1392">
      <c r="A1392" s="217"/>
      <c r="B1392" s="217"/>
      <c r="C1392" s="217"/>
      <c r="D1392" s="217"/>
      <c r="E1392" s="217"/>
      <c r="F1392" s="217"/>
      <c r="G1392" s="218"/>
      <c r="H1392" s="217"/>
    </row>
    <row r="1393">
      <c r="A1393" s="217"/>
      <c r="B1393" s="217"/>
      <c r="C1393" s="217"/>
      <c r="D1393" s="217"/>
      <c r="E1393" s="217"/>
      <c r="F1393" s="217"/>
      <c r="G1393" s="218"/>
      <c r="H1393" s="217"/>
    </row>
    <row r="1394">
      <c r="A1394" s="217"/>
      <c r="B1394" s="217"/>
      <c r="C1394" s="217"/>
      <c r="D1394" s="217"/>
      <c r="E1394" s="217"/>
      <c r="F1394" s="217"/>
      <c r="G1394" s="218"/>
      <c r="H1394" s="217"/>
    </row>
    <row r="1395">
      <c r="A1395" s="217"/>
      <c r="B1395" s="217"/>
      <c r="C1395" s="217"/>
      <c r="D1395" s="217"/>
      <c r="E1395" s="217"/>
      <c r="F1395" s="217"/>
      <c r="G1395" s="218"/>
      <c r="H1395" s="217"/>
    </row>
    <row r="1396">
      <c r="A1396" s="217"/>
      <c r="B1396" s="217"/>
      <c r="C1396" s="217"/>
      <c r="D1396" s="217"/>
      <c r="E1396" s="217"/>
      <c r="F1396" s="217"/>
      <c r="G1396" s="218"/>
      <c r="H1396" s="217"/>
    </row>
    <row r="1397">
      <c r="A1397" s="217"/>
      <c r="B1397" s="217"/>
      <c r="C1397" s="217"/>
      <c r="D1397" s="217"/>
      <c r="E1397" s="217"/>
      <c r="F1397" s="217"/>
      <c r="G1397" s="218"/>
      <c r="H1397" s="217"/>
    </row>
    <row r="1398">
      <c r="A1398" s="217"/>
      <c r="B1398" s="217"/>
      <c r="C1398" s="217"/>
      <c r="D1398" s="217"/>
      <c r="E1398" s="217"/>
      <c r="F1398" s="217"/>
      <c r="G1398" s="218"/>
      <c r="H1398" s="217"/>
    </row>
    <row r="1399">
      <c r="A1399" s="217"/>
      <c r="B1399" s="217"/>
      <c r="C1399" s="217"/>
      <c r="D1399" s="217"/>
      <c r="E1399" s="217"/>
      <c r="F1399" s="217"/>
      <c r="G1399" s="218"/>
      <c r="H1399" s="217"/>
    </row>
    <row r="1400">
      <c r="A1400" s="217"/>
      <c r="B1400" s="217"/>
      <c r="C1400" s="217"/>
      <c r="D1400" s="217"/>
      <c r="E1400" s="217"/>
      <c r="F1400" s="217"/>
      <c r="G1400" s="218"/>
      <c r="H1400" s="217"/>
    </row>
    <row r="1401">
      <c r="A1401" s="217"/>
      <c r="B1401" s="217"/>
      <c r="C1401" s="217"/>
      <c r="D1401" s="217"/>
      <c r="E1401" s="217"/>
      <c r="F1401" s="217"/>
      <c r="G1401" s="218"/>
      <c r="H1401" s="217"/>
    </row>
    <row r="1402">
      <c r="A1402" s="217"/>
      <c r="B1402" s="217"/>
      <c r="C1402" s="217"/>
      <c r="D1402" s="217"/>
      <c r="E1402" s="217"/>
      <c r="F1402" s="217"/>
      <c r="G1402" s="218"/>
      <c r="H1402" s="217"/>
    </row>
    <row r="1403">
      <c r="A1403" s="217"/>
      <c r="B1403" s="217"/>
      <c r="C1403" s="217"/>
      <c r="D1403" s="217"/>
      <c r="E1403" s="217"/>
      <c r="F1403" s="217"/>
      <c r="G1403" s="218"/>
      <c r="H1403" s="217"/>
    </row>
    <row r="1404">
      <c r="A1404" s="217"/>
      <c r="B1404" s="217"/>
      <c r="C1404" s="217"/>
      <c r="D1404" s="217"/>
      <c r="E1404" s="217"/>
      <c r="F1404" s="217"/>
      <c r="G1404" s="218"/>
      <c r="H1404" s="217"/>
    </row>
    <row r="1405">
      <c r="A1405" s="217"/>
      <c r="B1405" s="217"/>
      <c r="C1405" s="217"/>
      <c r="D1405" s="217"/>
      <c r="E1405" s="217"/>
      <c r="F1405" s="217"/>
      <c r="G1405" s="218"/>
      <c r="H1405" s="217"/>
    </row>
    <row r="1406">
      <c r="A1406" s="217"/>
      <c r="B1406" s="217"/>
      <c r="C1406" s="217"/>
      <c r="D1406" s="217"/>
      <c r="E1406" s="217"/>
      <c r="F1406" s="217"/>
      <c r="G1406" s="218"/>
      <c r="H1406" s="217"/>
    </row>
    <row r="1407">
      <c r="A1407" s="217"/>
      <c r="B1407" s="217"/>
      <c r="C1407" s="217"/>
      <c r="D1407" s="217"/>
      <c r="E1407" s="217"/>
      <c r="F1407" s="217"/>
      <c r="G1407" s="218"/>
      <c r="H1407" s="217"/>
    </row>
    <row r="1408">
      <c r="A1408" s="217"/>
      <c r="B1408" s="217"/>
      <c r="C1408" s="217"/>
      <c r="D1408" s="217"/>
      <c r="E1408" s="217"/>
      <c r="F1408" s="217"/>
      <c r="G1408" s="218"/>
      <c r="H1408" s="217"/>
    </row>
    <row r="1409">
      <c r="A1409" s="217"/>
      <c r="B1409" s="217"/>
      <c r="C1409" s="217"/>
      <c r="D1409" s="217"/>
      <c r="E1409" s="217"/>
      <c r="F1409" s="217"/>
      <c r="G1409" s="218"/>
      <c r="H1409" s="217"/>
    </row>
    <row r="1410">
      <c r="A1410" s="217"/>
      <c r="B1410" s="217"/>
      <c r="C1410" s="217"/>
      <c r="D1410" s="217"/>
      <c r="E1410" s="217"/>
      <c r="F1410" s="217"/>
      <c r="G1410" s="218"/>
      <c r="H1410" s="217"/>
    </row>
    <row r="1411">
      <c r="A1411" s="217"/>
      <c r="B1411" s="217"/>
      <c r="C1411" s="217"/>
      <c r="D1411" s="217"/>
      <c r="E1411" s="217"/>
      <c r="F1411" s="217"/>
      <c r="G1411" s="218"/>
      <c r="H1411" s="217"/>
    </row>
    <row r="1412">
      <c r="A1412" s="217"/>
      <c r="B1412" s="217"/>
      <c r="C1412" s="217"/>
      <c r="D1412" s="217"/>
      <c r="E1412" s="217"/>
      <c r="F1412" s="217"/>
      <c r="G1412" s="218"/>
      <c r="H1412" s="217"/>
    </row>
    <row r="1413">
      <c r="A1413" s="217"/>
      <c r="B1413" s="217"/>
      <c r="C1413" s="217"/>
      <c r="D1413" s="217"/>
      <c r="E1413" s="217"/>
      <c r="F1413" s="217"/>
      <c r="G1413" s="218"/>
      <c r="H1413" s="217"/>
    </row>
    <row r="1414">
      <c r="A1414" s="217"/>
      <c r="B1414" s="217"/>
      <c r="C1414" s="217"/>
      <c r="D1414" s="217"/>
      <c r="E1414" s="217"/>
      <c r="F1414" s="217"/>
      <c r="G1414" s="218"/>
      <c r="H1414" s="217"/>
    </row>
    <row r="1415">
      <c r="A1415" s="217"/>
      <c r="B1415" s="217"/>
      <c r="C1415" s="217"/>
      <c r="D1415" s="217"/>
      <c r="E1415" s="217"/>
      <c r="F1415" s="217"/>
      <c r="G1415" s="218"/>
      <c r="H1415" s="217"/>
    </row>
    <row r="1416">
      <c r="A1416" s="217"/>
      <c r="B1416" s="217"/>
      <c r="C1416" s="217"/>
      <c r="D1416" s="217"/>
      <c r="E1416" s="217"/>
      <c r="F1416" s="217"/>
      <c r="G1416" s="218"/>
      <c r="H1416" s="217"/>
    </row>
    <row r="1417">
      <c r="A1417" s="217"/>
      <c r="B1417" s="217"/>
      <c r="C1417" s="217"/>
      <c r="D1417" s="217"/>
      <c r="E1417" s="217"/>
      <c r="F1417" s="217"/>
      <c r="G1417" s="218"/>
      <c r="H1417" s="217"/>
    </row>
    <row r="1418">
      <c r="A1418" s="217"/>
      <c r="B1418" s="217"/>
      <c r="C1418" s="217"/>
      <c r="D1418" s="217"/>
      <c r="E1418" s="217"/>
      <c r="F1418" s="217"/>
      <c r="G1418" s="218"/>
      <c r="H1418" s="217"/>
    </row>
    <row r="1419">
      <c r="A1419" s="217"/>
      <c r="B1419" s="217"/>
      <c r="C1419" s="217"/>
      <c r="D1419" s="217"/>
      <c r="E1419" s="217"/>
      <c r="F1419" s="217"/>
      <c r="G1419" s="218"/>
      <c r="H1419" s="217"/>
    </row>
    <row r="1420">
      <c r="A1420" s="217"/>
      <c r="B1420" s="217"/>
      <c r="C1420" s="217"/>
      <c r="D1420" s="217"/>
      <c r="E1420" s="217"/>
      <c r="F1420" s="217"/>
      <c r="G1420" s="218"/>
      <c r="H1420" s="217"/>
    </row>
    <row r="1421">
      <c r="A1421" s="217"/>
      <c r="B1421" s="217"/>
      <c r="C1421" s="217"/>
      <c r="D1421" s="217"/>
      <c r="E1421" s="217"/>
      <c r="F1421" s="217"/>
      <c r="G1421" s="218"/>
      <c r="H1421" s="217"/>
    </row>
    <row r="1422">
      <c r="A1422" s="217"/>
      <c r="B1422" s="217"/>
      <c r="C1422" s="217"/>
      <c r="D1422" s="217"/>
      <c r="E1422" s="217"/>
      <c r="F1422" s="217"/>
      <c r="G1422" s="218"/>
      <c r="H1422" s="217"/>
    </row>
    <row r="1423">
      <c r="A1423" s="217"/>
      <c r="B1423" s="217"/>
      <c r="C1423" s="217"/>
      <c r="D1423" s="217"/>
      <c r="E1423" s="217"/>
      <c r="F1423" s="217"/>
      <c r="G1423" s="218"/>
      <c r="H1423" s="217"/>
    </row>
    <row r="1424">
      <c r="A1424" s="217"/>
      <c r="B1424" s="217"/>
      <c r="C1424" s="217"/>
      <c r="D1424" s="217"/>
      <c r="E1424" s="217"/>
      <c r="F1424" s="217"/>
      <c r="G1424" s="218"/>
      <c r="H1424" s="217"/>
    </row>
    <row r="1425">
      <c r="A1425" s="217"/>
      <c r="B1425" s="217"/>
      <c r="C1425" s="217"/>
      <c r="D1425" s="217"/>
      <c r="E1425" s="217"/>
      <c r="F1425" s="217"/>
      <c r="G1425" s="218"/>
      <c r="H1425" s="217"/>
    </row>
    <row r="1426">
      <c r="A1426" s="217"/>
      <c r="B1426" s="217"/>
      <c r="C1426" s="217"/>
      <c r="D1426" s="217"/>
      <c r="E1426" s="217"/>
      <c r="F1426" s="217"/>
      <c r="G1426" s="218"/>
      <c r="H1426" s="217"/>
    </row>
    <row r="1427">
      <c r="A1427" s="217"/>
      <c r="B1427" s="217"/>
      <c r="C1427" s="217"/>
      <c r="D1427" s="217"/>
      <c r="E1427" s="217"/>
      <c r="F1427" s="217"/>
      <c r="G1427" s="218"/>
      <c r="H1427" s="217"/>
    </row>
    <row r="1428">
      <c r="A1428" s="217"/>
      <c r="B1428" s="217"/>
      <c r="C1428" s="217"/>
      <c r="D1428" s="217"/>
      <c r="E1428" s="217"/>
      <c r="F1428" s="217"/>
      <c r="G1428" s="218"/>
      <c r="H1428" s="217"/>
    </row>
    <row r="1429">
      <c r="A1429" s="217"/>
      <c r="B1429" s="217"/>
      <c r="C1429" s="217"/>
      <c r="D1429" s="217"/>
      <c r="E1429" s="217"/>
      <c r="F1429" s="217"/>
      <c r="G1429" s="218"/>
      <c r="H1429" s="217"/>
    </row>
    <row r="1430">
      <c r="A1430" s="217"/>
      <c r="B1430" s="217"/>
      <c r="C1430" s="217"/>
      <c r="D1430" s="217"/>
      <c r="E1430" s="217"/>
      <c r="F1430" s="217"/>
      <c r="G1430" s="218"/>
      <c r="H1430" s="217"/>
    </row>
    <row r="1431">
      <c r="A1431" s="217"/>
      <c r="B1431" s="217"/>
      <c r="C1431" s="217"/>
      <c r="D1431" s="217"/>
      <c r="E1431" s="217"/>
      <c r="F1431" s="217"/>
      <c r="G1431" s="218"/>
      <c r="H1431" s="217"/>
    </row>
    <row r="1432">
      <c r="A1432" s="217"/>
      <c r="B1432" s="217"/>
      <c r="C1432" s="217"/>
      <c r="D1432" s="217"/>
      <c r="E1432" s="217"/>
      <c r="F1432" s="217"/>
      <c r="G1432" s="218"/>
      <c r="H1432" s="217"/>
    </row>
    <row r="1433">
      <c r="A1433" s="217"/>
      <c r="B1433" s="217"/>
      <c r="C1433" s="217"/>
      <c r="D1433" s="217"/>
      <c r="E1433" s="217"/>
      <c r="F1433" s="217"/>
      <c r="G1433" s="218"/>
      <c r="H1433" s="217"/>
    </row>
    <row r="1434">
      <c r="A1434" s="217"/>
      <c r="B1434" s="217"/>
      <c r="C1434" s="217"/>
      <c r="D1434" s="217"/>
      <c r="E1434" s="217"/>
      <c r="F1434" s="217"/>
      <c r="G1434" s="218"/>
      <c r="H1434" s="217"/>
    </row>
    <row r="1435">
      <c r="A1435" s="217"/>
      <c r="B1435" s="217"/>
      <c r="C1435" s="217"/>
      <c r="D1435" s="217"/>
      <c r="E1435" s="217"/>
      <c r="F1435" s="217"/>
      <c r="G1435" s="218"/>
      <c r="H1435" s="217"/>
    </row>
    <row r="1436">
      <c r="A1436" s="217"/>
      <c r="B1436" s="217"/>
      <c r="C1436" s="217"/>
      <c r="D1436" s="217"/>
      <c r="E1436" s="217"/>
      <c r="F1436" s="217"/>
      <c r="G1436" s="218"/>
      <c r="H1436" s="217"/>
    </row>
    <row r="1437">
      <c r="A1437" s="217"/>
      <c r="B1437" s="217"/>
      <c r="C1437" s="217"/>
      <c r="D1437" s="217"/>
      <c r="E1437" s="217"/>
      <c r="F1437" s="217"/>
      <c r="G1437" s="218"/>
      <c r="H1437" s="217"/>
    </row>
    <row r="1438">
      <c r="A1438" s="217"/>
      <c r="B1438" s="217"/>
      <c r="C1438" s="217"/>
      <c r="D1438" s="217"/>
      <c r="E1438" s="217"/>
      <c r="F1438" s="217"/>
      <c r="G1438" s="218"/>
      <c r="H1438" s="217"/>
    </row>
    <row r="1439">
      <c r="A1439" s="217"/>
      <c r="B1439" s="217"/>
      <c r="C1439" s="217"/>
      <c r="D1439" s="217"/>
      <c r="E1439" s="217"/>
      <c r="F1439" s="217"/>
      <c r="G1439" s="218"/>
      <c r="H1439" s="217"/>
    </row>
    <row r="1440">
      <c r="A1440" s="217"/>
      <c r="B1440" s="217"/>
      <c r="C1440" s="217"/>
      <c r="D1440" s="217"/>
      <c r="E1440" s="217"/>
      <c r="F1440" s="217"/>
      <c r="G1440" s="218"/>
      <c r="H1440" s="217"/>
    </row>
    <row r="1441">
      <c r="A1441" s="217"/>
      <c r="B1441" s="217"/>
      <c r="C1441" s="217"/>
      <c r="D1441" s="217"/>
      <c r="E1441" s="217"/>
      <c r="F1441" s="217"/>
      <c r="G1441" s="218"/>
      <c r="H1441" s="217"/>
    </row>
    <row r="1442">
      <c r="A1442" s="217"/>
      <c r="B1442" s="217"/>
      <c r="C1442" s="217"/>
      <c r="D1442" s="217"/>
      <c r="E1442" s="217"/>
      <c r="F1442" s="217"/>
      <c r="G1442" s="218"/>
      <c r="H1442" s="217"/>
    </row>
    <row r="1443">
      <c r="A1443" s="217"/>
      <c r="B1443" s="217"/>
      <c r="C1443" s="217"/>
      <c r="D1443" s="217"/>
      <c r="E1443" s="217"/>
      <c r="F1443" s="217"/>
      <c r="G1443" s="218"/>
      <c r="H1443" s="217"/>
    </row>
    <row r="1444">
      <c r="A1444" s="217"/>
      <c r="B1444" s="217"/>
      <c r="C1444" s="217"/>
      <c r="D1444" s="217"/>
      <c r="E1444" s="217"/>
      <c r="F1444" s="217"/>
      <c r="G1444" s="218"/>
      <c r="H1444" s="217"/>
    </row>
    <row r="1445">
      <c r="A1445" s="217"/>
      <c r="B1445" s="217"/>
      <c r="C1445" s="217"/>
      <c r="D1445" s="217"/>
      <c r="E1445" s="217"/>
      <c r="F1445" s="217"/>
      <c r="G1445" s="218"/>
      <c r="H1445" s="217"/>
    </row>
    <row r="1446">
      <c r="A1446" s="217"/>
      <c r="B1446" s="217"/>
      <c r="C1446" s="217"/>
      <c r="D1446" s="217"/>
      <c r="E1446" s="217"/>
      <c r="F1446" s="217"/>
      <c r="G1446" s="218"/>
      <c r="H1446" s="217"/>
    </row>
    <row r="1447">
      <c r="A1447" s="217"/>
      <c r="B1447" s="217"/>
      <c r="C1447" s="217"/>
      <c r="D1447" s="217"/>
      <c r="E1447" s="217"/>
      <c r="F1447" s="217"/>
      <c r="G1447" s="218"/>
      <c r="H1447" s="217"/>
    </row>
    <row r="1448">
      <c r="A1448" s="217"/>
      <c r="B1448" s="217"/>
      <c r="C1448" s="217"/>
      <c r="D1448" s="217"/>
      <c r="E1448" s="217"/>
      <c r="F1448" s="217"/>
      <c r="G1448" s="218"/>
      <c r="H1448" s="217"/>
    </row>
    <row r="1449">
      <c r="A1449" s="217"/>
      <c r="B1449" s="217"/>
      <c r="C1449" s="217"/>
      <c r="D1449" s="217"/>
      <c r="E1449" s="217"/>
      <c r="F1449" s="217"/>
      <c r="G1449" s="218"/>
      <c r="H1449" s="217"/>
    </row>
    <row r="1450">
      <c r="A1450" s="217"/>
      <c r="B1450" s="217"/>
      <c r="C1450" s="217"/>
      <c r="D1450" s="217"/>
      <c r="E1450" s="217"/>
      <c r="F1450" s="217"/>
      <c r="G1450" s="218"/>
      <c r="H1450" s="217"/>
    </row>
    <row r="1451">
      <c r="A1451" s="217"/>
      <c r="B1451" s="217"/>
      <c r="C1451" s="217"/>
      <c r="D1451" s="217"/>
      <c r="E1451" s="217"/>
      <c r="F1451" s="217"/>
      <c r="G1451" s="218"/>
      <c r="H1451" s="217"/>
    </row>
    <row r="1452">
      <c r="A1452" s="217"/>
      <c r="B1452" s="217"/>
      <c r="C1452" s="217"/>
      <c r="D1452" s="217"/>
      <c r="E1452" s="217"/>
      <c r="F1452" s="217"/>
      <c r="G1452" s="218"/>
      <c r="H1452" s="217"/>
    </row>
    <row r="1453">
      <c r="A1453" s="217"/>
      <c r="B1453" s="217"/>
      <c r="C1453" s="217"/>
      <c r="D1453" s="217"/>
      <c r="E1453" s="217"/>
      <c r="F1453" s="217"/>
      <c r="G1453" s="218"/>
      <c r="H1453" s="217"/>
    </row>
    <row r="1454">
      <c r="A1454" s="217"/>
      <c r="B1454" s="217"/>
      <c r="C1454" s="217"/>
      <c r="D1454" s="217"/>
      <c r="E1454" s="217"/>
      <c r="F1454" s="217"/>
      <c r="G1454" s="218"/>
      <c r="H1454" s="217"/>
    </row>
    <row r="1455">
      <c r="A1455" s="217"/>
      <c r="B1455" s="217"/>
      <c r="C1455" s="217"/>
      <c r="D1455" s="217"/>
      <c r="E1455" s="217"/>
      <c r="F1455" s="217"/>
      <c r="G1455" s="218"/>
      <c r="H1455" s="217"/>
    </row>
    <row r="1456">
      <c r="A1456" s="217"/>
      <c r="B1456" s="217"/>
      <c r="C1456" s="217"/>
      <c r="D1456" s="217"/>
      <c r="E1456" s="217"/>
      <c r="F1456" s="217"/>
      <c r="G1456" s="218"/>
      <c r="H1456" s="217"/>
    </row>
    <row r="1457">
      <c r="A1457" s="217"/>
      <c r="B1457" s="217"/>
      <c r="C1457" s="217"/>
      <c r="D1457" s="217"/>
      <c r="E1457" s="217"/>
      <c r="F1457" s="217"/>
      <c r="G1457" s="218"/>
      <c r="H1457" s="217"/>
    </row>
    <row r="1458">
      <c r="A1458" s="217"/>
      <c r="B1458" s="217"/>
      <c r="C1458" s="217"/>
      <c r="D1458" s="217"/>
      <c r="E1458" s="217"/>
      <c r="F1458" s="217"/>
      <c r="G1458" s="218"/>
      <c r="H1458" s="217"/>
    </row>
    <row r="1459">
      <c r="A1459" s="217"/>
      <c r="B1459" s="217"/>
      <c r="C1459" s="217"/>
      <c r="D1459" s="217"/>
      <c r="E1459" s="217"/>
      <c r="F1459" s="217"/>
      <c r="G1459" s="218"/>
      <c r="H1459" s="217"/>
    </row>
    <row r="1460">
      <c r="A1460" s="217"/>
      <c r="B1460" s="217"/>
      <c r="C1460" s="217"/>
      <c r="D1460" s="217"/>
      <c r="E1460" s="217"/>
      <c r="F1460" s="217"/>
      <c r="G1460" s="218"/>
      <c r="H1460" s="217"/>
    </row>
    <row r="1461">
      <c r="A1461" s="217"/>
      <c r="B1461" s="217"/>
      <c r="C1461" s="217"/>
      <c r="D1461" s="217"/>
      <c r="E1461" s="217"/>
      <c r="F1461" s="217"/>
      <c r="G1461" s="218"/>
      <c r="H1461" s="217"/>
    </row>
    <row r="1462">
      <c r="A1462" s="217"/>
      <c r="B1462" s="217"/>
      <c r="C1462" s="217"/>
      <c r="D1462" s="217"/>
      <c r="E1462" s="217"/>
      <c r="F1462" s="217"/>
      <c r="G1462" s="218"/>
      <c r="H1462" s="217"/>
    </row>
    <row r="1463">
      <c r="A1463" s="217"/>
      <c r="B1463" s="217"/>
      <c r="C1463" s="217"/>
      <c r="D1463" s="217"/>
      <c r="E1463" s="217"/>
      <c r="F1463" s="217"/>
      <c r="G1463" s="218"/>
      <c r="H1463" s="217"/>
    </row>
    <row r="1464">
      <c r="A1464" s="217"/>
      <c r="B1464" s="217"/>
      <c r="C1464" s="217"/>
      <c r="D1464" s="217"/>
      <c r="E1464" s="217"/>
      <c r="F1464" s="217"/>
      <c r="G1464" s="218"/>
      <c r="H1464" s="217"/>
    </row>
    <row r="1465">
      <c r="A1465" s="217"/>
      <c r="B1465" s="217"/>
      <c r="C1465" s="217"/>
      <c r="D1465" s="217"/>
      <c r="E1465" s="217"/>
      <c r="F1465" s="217"/>
      <c r="G1465" s="218"/>
      <c r="H1465" s="217"/>
    </row>
    <row r="1466">
      <c r="A1466" s="217"/>
      <c r="B1466" s="217"/>
      <c r="C1466" s="217"/>
      <c r="D1466" s="217"/>
      <c r="E1466" s="217"/>
      <c r="F1466" s="217"/>
      <c r="G1466" s="218"/>
      <c r="H1466" s="217"/>
    </row>
    <row r="1467">
      <c r="A1467" s="217"/>
      <c r="B1467" s="217"/>
      <c r="C1467" s="217"/>
      <c r="D1467" s="217"/>
      <c r="E1467" s="217"/>
      <c r="F1467" s="217"/>
      <c r="G1467" s="218"/>
      <c r="H1467" s="217"/>
    </row>
    <row r="1468">
      <c r="A1468" s="217"/>
      <c r="B1468" s="217"/>
      <c r="C1468" s="217"/>
      <c r="D1468" s="217"/>
      <c r="E1468" s="217"/>
      <c r="F1468" s="217"/>
      <c r="G1468" s="218"/>
      <c r="H1468" s="217"/>
    </row>
    <row r="1469">
      <c r="A1469" s="217"/>
      <c r="B1469" s="217"/>
      <c r="C1469" s="217"/>
      <c r="D1469" s="217"/>
      <c r="E1469" s="217"/>
      <c r="F1469" s="217"/>
      <c r="G1469" s="218"/>
      <c r="H1469" s="217"/>
    </row>
    <row r="1470">
      <c r="A1470" s="217"/>
      <c r="B1470" s="217"/>
      <c r="C1470" s="217"/>
      <c r="D1470" s="217"/>
      <c r="E1470" s="217"/>
      <c r="F1470" s="217"/>
      <c r="G1470" s="218"/>
      <c r="H1470" s="217"/>
    </row>
    <row r="1471">
      <c r="A1471" s="217"/>
      <c r="B1471" s="217"/>
      <c r="C1471" s="217"/>
      <c r="D1471" s="217"/>
      <c r="E1471" s="217"/>
      <c r="F1471" s="217"/>
      <c r="G1471" s="218"/>
      <c r="H1471" s="217"/>
    </row>
    <row r="1472">
      <c r="A1472" s="217"/>
      <c r="B1472" s="217"/>
      <c r="C1472" s="217"/>
      <c r="D1472" s="217"/>
      <c r="E1472" s="217"/>
      <c r="F1472" s="217"/>
      <c r="G1472" s="218"/>
      <c r="H1472" s="217"/>
    </row>
    <row r="1473">
      <c r="A1473" s="217"/>
      <c r="B1473" s="217"/>
      <c r="C1473" s="217"/>
      <c r="D1473" s="217"/>
      <c r="E1473" s="217"/>
      <c r="F1473" s="217"/>
      <c r="G1473" s="218"/>
      <c r="H1473" s="217"/>
    </row>
    <row r="1474">
      <c r="A1474" s="217"/>
      <c r="B1474" s="217"/>
      <c r="C1474" s="217"/>
      <c r="D1474" s="217"/>
      <c r="E1474" s="217"/>
      <c r="F1474" s="217"/>
      <c r="G1474" s="218"/>
      <c r="H1474" s="217"/>
    </row>
    <row r="1475">
      <c r="A1475" s="217"/>
      <c r="B1475" s="217"/>
      <c r="C1475" s="217"/>
      <c r="D1475" s="217"/>
      <c r="E1475" s="217"/>
      <c r="F1475" s="217"/>
      <c r="G1475" s="218"/>
      <c r="H1475" s="217"/>
    </row>
    <row r="1476">
      <c r="A1476" s="217"/>
      <c r="B1476" s="217"/>
      <c r="C1476" s="217"/>
      <c r="D1476" s="217"/>
      <c r="E1476" s="217"/>
      <c r="F1476" s="217"/>
      <c r="G1476" s="218"/>
      <c r="H1476" s="217"/>
    </row>
    <row r="1477">
      <c r="A1477" s="217"/>
      <c r="B1477" s="217"/>
      <c r="C1477" s="217"/>
      <c r="D1477" s="217"/>
      <c r="E1477" s="217"/>
      <c r="F1477" s="217"/>
      <c r="G1477" s="218"/>
      <c r="H1477" s="217"/>
    </row>
    <row r="1478">
      <c r="A1478" s="217"/>
      <c r="B1478" s="217"/>
      <c r="C1478" s="217"/>
      <c r="D1478" s="217"/>
      <c r="E1478" s="217"/>
      <c r="F1478" s="217"/>
      <c r="G1478" s="218"/>
      <c r="H1478" s="217"/>
    </row>
    <row r="1479">
      <c r="A1479" s="217"/>
      <c r="B1479" s="217"/>
      <c r="C1479" s="217"/>
      <c r="D1479" s="217"/>
      <c r="E1479" s="217"/>
      <c r="F1479" s="217"/>
      <c r="G1479" s="218"/>
      <c r="H1479" s="217"/>
    </row>
    <row r="1480">
      <c r="A1480" s="217"/>
      <c r="B1480" s="217"/>
      <c r="C1480" s="217"/>
      <c r="D1480" s="217"/>
      <c r="E1480" s="217"/>
      <c r="F1480" s="217"/>
      <c r="G1480" s="218"/>
      <c r="H1480" s="217"/>
    </row>
    <row r="1481">
      <c r="A1481" s="217"/>
      <c r="B1481" s="217"/>
      <c r="C1481" s="217"/>
      <c r="D1481" s="217"/>
      <c r="E1481" s="217"/>
      <c r="F1481" s="217"/>
      <c r="G1481" s="218"/>
      <c r="H1481" s="217"/>
    </row>
    <row r="1482">
      <c r="A1482" s="217"/>
      <c r="B1482" s="217"/>
      <c r="C1482" s="217"/>
      <c r="D1482" s="217"/>
      <c r="E1482" s="217"/>
      <c r="F1482" s="217"/>
      <c r="G1482" s="218"/>
      <c r="H1482" s="217"/>
    </row>
    <row r="1483">
      <c r="A1483" s="217"/>
      <c r="B1483" s="217"/>
      <c r="C1483" s="217"/>
      <c r="D1483" s="217"/>
      <c r="E1483" s="217"/>
      <c r="F1483" s="217"/>
      <c r="G1483" s="218"/>
      <c r="H1483" s="217"/>
    </row>
    <row r="1484">
      <c r="A1484" s="217"/>
      <c r="B1484" s="217"/>
      <c r="C1484" s="217"/>
      <c r="D1484" s="217"/>
      <c r="E1484" s="217"/>
      <c r="F1484" s="217"/>
      <c r="G1484" s="218"/>
      <c r="H1484" s="217"/>
    </row>
    <row r="1485">
      <c r="A1485" s="217"/>
      <c r="B1485" s="217"/>
      <c r="C1485" s="217"/>
      <c r="D1485" s="217"/>
      <c r="E1485" s="217"/>
      <c r="F1485" s="217"/>
      <c r="G1485" s="218"/>
      <c r="H1485" s="217"/>
    </row>
    <row r="1486">
      <c r="A1486" s="217"/>
      <c r="B1486" s="217"/>
      <c r="C1486" s="217"/>
      <c r="D1486" s="217"/>
      <c r="E1486" s="217"/>
      <c r="F1486" s="217"/>
      <c r="G1486" s="218"/>
      <c r="H1486" s="217"/>
    </row>
    <row r="1487">
      <c r="A1487" s="217"/>
      <c r="B1487" s="217"/>
      <c r="C1487" s="217"/>
      <c r="D1487" s="217"/>
      <c r="E1487" s="217"/>
      <c r="F1487" s="217"/>
      <c r="G1487" s="218"/>
      <c r="H1487" s="217"/>
    </row>
    <row r="1488">
      <c r="A1488" s="217"/>
      <c r="B1488" s="217"/>
      <c r="C1488" s="217"/>
      <c r="D1488" s="217"/>
      <c r="E1488" s="217"/>
      <c r="F1488" s="217"/>
      <c r="G1488" s="218"/>
      <c r="H1488" s="217"/>
    </row>
    <row r="1489">
      <c r="A1489" s="217"/>
      <c r="B1489" s="217"/>
      <c r="C1489" s="217"/>
      <c r="D1489" s="217"/>
      <c r="E1489" s="217"/>
      <c r="F1489" s="217"/>
      <c r="G1489" s="218"/>
      <c r="H1489" s="217"/>
    </row>
    <row r="1490">
      <c r="A1490" s="217"/>
      <c r="B1490" s="217"/>
      <c r="C1490" s="217"/>
      <c r="D1490" s="217"/>
      <c r="E1490" s="217"/>
      <c r="F1490" s="217"/>
      <c r="G1490" s="218"/>
      <c r="H1490" s="217"/>
    </row>
    <row r="1491">
      <c r="A1491" s="217"/>
      <c r="B1491" s="217"/>
      <c r="C1491" s="217"/>
      <c r="D1491" s="217"/>
      <c r="E1491" s="217"/>
      <c r="F1491" s="217"/>
      <c r="G1491" s="218"/>
      <c r="H1491" s="217"/>
    </row>
    <row r="1492">
      <c r="A1492" s="217"/>
      <c r="B1492" s="217"/>
      <c r="C1492" s="217"/>
      <c r="D1492" s="217"/>
      <c r="E1492" s="217"/>
      <c r="F1492" s="217"/>
      <c r="G1492" s="218"/>
      <c r="H1492" s="217"/>
    </row>
    <row r="1493">
      <c r="A1493" s="217"/>
      <c r="B1493" s="217"/>
      <c r="C1493" s="217"/>
      <c r="D1493" s="217"/>
      <c r="E1493" s="217"/>
      <c r="F1493" s="217"/>
      <c r="G1493" s="218"/>
      <c r="H1493" s="217"/>
    </row>
    <row r="1494">
      <c r="A1494" s="217"/>
      <c r="B1494" s="217"/>
      <c r="C1494" s="217"/>
      <c r="D1494" s="217"/>
      <c r="E1494" s="217"/>
      <c r="F1494" s="217"/>
      <c r="G1494" s="218"/>
      <c r="H1494" s="217"/>
    </row>
    <row r="1495">
      <c r="A1495" s="217"/>
      <c r="B1495" s="217"/>
      <c r="C1495" s="217"/>
      <c r="D1495" s="217"/>
      <c r="E1495" s="217"/>
      <c r="F1495" s="217"/>
      <c r="G1495" s="218"/>
      <c r="H1495" s="217"/>
    </row>
    <row r="1496">
      <c r="A1496" s="217"/>
      <c r="B1496" s="217"/>
      <c r="C1496" s="217"/>
      <c r="D1496" s="217"/>
      <c r="E1496" s="217"/>
      <c r="F1496" s="217"/>
      <c r="G1496" s="218"/>
      <c r="H1496" s="217"/>
    </row>
    <row r="1497">
      <c r="A1497" s="217"/>
      <c r="B1497" s="217"/>
      <c r="C1497" s="217"/>
      <c r="D1497" s="217"/>
      <c r="E1497" s="217"/>
      <c r="F1497" s="217"/>
      <c r="G1497" s="218"/>
      <c r="H1497" s="217"/>
    </row>
    <row r="1498">
      <c r="A1498" s="217"/>
      <c r="B1498" s="217"/>
      <c r="C1498" s="217"/>
      <c r="D1498" s="217"/>
      <c r="E1498" s="217"/>
      <c r="F1498" s="217"/>
      <c r="G1498" s="218"/>
      <c r="H1498" s="217"/>
    </row>
    <row r="1499">
      <c r="A1499" s="217"/>
      <c r="B1499" s="217"/>
      <c r="C1499" s="217"/>
      <c r="D1499" s="217"/>
      <c r="E1499" s="217"/>
      <c r="F1499" s="217"/>
      <c r="G1499" s="218"/>
      <c r="H1499" s="217"/>
    </row>
    <row r="1500">
      <c r="A1500" s="217"/>
      <c r="B1500" s="217"/>
      <c r="C1500" s="217"/>
      <c r="D1500" s="217"/>
      <c r="E1500" s="217"/>
      <c r="F1500" s="217"/>
      <c r="G1500" s="218"/>
      <c r="H1500" s="217"/>
    </row>
    <row r="1501">
      <c r="A1501" s="217"/>
      <c r="B1501" s="217"/>
      <c r="C1501" s="217"/>
      <c r="D1501" s="217"/>
      <c r="E1501" s="217"/>
      <c r="F1501" s="217"/>
      <c r="G1501" s="218"/>
      <c r="H1501" s="217"/>
    </row>
    <row r="1502">
      <c r="A1502" s="217"/>
      <c r="B1502" s="217"/>
      <c r="C1502" s="217"/>
      <c r="D1502" s="217"/>
      <c r="E1502" s="217"/>
      <c r="F1502" s="217"/>
      <c r="G1502" s="218"/>
      <c r="H1502" s="217"/>
    </row>
    <row r="1503">
      <c r="A1503" s="217"/>
      <c r="B1503" s="217"/>
      <c r="C1503" s="217"/>
      <c r="D1503" s="217"/>
      <c r="E1503" s="217"/>
      <c r="F1503" s="217"/>
      <c r="G1503" s="218"/>
      <c r="H1503" s="217"/>
    </row>
    <row r="1504">
      <c r="A1504" s="217"/>
      <c r="B1504" s="217"/>
      <c r="C1504" s="217"/>
      <c r="D1504" s="217"/>
      <c r="E1504" s="217"/>
      <c r="F1504" s="217"/>
      <c r="G1504" s="218"/>
      <c r="H1504" s="217"/>
    </row>
    <row r="1505">
      <c r="A1505" s="217"/>
      <c r="B1505" s="217"/>
      <c r="C1505" s="217"/>
      <c r="D1505" s="217"/>
      <c r="E1505" s="217"/>
      <c r="F1505" s="217"/>
      <c r="G1505" s="218"/>
      <c r="H1505" s="217"/>
    </row>
    <row r="1506">
      <c r="A1506" s="217"/>
      <c r="B1506" s="217"/>
      <c r="C1506" s="217"/>
      <c r="D1506" s="217"/>
      <c r="E1506" s="217"/>
      <c r="F1506" s="217"/>
      <c r="G1506" s="218"/>
      <c r="H1506" s="217"/>
    </row>
    <row r="1507">
      <c r="A1507" s="217"/>
      <c r="B1507" s="217"/>
      <c r="C1507" s="217"/>
      <c r="D1507" s="217"/>
      <c r="E1507" s="217"/>
      <c r="F1507" s="217"/>
      <c r="G1507" s="218"/>
      <c r="H1507" s="217"/>
    </row>
    <row r="1508">
      <c r="A1508" s="217"/>
      <c r="B1508" s="217"/>
      <c r="C1508" s="217"/>
      <c r="D1508" s="217"/>
      <c r="E1508" s="217"/>
      <c r="F1508" s="217"/>
      <c r="G1508" s="218"/>
      <c r="H1508" s="217"/>
    </row>
    <row r="1509">
      <c r="A1509" s="217"/>
      <c r="B1509" s="217"/>
      <c r="C1509" s="217"/>
      <c r="D1509" s="217"/>
      <c r="E1509" s="217"/>
      <c r="F1509" s="217"/>
      <c r="G1509" s="218"/>
      <c r="H1509" s="217"/>
    </row>
    <row r="1510">
      <c r="A1510" s="217"/>
      <c r="B1510" s="217"/>
      <c r="C1510" s="217"/>
      <c r="D1510" s="217"/>
      <c r="E1510" s="217"/>
      <c r="F1510" s="217"/>
      <c r="G1510" s="218"/>
      <c r="H1510" s="217"/>
    </row>
    <row r="1511">
      <c r="A1511" s="217"/>
      <c r="B1511" s="217"/>
      <c r="C1511" s="217"/>
      <c r="D1511" s="217"/>
      <c r="E1511" s="217"/>
      <c r="F1511" s="217"/>
      <c r="G1511" s="218"/>
      <c r="H1511" s="217"/>
    </row>
    <row r="1512">
      <c r="A1512" s="217"/>
      <c r="B1512" s="217"/>
      <c r="C1512" s="217"/>
      <c r="D1512" s="217"/>
      <c r="E1512" s="217"/>
      <c r="F1512" s="217"/>
      <c r="G1512" s="218"/>
      <c r="H1512" s="217"/>
    </row>
    <row r="1513">
      <c r="A1513" s="217"/>
      <c r="B1513" s="217"/>
      <c r="C1513" s="217"/>
      <c r="D1513" s="217"/>
      <c r="E1513" s="217"/>
      <c r="F1513" s="217"/>
      <c r="G1513" s="218"/>
      <c r="H1513" s="217"/>
    </row>
    <row r="1514">
      <c r="A1514" s="217"/>
      <c r="B1514" s="217"/>
      <c r="C1514" s="217"/>
      <c r="D1514" s="217"/>
      <c r="E1514" s="217"/>
      <c r="F1514" s="217"/>
      <c r="G1514" s="218"/>
      <c r="H1514" s="217"/>
    </row>
    <row r="1515">
      <c r="A1515" s="217"/>
      <c r="B1515" s="217"/>
      <c r="C1515" s="217"/>
      <c r="D1515" s="217"/>
      <c r="E1515" s="217"/>
      <c r="F1515" s="217"/>
      <c r="G1515" s="218"/>
      <c r="H1515" s="217"/>
    </row>
    <row r="1516">
      <c r="A1516" s="217"/>
      <c r="B1516" s="217"/>
      <c r="C1516" s="217"/>
      <c r="D1516" s="217"/>
      <c r="E1516" s="217"/>
      <c r="F1516" s="217"/>
      <c r="G1516" s="218"/>
      <c r="H1516" s="217"/>
    </row>
    <row r="1517">
      <c r="A1517" s="217"/>
      <c r="B1517" s="217"/>
      <c r="C1517" s="217"/>
      <c r="D1517" s="217"/>
      <c r="E1517" s="217"/>
      <c r="F1517" s="217"/>
      <c r="G1517" s="218"/>
      <c r="H1517" s="217"/>
    </row>
    <row r="1518">
      <c r="A1518" s="217"/>
      <c r="B1518" s="217"/>
      <c r="C1518" s="217"/>
      <c r="D1518" s="217"/>
      <c r="E1518" s="217"/>
      <c r="F1518" s="217"/>
      <c r="G1518" s="218"/>
      <c r="H1518" s="217"/>
    </row>
    <row r="1519">
      <c r="A1519" s="217"/>
      <c r="B1519" s="217"/>
      <c r="C1519" s="217"/>
      <c r="D1519" s="217"/>
      <c r="E1519" s="217"/>
      <c r="F1519" s="217"/>
      <c r="G1519" s="218"/>
      <c r="H1519" s="217"/>
    </row>
    <row r="1520">
      <c r="A1520" s="217"/>
      <c r="B1520" s="217"/>
      <c r="C1520" s="217"/>
      <c r="D1520" s="217"/>
      <c r="E1520" s="217"/>
      <c r="F1520" s="217"/>
      <c r="G1520" s="218"/>
      <c r="H1520" s="217"/>
    </row>
    <row r="1521">
      <c r="A1521" s="217"/>
      <c r="B1521" s="217"/>
      <c r="C1521" s="217"/>
      <c r="D1521" s="217"/>
      <c r="E1521" s="217"/>
      <c r="F1521" s="217"/>
      <c r="G1521" s="218"/>
      <c r="H1521" s="217"/>
    </row>
    <row r="1522">
      <c r="A1522" s="217"/>
      <c r="B1522" s="217"/>
      <c r="C1522" s="217"/>
      <c r="D1522" s="217"/>
      <c r="E1522" s="217"/>
      <c r="F1522" s="217"/>
      <c r="G1522" s="218"/>
      <c r="H1522" s="217"/>
    </row>
    <row r="1523">
      <c r="A1523" s="217"/>
      <c r="B1523" s="217"/>
      <c r="C1523" s="217"/>
      <c r="D1523" s="217"/>
      <c r="E1523" s="217"/>
      <c r="F1523" s="217"/>
      <c r="G1523" s="218"/>
      <c r="H1523" s="217"/>
    </row>
    <row r="1524">
      <c r="A1524" s="217"/>
      <c r="B1524" s="217"/>
      <c r="C1524" s="217"/>
      <c r="D1524" s="217"/>
      <c r="E1524" s="217"/>
      <c r="F1524" s="217"/>
      <c r="G1524" s="218"/>
      <c r="H1524" s="217"/>
    </row>
    <row r="1525">
      <c r="A1525" s="217"/>
      <c r="B1525" s="217"/>
      <c r="C1525" s="217"/>
      <c r="D1525" s="217"/>
      <c r="E1525" s="217"/>
      <c r="F1525" s="217"/>
      <c r="G1525" s="218"/>
      <c r="H1525" s="217"/>
    </row>
    <row r="1526">
      <c r="A1526" s="217"/>
      <c r="B1526" s="217"/>
      <c r="C1526" s="217"/>
      <c r="D1526" s="217"/>
      <c r="E1526" s="217"/>
      <c r="F1526" s="217"/>
      <c r="G1526" s="218"/>
      <c r="H1526" s="217"/>
    </row>
    <row r="1527">
      <c r="A1527" s="217"/>
      <c r="B1527" s="217"/>
      <c r="C1527" s="217"/>
      <c r="D1527" s="217"/>
      <c r="E1527" s="217"/>
      <c r="F1527" s="217"/>
      <c r="G1527" s="218"/>
      <c r="H1527" s="217"/>
    </row>
    <row r="1528">
      <c r="A1528" s="217"/>
      <c r="B1528" s="217"/>
      <c r="C1528" s="217"/>
      <c r="D1528" s="217"/>
      <c r="E1528" s="217"/>
      <c r="F1528" s="217"/>
      <c r="G1528" s="218"/>
      <c r="H1528" s="217"/>
    </row>
    <row r="1529">
      <c r="A1529" s="217"/>
      <c r="B1529" s="217"/>
      <c r="C1529" s="217"/>
      <c r="D1529" s="217"/>
      <c r="E1529" s="217"/>
      <c r="F1529" s="217"/>
      <c r="G1529" s="218"/>
      <c r="H1529" s="217"/>
    </row>
    <row r="1530">
      <c r="A1530" s="217"/>
      <c r="B1530" s="217"/>
      <c r="C1530" s="217"/>
      <c r="D1530" s="217"/>
      <c r="E1530" s="217"/>
      <c r="F1530" s="217"/>
      <c r="G1530" s="218"/>
      <c r="H1530" s="217"/>
    </row>
    <row r="1531">
      <c r="A1531" s="217"/>
      <c r="B1531" s="217"/>
      <c r="C1531" s="217"/>
      <c r="D1531" s="217"/>
      <c r="E1531" s="217"/>
      <c r="F1531" s="217"/>
      <c r="G1531" s="218"/>
      <c r="H1531" s="217"/>
    </row>
    <row r="1532">
      <c r="A1532" s="217"/>
      <c r="B1532" s="217"/>
      <c r="C1532" s="217"/>
      <c r="D1532" s="217"/>
      <c r="E1532" s="217"/>
      <c r="F1532" s="217"/>
      <c r="G1532" s="218"/>
      <c r="H1532" s="217"/>
    </row>
    <row r="1533">
      <c r="A1533" s="217"/>
      <c r="B1533" s="217"/>
      <c r="C1533" s="217"/>
      <c r="D1533" s="217"/>
      <c r="E1533" s="217"/>
      <c r="F1533" s="217"/>
      <c r="G1533" s="218"/>
      <c r="H1533" s="217"/>
    </row>
    <row r="1534">
      <c r="A1534" s="217"/>
      <c r="B1534" s="217"/>
      <c r="C1534" s="217"/>
      <c r="D1534" s="217"/>
      <c r="E1534" s="217"/>
      <c r="F1534" s="217"/>
      <c r="G1534" s="218"/>
      <c r="H1534" s="217"/>
    </row>
    <row r="1535">
      <c r="A1535" s="217"/>
      <c r="B1535" s="217"/>
      <c r="C1535" s="217"/>
      <c r="D1535" s="217"/>
      <c r="E1535" s="217"/>
      <c r="F1535" s="217"/>
      <c r="G1535" s="218"/>
      <c r="H1535" s="217"/>
    </row>
    <row r="1536">
      <c r="A1536" s="217"/>
      <c r="B1536" s="217"/>
      <c r="C1536" s="217"/>
      <c r="D1536" s="217"/>
      <c r="E1536" s="217"/>
      <c r="F1536" s="217"/>
      <c r="G1536" s="218"/>
      <c r="H1536" s="217"/>
    </row>
    <row r="1537">
      <c r="A1537" s="217"/>
      <c r="B1537" s="217"/>
      <c r="C1537" s="217"/>
      <c r="D1537" s="217"/>
      <c r="E1537" s="217"/>
      <c r="F1537" s="217"/>
      <c r="G1537" s="218"/>
      <c r="H1537" s="217"/>
    </row>
    <row r="1538">
      <c r="A1538" s="217"/>
      <c r="B1538" s="217"/>
      <c r="C1538" s="217"/>
      <c r="D1538" s="217"/>
      <c r="E1538" s="217"/>
      <c r="F1538" s="217"/>
      <c r="G1538" s="218"/>
      <c r="H1538" s="217"/>
    </row>
    <row r="1539">
      <c r="A1539" s="217"/>
      <c r="B1539" s="217"/>
      <c r="C1539" s="217"/>
      <c r="D1539" s="217"/>
      <c r="E1539" s="217"/>
      <c r="F1539" s="217"/>
      <c r="G1539" s="218"/>
      <c r="H1539" s="217"/>
    </row>
    <row r="1540">
      <c r="A1540" s="217"/>
      <c r="B1540" s="217"/>
      <c r="C1540" s="217"/>
      <c r="D1540" s="217"/>
      <c r="E1540" s="217"/>
      <c r="F1540" s="217"/>
      <c r="G1540" s="218"/>
      <c r="H1540" s="217"/>
    </row>
    <row r="1541">
      <c r="A1541" s="217"/>
      <c r="B1541" s="217"/>
      <c r="C1541" s="217"/>
      <c r="D1541" s="217"/>
      <c r="E1541" s="217"/>
      <c r="F1541" s="217"/>
      <c r="G1541" s="218"/>
      <c r="H1541" s="217"/>
    </row>
    <row r="1542">
      <c r="A1542" s="217"/>
      <c r="B1542" s="217"/>
      <c r="C1542" s="217"/>
      <c r="D1542" s="217"/>
      <c r="E1542" s="217"/>
      <c r="F1542" s="217"/>
      <c r="G1542" s="218"/>
      <c r="H1542" s="217"/>
    </row>
    <row r="1543">
      <c r="A1543" s="217"/>
      <c r="B1543" s="217"/>
      <c r="C1543" s="217"/>
      <c r="D1543" s="217"/>
      <c r="E1543" s="217"/>
      <c r="F1543" s="217"/>
      <c r="G1543" s="218"/>
      <c r="H1543" s="217"/>
    </row>
    <row r="1544">
      <c r="A1544" s="217"/>
      <c r="B1544" s="217"/>
      <c r="C1544" s="217"/>
      <c r="D1544" s="217"/>
      <c r="E1544" s="217"/>
      <c r="F1544" s="217"/>
      <c r="G1544" s="218"/>
      <c r="H1544" s="217"/>
    </row>
    <row r="1545">
      <c r="A1545" s="217"/>
      <c r="B1545" s="217"/>
      <c r="C1545" s="217"/>
      <c r="D1545" s="217"/>
      <c r="E1545" s="217"/>
      <c r="F1545" s="217"/>
      <c r="G1545" s="218"/>
      <c r="H1545" s="217"/>
    </row>
    <row r="1546">
      <c r="A1546" s="217"/>
      <c r="B1546" s="217"/>
      <c r="C1546" s="217"/>
      <c r="D1546" s="217"/>
      <c r="E1546" s="217"/>
      <c r="F1546" s="217"/>
      <c r="G1546" s="218"/>
      <c r="H1546" s="217"/>
    </row>
    <row r="1547">
      <c r="A1547" s="217"/>
      <c r="B1547" s="217"/>
      <c r="C1547" s="217"/>
      <c r="D1547" s="217"/>
      <c r="E1547" s="217"/>
      <c r="F1547" s="217"/>
      <c r="G1547" s="218"/>
      <c r="H1547" s="217"/>
    </row>
    <row r="1548">
      <c r="A1548" s="217"/>
      <c r="B1548" s="217"/>
      <c r="C1548" s="217"/>
      <c r="D1548" s="217"/>
      <c r="E1548" s="217"/>
      <c r="F1548" s="217"/>
      <c r="G1548" s="218"/>
      <c r="H1548" s="217"/>
    </row>
    <row r="1549">
      <c r="A1549" s="217"/>
      <c r="B1549" s="217"/>
      <c r="C1549" s="217"/>
      <c r="D1549" s="217"/>
      <c r="E1549" s="217"/>
      <c r="F1549" s="217"/>
      <c r="G1549" s="218"/>
      <c r="H1549" s="217"/>
    </row>
    <row r="1550">
      <c r="A1550" s="217"/>
      <c r="B1550" s="217"/>
      <c r="C1550" s="217"/>
      <c r="D1550" s="217"/>
      <c r="E1550" s="217"/>
      <c r="F1550" s="217"/>
      <c r="G1550" s="218"/>
      <c r="H1550" s="217"/>
    </row>
    <row r="1551">
      <c r="A1551" s="217"/>
      <c r="B1551" s="217"/>
      <c r="C1551" s="217"/>
      <c r="D1551" s="217"/>
      <c r="E1551" s="217"/>
      <c r="F1551" s="217"/>
      <c r="G1551" s="218"/>
      <c r="H1551" s="217"/>
    </row>
    <row r="1552">
      <c r="A1552" s="217"/>
      <c r="B1552" s="217"/>
      <c r="C1552" s="217"/>
      <c r="D1552" s="217"/>
      <c r="E1552" s="217"/>
      <c r="F1552" s="217"/>
      <c r="G1552" s="218"/>
      <c r="H1552" s="217"/>
    </row>
    <row r="1553">
      <c r="A1553" s="217"/>
      <c r="B1553" s="217"/>
      <c r="C1553" s="217"/>
      <c r="D1553" s="217"/>
      <c r="E1553" s="217"/>
      <c r="F1553" s="217"/>
      <c r="G1553" s="218"/>
      <c r="H1553" s="217"/>
    </row>
    <row r="1554">
      <c r="A1554" s="217"/>
      <c r="B1554" s="217"/>
      <c r="C1554" s="217"/>
      <c r="D1554" s="217"/>
      <c r="E1554" s="217"/>
      <c r="F1554" s="217"/>
      <c r="G1554" s="218"/>
      <c r="H1554" s="217"/>
    </row>
    <row r="1555">
      <c r="A1555" s="217"/>
      <c r="B1555" s="217"/>
      <c r="C1555" s="217"/>
      <c r="D1555" s="217"/>
      <c r="E1555" s="217"/>
      <c r="F1555" s="217"/>
      <c r="G1555" s="218"/>
      <c r="H1555" s="217"/>
    </row>
    <row r="1556">
      <c r="A1556" s="217"/>
      <c r="B1556" s="217"/>
      <c r="C1556" s="217"/>
      <c r="D1556" s="217"/>
      <c r="E1556" s="217"/>
      <c r="F1556" s="217"/>
      <c r="G1556" s="218"/>
      <c r="H1556" s="217"/>
    </row>
    <row r="1557">
      <c r="A1557" s="217"/>
      <c r="B1557" s="217"/>
      <c r="C1557" s="217"/>
      <c r="D1557" s="217"/>
      <c r="E1557" s="217"/>
      <c r="F1557" s="217"/>
      <c r="G1557" s="218"/>
      <c r="H1557" s="217"/>
    </row>
    <row r="1558">
      <c r="A1558" s="217"/>
      <c r="B1558" s="217"/>
      <c r="C1558" s="217"/>
      <c r="D1558" s="217"/>
      <c r="E1558" s="217"/>
      <c r="F1558" s="217"/>
      <c r="G1558" s="218"/>
      <c r="H1558" s="217"/>
    </row>
    <row r="1559">
      <c r="A1559" s="217"/>
      <c r="B1559" s="217"/>
      <c r="C1559" s="217"/>
      <c r="D1559" s="217"/>
      <c r="E1559" s="217"/>
      <c r="F1559" s="217"/>
      <c r="G1559" s="218"/>
      <c r="H1559" s="217"/>
    </row>
    <row r="1560">
      <c r="A1560" s="217"/>
      <c r="B1560" s="217"/>
      <c r="C1560" s="217"/>
      <c r="D1560" s="217"/>
      <c r="E1560" s="217"/>
      <c r="F1560" s="217"/>
      <c r="G1560" s="218"/>
      <c r="H1560" s="217"/>
    </row>
    <row r="1561">
      <c r="A1561" s="217"/>
      <c r="B1561" s="217"/>
      <c r="C1561" s="217"/>
      <c r="D1561" s="217"/>
      <c r="E1561" s="217"/>
      <c r="F1561" s="217"/>
      <c r="G1561" s="218"/>
      <c r="H1561" s="217"/>
    </row>
    <row r="1562">
      <c r="A1562" s="217"/>
      <c r="B1562" s="217"/>
      <c r="C1562" s="217"/>
      <c r="D1562" s="217"/>
      <c r="E1562" s="217"/>
      <c r="F1562" s="217"/>
      <c r="G1562" s="218"/>
      <c r="H1562" s="217"/>
    </row>
    <row r="1563">
      <c r="A1563" s="217"/>
      <c r="B1563" s="217"/>
      <c r="C1563" s="217"/>
      <c r="D1563" s="217"/>
      <c r="E1563" s="217"/>
      <c r="F1563" s="217"/>
      <c r="G1563" s="218"/>
      <c r="H1563" s="217"/>
    </row>
    <row r="1564">
      <c r="A1564" s="217"/>
      <c r="B1564" s="217"/>
      <c r="C1564" s="217"/>
      <c r="D1564" s="217"/>
      <c r="E1564" s="217"/>
      <c r="F1564" s="217"/>
      <c r="G1564" s="218"/>
      <c r="H1564" s="217"/>
    </row>
    <row r="1565">
      <c r="A1565" s="217"/>
      <c r="B1565" s="217"/>
      <c r="C1565" s="217"/>
      <c r="D1565" s="217"/>
      <c r="E1565" s="217"/>
      <c r="F1565" s="217"/>
      <c r="G1565" s="218"/>
      <c r="H1565" s="217"/>
    </row>
    <row r="1566">
      <c r="A1566" s="217"/>
      <c r="B1566" s="217"/>
      <c r="C1566" s="217"/>
      <c r="D1566" s="217"/>
      <c r="E1566" s="217"/>
      <c r="F1566" s="217"/>
      <c r="G1566" s="218"/>
      <c r="H1566" s="217"/>
    </row>
    <row r="1567">
      <c r="A1567" s="217"/>
      <c r="B1567" s="217"/>
      <c r="C1567" s="217"/>
      <c r="D1567" s="217"/>
      <c r="E1567" s="217"/>
      <c r="F1567" s="217"/>
      <c r="G1567" s="218"/>
      <c r="H1567" s="217"/>
    </row>
    <row r="1568">
      <c r="A1568" s="217"/>
      <c r="B1568" s="217"/>
      <c r="C1568" s="217"/>
      <c r="D1568" s="217"/>
      <c r="E1568" s="217"/>
      <c r="F1568" s="217"/>
      <c r="G1568" s="218"/>
      <c r="H1568" s="217"/>
    </row>
    <row r="1569">
      <c r="A1569" s="217"/>
      <c r="B1569" s="217"/>
      <c r="C1569" s="217"/>
      <c r="D1569" s="217"/>
      <c r="E1569" s="217"/>
      <c r="F1569" s="217"/>
      <c r="G1569" s="218"/>
      <c r="H1569" s="217"/>
    </row>
    <row r="1570">
      <c r="A1570" s="217"/>
      <c r="B1570" s="217"/>
      <c r="C1570" s="217"/>
      <c r="D1570" s="217"/>
      <c r="E1570" s="217"/>
      <c r="F1570" s="217"/>
      <c r="G1570" s="218"/>
      <c r="H1570" s="217"/>
    </row>
    <row r="1571">
      <c r="A1571" s="217"/>
      <c r="B1571" s="217"/>
      <c r="C1571" s="217"/>
      <c r="D1571" s="217"/>
      <c r="E1571" s="217"/>
      <c r="F1571" s="217"/>
      <c r="G1571" s="218"/>
      <c r="H1571" s="217"/>
    </row>
    <row r="1572">
      <c r="A1572" s="217"/>
      <c r="B1572" s="217"/>
      <c r="C1572" s="217"/>
      <c r="D1572" s="217"/>
      <c r="E1572" s="217"/>
      <c r="F1572" s="217"/>
      <c r="G1572" s="218"/>
      <c r="H1572" s="217"/>
    </row>
    <row r="1573">
      <c r="A1573" s="217"/>
      <c r="B1573" s="217"/>
      <c r="C1573" s="217"/>
      <c r="D1573" s="217"/>
      <c r="E1573" s="217"/>
      <c r="F1573" s="217"/>
      <c r="G1573" s="218"/>
      <c r="H1573" s="217"/>
    </row>
    <row r="1574">
      <c r="A1574" s="217"/>
      <c r="B1574" s="217"/>
      <c r="C1574" s="217"/>
      <c r="D1574" s="217"/>
      <c r="E1574" s="217"/>
      <c r="F1574" s="217"/>
      <c r="G1574" s="218"/>
      <c r="H1574" s="217"/>
    </row>
    <row r="1575">
      <c r="A1575" s="217"/>
      <c r="B1575" s="217"/>
      <c r="C1575" s="217"/>
      <c r="D1575" s="217"/>
      <c r="E1575" s="217"/>
      <c r="F1575" s="217"/>
      <c r="G1575" s="218"/>
      <c r="H1575" s="217"/>
    </row>
    <row r="1576">
      <c r="A1576" s="217"/>
      <c r="B1576" s="217"/>
      <c r="C1576" s="217"/>
      <c r="D1576" s="217"/>
      <c r="E1576" s="217"/>
      <c r="F1576" s="217"/>
      <c r="G1576" s="218"/>
      <c r="H1576" s="217"/>
    </row>
    <row r="1577">
      <c r="A1577" s="217"/>
      <c r="B1577" s="217"/>
      <c r="C1577" s="217"/>
      <c r="D1577" s="217"/>
      <c r="E1577" s="217"/>
      <c r="F1577" s="217"/>
      <c r="G1577" s="218"/>
      <c r="H1577" s="217"/>
    </row>
    <row r="1578">
      <c r="A1578" s="217"/>
      <c r="B1578" s="217"/>
      <c r="C1578" s="217"/>
      <c r="D1578" s="217"/>
      <c r="E1578" s="217"/>
      <c r="F1578" s="217"/>
      <c r="G1578" s="218"/>
      <c r="H1578" s="217"/>
    </row>
    <row r="1579">
      <c r="A1579" s="217"/>
      <c r="B1579" s="217"/>
      <c r="C1579" s="217"/>
      <c r="D1579" s="217"/>
      <c r="E1579" s="217"/>
      <c r="F1579" s="217"/>
      <c r="G1579" s="218"/>
      <c r="H1579" s="217"/>
    </row>
    <row r="1580">
      <c r="A1580" s="217"/>
      <c r="B1580" s="217"/>
      <c r="C1580" s="217"/>
      <c r="D1580" s="217"/>
      <c r="E1580" s="217"/>
      <c r="F1580" s="217"/>
      <c r="G1580" s="218"/>
      <c r="H1580" s="217"/>
    </row>
    <row r="1581">
      <c r="A1581" s="217"/>
      <c r="B1581" s="217"/>
      <c r="C1581" s="217"/>
      <c r="D1581" s="217"/>
      <c r="E1581" s="217"/>
      <c r="F1581" s="217"/>
      <c r="G1581" s="218"/>
      <c r="H1581" s="217"/>
    </row>
    <row r="1582">
      <c r="A1582" s="217"/>
      <c r="B1582" s="217"/>
      <c r="C1582" s="217"/>
      <c r="D1582" s="217"/>
      <c r="E1582" s="217"/>
      <c r="F1582" s="217"/>
      <c r="G1582" s="218"/>
      <c r="H1582" s="217"/>
    </row>
    <row r="1583">
      <c r="A1583" s="217"/>
      <c r="B1583" s="217"/>
      <c r="C1583" s="217"/>
      <c r="D1583" s="217"/>
      <c r="E1583" s="217"/>
      <c r="F1583" s="217"/>
      <c r="G1583" s="218"/>
      <c r="H1583" s="217"/>
    </row>
    <row r="1584">
      <c r="A1584" s="217"/>
      <c r="B1584" s="217"/>
      <c r="C1584" s="217"/>
      <c r="D1584" s="217"/>
      <c r="E1584" s="217"/>
      <c r="F1584" s="217"/>
      <c r="G1584" s="218"/>
      <c r="H1584" s="217"/>
    </row>
    <row r="1585">
      <c r="A1585" s="217"/>
      <c r="B1585" s="217"/>
      <c r="C1585" s="217"/>
      <c r="D1585" s="217"/>
      <c r="E1585" s="217"/>
      <c r="F1585" s="217"/>
      <c r="G1585" s="218"/>
      <c r="H1585" s="217"/>
    </row>
    <row r="1586">
      <c r="A1586" s="217"/>
      <c r="B1586" s="217"/>
      <c r="C1586" s="217"/>
      <c r="D1586" s="217"/>
      <c r="E1586" s="217"/>
      <c r="F1586" s="217"/>
      <c r="G1586" s="218"/>
      <c r="H1586" s="217"/>
    </row>
    <row r="1587">
      <c r="A1587" s="217"/>
      <c r="B1587" s="217"/>
      <c r="C1587" s="217"/>
      <c r="D1587" s="217"/>
      <c r="E1587" s="217"/>
      <c r="F1587" s="217"/>
      <c r="G1587" s="218"/>
      <c r="H1587" s="217"/>
    </row>
    <row r="1588">
      <c r="A1588" s="217"/>
      <c r="B1588" s="217"/>
      <c r="C1588" s="217"/>
      <c r="D1588" s="217"/>
      <c r="E1588" s="217"/>
      <c r="F1588" s="217"/>
      <c r="G1588" s="218"/>
      <c r="H1588" s="217"/>
    </row>
    <row r="1589">
      <c r="A1589" s="217"/>
      <c r="B1589" s="217"/>
      <c r="C1589" s="217"/>
      <c r="D1589" s="217"/>
      <c r="E1589" s="217"/>
      <c r="F1589" s="217"/>
      <c r="G1589" s="218"/>
      <c r="H1589" s="217"/>
    </row>
    <row r="1590">
      <c r="A1590" s="217"/>
      <c r="B1590" s="217"/>
      <c r="C1590" s="217"/>
      <c r="D1590" s="217"/>
      <c r="E1590" s="217"/>
      <c r="F1590" s="217"/>
      <c r="G1590" s="218"/>
      <c r="H1590" s="217"/>
    </row>
    <row r="1591">
      <c r="A1591" s="217"/>
      <c r="B1591" s="217"/>
      <c r="C1591" s="217"/>
      <c r="D1591" s="217"/>
      <c r="E1591" s="217"/>
      <c r="F1591" s="217"/>
      <c r="G1591" s="218"/>
      <c r="H1591" s="217"/>
    </row>
    <row r="1592">
      <c r="A1592" s="217"/>
      <c r="B1592" s="217"/>
      <c r="C1592" s="217"/>
      <c r="D1592" s="217"/>
      <c r="E1592" s="217"/>
      <c r="F1592" s="217"/>
      <c r="G1592" s="218"/>
      <c r="H1592" s="217"/>
    </row>
    <row r="1593">
      <c r="A1593" s="217"/>
      <c r="B1593" s="217"/>
      <c r="C1593" s="217"/>
      <c r="D1593" s="217"/>
      <c r="E1593" s="217"/>
      <c r="F1593" s="217"/>
      <c r="G1593" s="218"/>
      <c r="H1593" s="217"/>
    </row>
    <row r="1594">
      <c r="A1594" s="217"/>
      <c r="B1594" s="217"/>
      <c r="C1594" s="217"/>
      <c r="D1594" s="217"/>
      <c r="E1594" s="217"/>
      <c r="F1594" s="217"/>
      <c r="G1594" s="218"/>
      <c r="H1594" s="217"/>
    </row>
    <row r="1595">
      <c r="A1595" s="217"/>
      <c r="B1595" s="217"/>
      <c r="C1595" s="217"/>
      <c r="D1595" s="217"/>
      <c r="E1595" s="217"/>
      <c r="F1595" s="217"/>
      <c r="G1595" s="218"/>
      <c r="H1595" s="217"/>
    </row>
    <row r="1596">
      <c r="A1596" s="217"/>
      <c r="B1596" s="217"/>
      <c r="C1596" s="217"/>
      <c r="D1596" s="217"/>
      <c r="E1596" s="217"/>
      <c r="F1596" s="217"/>
      <c r="G1596" s="218"/>
      <c r="H1596" s="217"/>
    </row>
    <row r="1597">
      <c r="A1597" s="217"/>
      <c r="B1597" s="217"/>
      <c r="C1597" s="217"/>
      <c r="D1597" s="217"/>
      <c r="E1597" s="217"/>
      <c r="F1597" s="217"/>
      <c r="G1597" s="218"/>
      <c r="H1597" s="217"/>
    </row>
    <row r="1598">
      <c r="A1598" s="217"/>
      <c r="B1598" s="217"/>
      <c r="C1598" s="217"/>
      <c r="D1598" s="217"/>
      <c r="E1598" s="217"/>
      <c r="F1598" s="217"/>
      <c r="G1598" s="218"/>
      <c r="H1598" s="217"/>
    </row>
    <row r="1599">
      <c r="A1599" s="217"/>
      <c r="B1599" s="217"/>
      <c r="C1599" s="217"/>
      <c r="D1599" s="217"/>
      <c r="E1599" s="217"/>
      <c r="F1599" s="217"/>
      <c r="G1599" s="218"/>
      <c r="H1599" s="217"/>
    </row>
    <row r="1600">
      <c r="A1600" s="217"/>
      <c r="B1600" s="217"/>
      <c r="C1600" s="217"/>
      <c r="D1600" s="217"/>
      <c r="E1600" s="217"/>
      <c r="F1600" s="217"/>
      <c r="G1600" s="218"/>
      <c r="H1600" s="217"/>
    </row>
    <row r="1601">
      <c r="A1601" s="217"/>
      <c r="B1601" s="217"/>
      <c r="C1601" s="217"/>
      <c r="D1601" s="217"/>
      <c r="E1601" s="217"/>
      <c r="F1601" s="217"/>
      <c r="G1601" s="218"/>
      <c r="H1601" s="217"/>
    </row>
    <row r="1602">
      <c r="A1602" s="217"/>
      <c r="B1602" s="217"/>
      <c r="C1602" s="217"/>
      <c r="D1602" s="217"/>
      <c r="E1602" s="217"/>
      <c r="F1602" s="217"/>
      <c r="G1602" s="218"/>
      <c r="H1602" s="217"/>
    </row>
    <row r="1603">
      <c r="A1603" s="217"/>
      <c r="B1603" s="217"/>
      <c r="C1603" s="217"/>
      <c r="D1603" s="217"/>
      <c r="E1603" s="217"/>
      <c r="F1603" s="217"/>
      <c r="G1603" s="218"/>
      <c r="H1603" s="217"/>
    </row>
    <row r="1604">
      <c r="A1604" s="217"/>
      <c r="B1604" s="217"/>
      <c r="C1604" s="217"/>
      <c r="D1604" s="217"/>
      <c r="E1604" s="217"/>
      <c r="F1604" s="217"/>
      <c r="G1604" s="218"/>
      <c r="H1604" s="217"/>
    </row>
    <row r="1605">
      <c r="A1605" s="217"/>
      <c r="B1605" s="217"/>
      <c r="C1605" s="217"/>
      <c r="D1605" s="217"/>
      <c r="E1605" s="217"/>
      <c r="F1605" s="217"/>
      <c r="G1605" s="218"/>
      <c r="H1605" s="217"/>
    </row>
    <row r="1606">
      <c r="A1606" s="217"/>
      <c r="B1606" s="217"/>
      <c r="C1606" s="217"/>
      <c r="D1606" s="217"/>
      <c r="E1606" s="217"/>
      <c r="F1606" s="217"/>
      <c r="G1606" s="218"/>
      <c r="H1606" s="217"/>
    </row>
    <row r="1607">
      <c r="A1607" s="217"/>
      <c r="B1607" s="217"/>
      <c r="C1607" s="217"/>
      <c r="D1607" s="217"/>
      <c r="E1607" s="217"/>
      <c r="F1607" s="217"/>
      <c r="G1607" s="218"/>
      <c r="H1607" s="217"/>
    </row>
    <row r="1608">
      <c r="A1608" s="217"/>
      <c r="B1608" s="217"/>
      <c r="C1608" s="217"/>
      <c r="D1608" s="217"/>
      <c r="E1608" s="217"/>
      <c r="F1608" s="217"/>
      <c r="G1608" s="218"/>
      <c r="H1608" s="217"/>
    </row>
    <row r="1609">
      <c r="A1609" s="217"/>
      <c r="B1609" s="217"/>
      <c r="C1609" s="217"/>
      <c r="D1609" s="217"/>
      <c r="E1609" s="217"/>
      <c r="F1609" s="217"/>
      <c r="G1609" s="218"/>
      <c r="H1609" s="217"/>
    </row>
    <row r="1610">
      <c r="A1610" s="217"/>
      <c r="B1610" s="217"/>
      <c r="C1610" s="217"/>
      <c r="D1610" s="217"/>
      <c r="E1610" s="217"/>
      <c r="F1610" s="217"/>
      <c r="G1610" s="218"/>
      <c r="H1610" s="217"/>
    </row>
    <row r="1611">
      <c r="A1611" s="217"/>
      <c r="B1611" s="217"/>
      <c r="C1611" s="217"/>
      <c r="D1611" s="217"/>
      <c r="E1611" s="217"/>
      <c r="F1611" s="217"/>
      <c r="G1611" s="218"/>
      <c r="H1611" s="217"/>
    </row>
    <row r="1612">
      <c r="A1612" s="217"/>
      <c r="B1612" s="217"/>
      <c r="C1612" s="217"/>
      <c r="D1612" s="217"/>
      <c r="E1612" s="217"/>
      <c r="F1612" s="217"/>
      <c r="G1612" s="218"/>
      <c r="H1612" s="217"/>
    </row>
    <row r="1613">
      <c r="A1613" s="217"/>
      <c r="B1613" s="217"/>
      <c r="C1613" s="217"/>
      <c r="D1613" s="217"/>
      <c r="E1613" s="217"/>
      <c r="F1613" s="217"/>
      <c r="G1613" s="218"/>
      <c r="H1613" s="217"/>
    </row>
    <row r="1614">
      <c r="A1614" s="217"/>
      <c r="B1614" s="217"/>
      <c r="C1614" s="217"/>
      <c r="D1614" s="217"/>
      <c r="E1614" s="217"/>
      <c r="F1614" s="217"/>
      <c r="G1614" s="218"/>
      <c r="H1614" s="217"/>
    </row>
    <row r="1615">
      <c r="A1615" s="217"/>
      <c r="B1615" s="217"/>
      <c r="C1615" s="217"/>
      <c r="D1615" s="217"/>
      <c r="E1615" s="217"/>
      <c r="F1615" s="217"/>
      <c r="G1615" s="218"/>
      <c r="H1615" s="217"/>
    </row>
    <row r="1616">
      <c r="A1616" s="217"/>
      <c r="B1616" s="217"/>
      <c r="C1616" s="217"/>
      <c r="D1616" s="217"/>
      <c r="E1616" s="217"/>
      <c r="F1616" s="217"/>
      <c r="G1616" s="218"/>
      <c r="H1616" s="217"/>
    </row>
    <row r="1617">
      <c r="A1617" s="217"/>
      <c r="B1617" s="217"/>
      <c r="C1617" s="217"/>
      <c r="D1617" s="217"/>
      <c r="E1617" s="217"/>
      <c r="F1617" s="217"/>
      <c r="G1617" s="218"/>
      <c r="H1617" s="217"/>
    </row>
    <row r="1618">
      <c r="A1618" s="217"/>
      <c r="B1618" s="217"/>
      <c r="C1618" s="217"/>
      <c r="D1618" s="217"/>
      <c r="E1618" s="217"/>
      <c r="F1618" s="217"/>
      <c r="G1618" s="218"/>
      <c r="H1618" s="217"/>
    </row>
    <row r="1619">
      <c r="A1619" s="217"/>
      <c r="B1619" s="217"/>
      <c r="C1619" s="217"/>
      <c r="D1619" s="217"/>
      <c r="E1619" s="217"/>
      <c r="F1619" s="217"/>
      <c r="G1619" s="218"/>
      <c r="H1619" s="217"/>
    </row>
    <row r="1620">
      <c r="A1620" s="217"/>
      <c r="B1620" s="217"/>
      <c r="C1620" s="217"/>
      <c r="D1620" s="217"/>
      <c r="E1620" s="217"/>
      <c r="F1620" s="217"/>
      <c r="G1620" s="218"/>
      <c r="H1620" s="217"/>
    </row>
    <row r="1621">
      <c r="A1621" s="217"/>
      <c r="B1621" s="217"/>
      <c r="C1621" s="217"/>
      <c r="D1621" s="217"/>
      <c r="E1621" s="217"/>
      <c r="F1621" s="217"/>
      <c r="G1621" s="218"/>
      <c r="H1621" s="217"/>
    </row>
    <row r="1622">
      <c r="A1622" s="217"/>
      <c r="B1622" s="217"/>
      <c r="C1622" s="217"/>
      <c r="D1622" s="217"/>
      <c r="E1622" s="217"/>
      <c r="F1622" s="217"/>
      <c r="G1622" s="218"/>
      <c r="H1622" s="217"/>
    </row>
    <row r="1623">
      <c r="A1623" s="217"/>
      <c r="B1623" s="217"/>
      <c r="C1623" s="217"/>
      <c r="D1623" s="217"/>
      <c r="E1623" s="217"/>
      <c r="F1623" s="217"/>
      <c r="G1623" s="218"/>
      <c r="H1623" s="217"/>
    </row>
    <row r="1624">
      <c r="A1624" s="217"/>
      <c r="B1624" s="217"/>
      <c r="C1624" s="217"/>
      <c r="D1624" s="217"/>
      <c r="E1624" s="217"/>
      <c r="F1624" s="217"/>
      <c r="G1624" s="218"/>
      <c r="H1624" s="217"/>
    </row>
    <row r="1625">
      <c r="A1625" s="217"/>
      <c r="B1625" s="217"/>
      <c r="C1625" s="217"/>
      <c r="D1625" s="217"/>
      <c r="E1625" s="217"/>
      <c r="F1625" s="217"/>
      <c r="G1625" s="218"/>
      <c r="H1625" s="217"/>
    </row>
    <row r="1626">
      <c r="A1626" s="217"/>
      <c r="B1626" s="217"/>
      <c r="C1626" s="217"/>
      <c r="D1626" s="217"/>
      <c r="E1626" s="217"/>
      <c r="F1626" s="217"/>
      <c r="G1626" s="218"/>
      <c r="H1626" s="217"/>
    </row>
    <row r="1627">
      <c r="A1627" s="217"/>
      <c r="B1627" s="217"/>
      <c r="C1627" s="217"/>
      <c r="D1627" s="217"/>
      <c r="E1627" s="217"/>
      <c r="F1627" s="217"/>
      <c r="G1627" s="218"/>
      <c r="H1627" s="217"/>
    </row>
    <row r="1628">
      <c r="A1628" s="217"/>
      <c r="B1628" s="217"/>
      <c r="C1628" s="217"/>
      <c r="D1628" s="217"/>
      <c r="E1628" s="217"/>
      <c r="F1628" s="217"/>
      <c r="G1628" s="218"/>
      <c r="H1628" s="217"/>
    </row>
    <row r="1629">
      <c r="A1629" s="217"/>
      <c r="B1629" s="217"/>
      <c r="C1629" s="217"/>
      <c r="D1629" s="217"/>
      <c r="E1629" s="217"/>
      <c r="F1629" s="217"/>
      <c r="G1629" s="218"/>
      <c r="H1629" s="217"/>
    </row>
    <row r="1630">
      <c r="A1630" s="217"/>
      <c r="B1630" s="217"/>
      <c r="C1630" s="217"/>
      <c r="D1630" s="217"/>
      <c r="E1630" s="217"/>
      <c r="F1630" s="217"/>
      <c r="G1630" s="218"/>
      <c r="H1630" s="217"/>
    </row>
    <row r="1631">
      <c r="A1631" s="217"/>
      <c r="B1631" s="217"/>
      <c r="C1631" s="217"/>
      <c r="D1631" s="217"/>
      <c r="E1631" s="217"/>
      <c r="F1631" s="217"/>
      <c r="G1631" s="218"/>
      <c r="H1631" s="217"/>
    </row>
    <row r="1632">
      <c r="A1632" s="217"/>
      <c r="B1632" s="217"/>
      <c r="C1632" s="217"/>
      <c r="D1632" s="217"/>
      <c r="E1632" s="217"/>
      <c r="F1632" s="217"/>
      <c r="G1632" s="218"/>
      <c r="H1632" s="217"/>
    </row>
    <row r="1633">
      <c r="A1633" s="217"/>
      <c r="B1633" s="217"/>
      <c r="C1633" s="217"/>
      <c r="D1633" s="217"/>
      <c r="E1633" s="217"/>
      <c r="F1633" s="217"/>
      <c r="G1633" s="218"/>
      <c r="H1633" s="217"/>
    </row>
    <row r="1634">
      <c r="A1634" s="217"/>
      <c r="B1634" s="217"/>
      <c r="C1634" s="217"/>
      <c r="D1634" s="217"/>
      <c r="E1634" s="217"/>
      <c r="F1634" s="217"/>
      <c r="G1634" s="218"/>
      <c r="H1634" s="217"/>
    </row>
    <row r="1635">
      <c r="A1635" s="217"/>
      <c r="B1635" s="217"/>
      <c r="C1635" s="217"/>
      <c r="D1635" s="217"/>
      <c r="E1635" s="217"/>
      <c r="F1635" s="217"/>
      <c r="G1635" s="218"/>
      <c r="H1635" s="217"/>
    </row>
    <row r="1636">
      <c r="A1636" s="217"/>
      <c r="B1636" s="217"/>
      <c r="C1636" s="217"/>
      <c r="D1636" s="217"/>
      <c r="E1636" s="217"/>
      <c r="F1636" s="217"/>
      <c r="G1636" s="218"/>
      <c r="H1636" s="217"/>
    </row>
    <row r="1637">
      <c r="A1637" s="217"/>
      <c r="B1637" s="217"/>
      <c r="C1637" s="217"/>
      <c r="D1637" s="217"/>
      <c r="E1637" s="217"/>
      <c r="F1637" s="217"/>
      <c r="G1637" s="218"/>
      <c r="H1637" s="217"/>
    </row>
    <row r="1638">
      <c r="A1638" s="217"/>
      <c r="B1638" s="217"/>
      <c r="C1638" s="217"/>
      <c r="D1638" s="217"/>
      <c r="E1638" s="217"/>
      <c r="F1638" s="217"/>
      <c r="G1638" s="218"/>
      <c r="H1638" s="217"/>
    </row>
    <row r="1639">
      <c r="A1639" s="217"/>
      <c r="B1639" s="217"/>
      <c r="C1639" s="217"/>
      <c r="D1639" s="217"/>
      <c r="E1639" s="217"/>
      <c r="F1639" s="217"/>
      <c r="G1639" s="218"/>
      <c r="H1639" s="217"/>
    </row>
    <row r="1640">
      <c r="A1640" s="217"/>
      <c r="B1640" s="217"/>
      <c r="C1640" s="217"/>
      <c r="D1640" s="217"/>
      <c r="E1640" s="217"/>
      <c r="F1640" s="217"/>
      <c r="G1640" s="218"/>
      <c r="H1640" s="217"/>
    </row>
    <row r="1641">
      <c r="A1641" s="217"/>
      <c r="B1641" s="217"/>
      <c r="C1641" s="217"/>
      <c r="D1641" s="217"/>
      <c r="E1641" s="217"/>
      <c r="F1641" s="217"/>
      <c r="G1641" s="218"/>
      <c r="H1641" s="217"/>
    </row>
    <row r="1642">
      <c r="A1642" s="217"/>
      <c r="B1642" s="217"/>
      <c r="C1642" s="217"/>
      <c r="D1642" s="217"/>
      <c r="E1642" s="217"/>
      <c r="F1642" s="217"/>
      <c r="G1642" s="218"/>
      <c r="H1642" s="217"/>
    </row>
    <row r="1643">
      <c r="A1643" s="217"/>
      <c r="B1643" s="217"/>
      <c r="C1643" s="217"/>
      <c r="D1643" s="217"/>
      <c r="E1643" s="217"/>
      <c r="F1643" s="217"/>
      <c r="G1643" s="218"/>
      <c r="H1643" s="217"/>
    </row>
    <row r="1644">
      <c r="A1644" s="217"/>
      <c r="B1644" s="217"/>
      <c r="C1644" s="217"/>
      <c r="D1644" s="217"/>
      <c r="E1644" s="217"/>
      <c r="F1644" s="217"/>
      <c r="G1644" s="218"/>
      <c r="H1644" s="217"/>
    </row>
    <row r="1645">
      <c r="A1645" s="217"/>
      <c r="B1645" s="217"/>
      <c r="C1645" s="217"/>
      <c r="D1645" s="217"/>
      <c r="E1645" s="217"/>
      <c r="F1645" s="217"/>
      <c r="G1645" s="218"/>
      <c r="H1645" s="217"/>
    </row>
    <row r="1646">
      <c r="A1646" s="217"/>
      <c r="B1646" s="217"/>
      <c r="C1646" s="217"/>
      <c r="D1646" s="217"/>
      <c r="E1646" s="217"/>
      <c r="F1646" s="217"/>
      <c r="G1646" s="218"/>
      <c r="H1646" s="217"/>
    </row>
    <row r="1647">
      <c r="A1647" s="217"/>
      <c r="B1647" s="217"/>
      <c r="C1647" s="217"/>
      <c r="D1647" s="217"/>
      <c r="E1647" s="217"/>
      <c r="F1647" s="217"/>
      <c r="G1647" s="218"/>
      <c r="H1647" s="217"/>
    </row>
    <row r="1648">
      <c r="A1648" s="217"/>
      <c r="B1648" s="217"/>
      <c r="C1648" s="217"/>
      <c r="D1648" s="217"/>
      <c r="E1648" s="217"/>
      <c r="F1648" s="217"/>
      <c r="G1648" s="218"/>
      <c r="H1648" s="217"/>
    </row>
    <row r="1649">
      <c r="A1649" s="217"/>
      <c r="B1649" s="217"/>
      <c r="C1649" s="217"/>
      <c r="D1649" s="217"/>
      <c r="E1649" s="217"/>
      <c r="F1649" s="217"/>
      <c r="G1649" s="218"/>
      <c r="H1649" s="217"/>
    </row>
    <row r="1650">
      <c r="A1650" s="217"/>
      <c r="B1650" s="217"/>
      <c r="C1650" s="217"/>
      <c r="D1650" s="217"/>
      <c r="E1650" s="217"/>
      <c r="F1650" s="217"/>
      <c r="G1650" s="218"/>
      <c r="H1650" s="217"/>
    </row>
    <row r="1651">
      <c r="A1651" s="217"/>
      <c r="B1651" s="217"/>
      <c r="C1651" s="217"/>
      <c r="D1651" s="217"/>
      <c r="E1651" s="217"/>
      <c r="F1651" s="217"/>
      <c r="G1651" s="218"/>
      <c r="H1651" s="217"/>
    </row>
    <row r="1652">
      <c r="A1652" s="217"/>
      <c r="B1652" s="217"/>
      <c r="C1652" s="217"/>
      <c r="D1652" s="217"/>
      <c r="E1652" s="217"/>
      <c r="F1652" s="217"/>
      <c r="G1652" s="218"/>
      <c r="H1652" s="217"/>
    </row>
    <row r="1653">
      <c r="A1653" s="217"/>
      <c r="B1653" s="217"/>
      <c r="C1653" s="217"/>
      <c r="D1653" s="217"/>
      <c r="E1653" s="217"/>
      <c r="F1653" s="217"/>
      <c r="G1653" s="218"/>
      <c r="H1653" s="217"/>
    </row>
    <row r="1654">
      <c r="A1654" s="217"/>
      <c r="B1654" s="217"/>
      <c r="C1654" s="217"/>
      <c r="D1654" s="217"/>
      <c r="E1654" s="217"/>
      <c r="F1654" s="217"/>
      <c r="G1654" s="218"/>
      <c r="H1654" s="217"/>
    </row>
    <row r="1655">
      <c r="A1655" s="217"/>
      <c r="B1655" s="217"/>
      <c r="C1655" s="217"/>
      <c r="D1655" s="217"/>
      <c r="E1655" s="217"/>
      <c r="F1655" s="217"/>
      <c r="G1655" s="218"/>
      <c r="H1655" s="217"/>
    </row>
    <row r="1656">
      <c r="A1656" s="217"/>
      <c r="B1656" s="217"/>
      <c r="C1656" s="217"/>
      <c r="D1656" s="217"/>
      <c r="E1656" s="217"/>
      <c r="F1656" s="217"/>
      <c r="G1656" s="218"/>
      <c r="H1656" s="217"/>
    </row>
    <row r="1657">
      <c r="A1657" s="217"/>
      <c r="B1657" s="217"/>
      <c r="C1657" s="217"/>
      <c r="D1657" s="217"/>
      <c r="E1657" s="217"/>
      <c r="F1657" s="217"/>
      <c r="G1657" s="218"/>
      <c r="H1657" s="217"/>
    </row>
    <row r="1658">
      <c r="A1658" s="217"/>
      <c r="B1658" s="217"/>
      <c r="C1658" s="217"/>
      <c r="D1658" s="217"/>
      <c r="E1658" s="217"/>
      <c r="F1658" s="217"/>
      <c r="G1658" s="218"/>
      <c r="H1658" s="217"/>
    </row>
    <row r="1659">
      <c r="A1659" s="217"/>
      <c r="B1659" s="217"/>
      <c r="C1659" s="217"/>
      <c r="D1659" s="217"/>
      <c r="E1659" s="217"/>
      <c r="F1659" s="217"/>
      <c r="G1659" s="218"/>
      <c r="H1659" s="217"/>
    </row>
    <row r="1660">
      <c r="A1660" s="217"/>
      <c r="B1660" s="217"/>
      <c r="C1660" s="217"/>
      <c r="D1660" s="217"/>
      <c r="E1660" s="217"/>
      <c r="F1660" s="217"/>
      <c r="G1660" s="218"/>
      <c r="H1660" s="217"/>
    </row>
    <row r="1661">
      <c r="A1661" s="217"/>
      <c r="B1661" s="217"/>
      <c r="C1661" s="217"/>
      <c r="D1661" s="217"/>
      <c r="E1661" s="217"/>
      <c r="F1661" s="217"/>
      <c r="G1661" s="218"/>
      <c r="H1661" s="217"/>
    </row>
    <row r="1662">
      <c r="A1662" s="217"/>
      <c r="B1662" s="217"/>
      <c r="C1662" s="217"/>
      <c r="D1662" s="217"/>
      <c r="E1662" s="217"/>
      <c r="F1662" s="217"/>
      <c r="G1662" s="218"/>
      <c r="H1662" s="217"/>
    </row>
    <row r="1663">
      <c r="A1663" s="217"/>
      <c r="B1663" s="217"/>
      <c r="C1663" s="217"/>
      <c r="D1663" s="217"/>
      <c r="E1663" s="217"/>
      <c r="F1663" s="217"/>
      <c r="G1663" s="218"/>
      <c r="H1663" s="217"/>
    </row>
    <row r="1664">
      <c r="A1664" s="217"/>
      <c r="B1664" s="217"/>
      <c r="C1664" s="217"/>
      <c r="D1664" s="217"/>
      <c r="E1664" s="217"/>
      <c r="F1664" s="217"/>
      <c r="G1664" s="218"/>
      <c r="H1664" s="217"/>
    </row>
    <row r="1665">
      <c r="A1665" s="217"/>
      <c r="B1665" s="217"/>
      <c r="C1665" s="217"/>
      <c r="D1665" s="217"/>
      <c r="E1665" s="217"/>
      <c r="F1665" s="217"/>
      <c r="G1665" s="218"/>
      <c r="H1665" s="217"/>
    </row>
    <row r="1666">
      <c r="A1666" s="217"/>
      <c r="B1666" s="217"/>
      <c r="C1666" s="217"/>
      <c r="D1666" s="217"/>
      <c r="E1666" s="217"/>
      <c r="F1666" s="217"/>
      <c r="G1666" s="218"/>
      <c r="H1666" s="217"/>
    </row>
    <row r="1667">
      <c r="A1667" s="217"/>
      <c r="B1667" s="217"/>
      <c r="C1667" s="217"/>
      <c r="D1667" s="217"/>
      <c r="E1667" s="217"/>
      <c r="F1667" s="217"/>
      <c r="G1667" s="218"/>
      <c r="H1667" s="217"/>
    </row>
    <row r="1668">
      <c r="A1668" s="217"/>
      <c r="B1668" s="217"/>
      <c r="C1668" s="217"/>
      <c r="D1668" s="217"/>
      <c r="E1668" s="217"/>
      <c r="F1668" s="217"/>
      <c r="G1668" s="218"/>
      <c r="H1668" s="217"/>
    </row>
    <row r="1669">
      <c r="A1669" s="217"/>
      <c r="B1669" s="217"/>
      <c r="C1669" s="217"/>
      <c r="D1669" s="217"/>
      <c r="E1669" s="217"/>
      <c r="F1669" s="217"/>
      <c r="G1669" s="218"/>
      <c r="H1669" s="217"/>
    </row>
    <row r="1670">
      <c r="A1670" s="217"/>
      <c r="B1670" s="217"/>
      <c r="C1670" s="217"/>
      <c r="D1670" s="217"/>
      <c r="E1670" s="217"/>
      <c r="F1670" s="217"/>
      <c r="G1670" s="218"/>
      <c r="H1670" s="217"/>
    </row>
    <row r="1671">
      <c r="A1671" s="217"/>
      <c r="B1671" s="217"/>
      <c r="C1671" s="217"/>
      <c r="D1671" s="217"/>
      <c r="E1671" s="217"/>
      <c r="F1671" s="217"/>
      <c r="G1671" s="218"/>
      <c r="H1671" s="217"/>
    </row>
    <row r="1672">
      <c r="A1672" s="217"/>
      <c r="B1672" s="217"/>
      <c r="C1672" s="217"/>
      <c r="D1672" s="217"/>
      <c r="E1672" s="217"/>
      <c r="F1672" s="217"/>
      <c r="G1672" s="218"/>
      <c r="H1672" s="217"/>
    </row>
    <row r="1673">
      <c r="A1673" s="217"/>
      <c r="B1673" s="217"/>
      <c r="C1673" s="217"/>
      <c r="D1673" s="217"/>
      <c r="E1673" s="217"/>
      <c r="F1673" s="217"/>
      <c r="G1673" s="218"/>
      <c r="H1673" s="217"/>
    </row>
    <row r="1674">
      <c r="A1674" s="217"/>
      <c r="B1674" s="217"/>
      <c r="C1674" s="217"/>
      <c r="D1674" s="217"/>
      <c r="E1674" s="217"/>
      <c r="F1674" s="217"/>
      <c r="G1674" s="218"/>
      <c r="H1674" s="217"/>
    </row>
    <row r="1675">
      <c r="A1675" s="217"/>
      <c r="B1675" s="217"/>
      <c r="C1675" s="217"/>
      <c r="D1675" s="217"/>
      <c r="E1675" s="217"/>
      <c r="F1675" s="217"/>
      <c r="G1675" s="218"/>
      <c r="H1675" s="217"/>
    </row>
    <row r="1676">
      <c r="A1676" s="217"/>
      <c r="B1676" s="217"/>
      <c r="C1676" s="217"/>
      <c r="D1676" s="217"/>
      <c r="E1676" s="217"/>
      <c r="F1676" s="217"/>
      <c r="G1676" s="218"/>
      <c r="H1676" s="217"/>
    </row>
    <row r="1677">
      <c r="A1677" s="217"/>
      <c r="B1677" s="217"/>
      <c r="C1677" s="217"/>
      <c r="D1677" s="217"/>
      <c r="E1677" s="217"/>
      <c r="F1677" s="217"/>
      <c r="G1677" s="218"/>
      <c r="H1677" s="217"/>
    </row>
    <row r="1678">
      <c r="A1678" s="217"/>
      <c r="B1678" s="217"/>
      <c r="C1678" s="217"/>
      <c r="D1678" s="217"/>
      <c r="E1678" s="217"/>
      <c r="F1678" s="217"/>
      <c r="G1678" s="218"/>
      <c r="H1678" s="217"/>
    </row>
    <row r="1679">
      <c r="A1679" s="217"/>
      <c r="B1679" s="217"/>
      <c r="C1679" s="217"/>
      <c r="D1679" s="217"/>
      <c r="E1679" s="217"/>
      <c r="F1679" s="217"/>
      <c r="G1679" s="218"/>
      <c r="H1679" s="217"/>
    </row>
    <row r="1680">
      <c r="A1680" s="217"/>
      <c r="B1680" s="217"/>
      <c r="C1680" s="217"/>
      <c r="D1680" s="217"/>
      <c r="E1680" s="217"/>
      <c r="F1680" s="217"/>
      <c r="G1680" s="218"/>
      <c r="H1680" s="217"/>
    </row>
    <row r="1681">
      <c r="A1681" s="217"/>
      <c r="B1681" s="217"/>
      <c r="C1681" s="217"/>
      <c r="D1681" s="217"/>
      <c r="E1681" s="217"/>
      <c r="F1681" s="217"/>
      <c r="G1681" s="218"/>
      <c r="H1681" s="217"/>
    </row>
    <row r="1682">
      <c r="A1682" s="217"/>
      <c r="B1682" s="217"/>
      <c r="C1682" s="217"/>
      <c r="D1682" s="217"/>
      <c r="E1682" s="217"/>
      <c r="F1682" s="217"/>
      <c r="G1682" s="218"/>
      <c r="H1682" s="217"/>
    </row>
    <row r="1683">
      <c r="A1683" s="217"/>
      <c r="B1683" s="217"/>
      <c r="C1683" s="217"/>
      <c r="D1683" s="217"/>
      <c r="E1683" s="217"/>
      <c r="F1683" s="217"/>
      <c r="G1683" s="218"/>
      <c r="H1683" s="217"/>
    </row>
    <row r="1684">
      <c r="A1684" s="217"/>
      <c r="B1684" s="217"/>
      <c r="C1684" s="217"/>
      <c r="D1684" s="217"/>
      <c r="E1684" s="217"/>
      <c r="F1684" s="217"/>
      <c r="G1684" s="218"/>
      <c r="H1684" s="217"/>
    </row>
    <row r="1685">
      <c r="A1685" s="217"/>
      <c r="B1685" s="217"/>
      <c r="C1685" s="217"/>
      <c r="D1685" s="217"/>
      <c r="E1685" s="217"/>
      <c r="F1685" s="217"/>
      <c r="G1685" s="218"/>
      <c r="H1685" s="217"/>
    </row>
    <row r="1686">
      <c r="A1686" s="217"/>
      <c r="B1686" s="217"/>
      <c r="C1686" s="217"/>
      <c r="D1686" s="217"/>
      <c r="E1686" s="217"/>
      <c r="F1686" s="217"/>
      <c r="G1686" s="218"/>
      <c r="H1686" s="217"/>
    </row>
    <row r="1687">
      <c r="A1687" s="217"/>
      <c r="B1687" s="217"/>
      <c r="C1687" s="217"/>
      <c r="D1687" s="217"/>
      <c r="E1687" s="217"/>
      <c r="F1687" s="217"/>
      <c r="G1687" s="218"/>
      <c r="H1687" s="217"/>
    </row>
    <row r="1688">
      <c r="A1688" s="217"/>
      <c r="B1688" s="217"/>
      <c r="C1688" s="217"/>
      <c r="D1688" s="217"/>
      <c r="E1688" s="217"/>
      <c r="F1688" s="217"/>
      <c r="G1688" s="218"/>
      <c r="H1688" s="217"/>
    </row>
    <row r="1689">
      <c r="A1689" s="217"/>
      <c r="B1689" s="217"/>
      <c r="C1689" s="217"/>
      <c r="D1689" s="217"/>
      <c r="E1689" s="217"/>
      <c r="F1689" s="217"/>
      <c r="G1689" s="218"/>
      <c r="H1689" s="217"/>
    </row>
    <row r="1690">
      <c r="A1690" s="217"/>
      <c r="B1690" s="217"/>
      <c r="C1690" s="217"/>
      <c r="D1690" s="217"/>
      <c r="E1690" s="217"/>
      <c r="F1690" s="217"/>
      <c r="G1690" s="218"/>
      <c r="H1690" s="217"/>
    </row>
    <row r="1691">
      <c r="A1691" s="217"/>
      <c r="B1691" s="217"/>
      <c r="C1691" s="217"/>
      <c r="D1691" s="217"/>
      <c r="E1691" s="217"/>
      <c r="F1691" s="217"/>
      <c r="G1691" s="218"/>
      <c r="H1691" s="217"/>
    </row>
    <row r="1692">
      <c r="A1692" s="217"/>
      <c r="B1692" s="217"/>
      <c r="C1692" s="217"/>
      <c r="D1692" s="217"/>
      <c r="E1692" s="217"/>
      <c r="F1692" s="217"/>
      <c r="G1692" s="218"/>
      <c r="H1692" s="217"/>
    </row>
    <row r="1693">
      <c r="A1693" s="217"/>
      <c r="B1693" s="217"/>
      <c r="C1693" s="217"/>
      <c r="D1693" s="217"/>
      <c r="E1693" s="217"/>
      <c r="F1693" s="217"/>
      <c r="G1693" s="218"/>
      <c r="H1693" s="217"/>
    </row>
    <row r="1694">
      <c r="A1694" s="217"/>
      <c r="B1694" s="217"/>
      <c r="C1694" s="217"/>
      <c r="D1694" s="217"/>
      <c r="E1694" s="217"/>
      <c r="F1694" s="217"/>
      <c r="G1694" s="218"/>
      <c r="H1694" s="217"/>
    </row>
    <row r="1695">
      <c r="A1695" s="217"/>
      <c r="B1695" s="217"/>
      <c r="C1695" s="217"/>
      <c r="D1695" s="217"/>
      <c r="E1695" s="217"/>
      <c r="F1695" s="217"/>
      <c r="G1695" s="218"/>
      <c r="H1695" s="217"/>
    </row>
    <row r="1696">
      <c r="A1696" s="217"/>
      <c r="B1696" s="217"/>
      <c r="C1696" s="217"/>
      <c r="D1696" s="217"/>
      <c r="E1696" s="217"/>
      <c r="F1696" s="217"/>
      <c r="G1696" s="218"/>
      <c r="H1696" s="217"/>
    </row>
    <row r="1697">
      <c r="A1697" s="217"/>
      <c r="B1697" s="217"/>
      <c r="C1697" s="217"/>
      <c r="D1697" s="217"/>
      <c r="E1697" s="217"/>
      <c r="F1697" s="217"/>
      <c r="G1697" s="218"/>
      <c r="H1697" s="217"/>
    </row>
    <row r="1698">
      <c r="A1698" s="217"/>
      <c r="B1698" s="217"/>
      <c r="C1698" s="217"/>
      <c r="D1698" s="217"/>
      <c r="E1698" s="217"/>
      <c r="F1698" s="217"/>
      <c r="G1698" s="218"/>
      <c r="H1698" s="217"/>
    </row>
    <row r="1699">
      <c r="A1699" s="217"/>
      <c r="B1699" s="217"/>
      <c r="C1699" s="217"/>
      <c r="D1699" s="217"/>
      <c r="E1699" s="217"/>
      <c r="F1699" s="217"/>
      <c r="G1699" s="218"/>
      <c r="H1699" s="217"/>
    </row>
    <row r="1700">
      <c r="A1700" s="217"/>
      <c r="B1700" s="217"/>
      <c r="C1700" s="217"/>
      <c r="D1700" s="217"/>
      <c r="E1700" s="217"/>
      <c r="F1700" s="217"/>
      <c r="G1700" s="218"/>
      <c r="H1700" s="217"/>
    </row>
    <row r="1701">
      <c r="A1701" s="217"/>
      <c r="B1701" s="217"/>
      <c r="C1701" s="217"/>
      <c r="D1701" s="217"/>
      <c r="E1701" s="217"/>
      <c r="F1701" s="217"/>
      <c r="G1701" s="218"/>
      <c r="H1701" s="217"/>
    </row>
    <row r="1702">
      <c r="A1702" s="217"/>
      <c r="B1702" s="217"/>
      <c r="C1702" s="217"/>
      <c r="D1702" s="217"/>
      <c r="E1702" s="217"/>
      <c r="F1702" s="217"/>
      <c r="G1702" s="218"/>
      <c r="H1702" s="217"/>
    </row>
    <row r="1703">
      <c r="A1703" s="217"/>
      <c r="B1703" s="217"/>
      <c r="C1703" s="217"/>
      <c r="D1703" s="217"/>
      <c r="E1703" s="217"/>
      <c r="F1703" s="217"/>
      <c r="G1703" s="218"/>
      <c r="H1703" s="217"/>
    </row>
    <row r="1704">
      <c r="A1704" s="217"/>
      <c r="B1704" s="217"/>
      <c r="C1704" s="217"/>
      <c r="D1704" s="217"/>
      <c r="E1704" s="217"/>
      <c r="F1704" s="217"/>
      <c r="G1704" s="218"/>
      <c r="H1704" s="217"/>
    </row>
    <row r="1705">
      <c r="A1705" s="217"/>
      <c r="B1705" s="217"/>
      <c r="C1705" s="217"/>
      <c r="D1705" s="217"/>
      <c r="E1705" s="217"/>
      <c r="F1705" s="217"/>
      <c r="G1705" s="218"/>
      <c r="H1705" s="217"/>
    </row>
    <row r="1706">
      <c r="A1706" s="217"/>
      <c r="B1706" s="217"/>
      <c r="C1706" s="217"/>
      <c r="D1706" s="217"/>
      <c r="E1706" s="217"/>
      <c r="F1706" s="217"/>
      <c r="G1706" s="218"/>
      <c r="H1706" s="217"/>
    </row>
    <row r="1707">
      <c r="A1707" s="217"/>
      <c r="B1707" s="217"/>
      <c r="C1707" s="217"/>
      <c r="D1707" s="217"/>
      <c r="E1707" s="217"/>
      <c r="F1707" s="217"/>
      <c r="G1707" s="218"/>
      <c r="H1707" s="217"/>
    </row>
    <row r="1708">
      <c r="A1708" s="217"/>
      <c r="B1708" s="217"/>
      <c r="C1708" s="217"/>
      <c r="D1708" s="217"/>
      <c r="E1708" s="217"/>
      <c r="F1708" s="217"/>
      <c r="G1708" s="218"/>
      <c r="H1708" s="217"/>
    </row>
    <row r="1709">
      <c r="A1709" s="217"/>
      <c r="B1709" s="217"/>
      <c r="C1709" s="217"/>
      <c r="D1709" s="217"/>
      <c r="E1709" s="217"/>
      <c r="F1709" s="217"/>
      <c r="G1709" s="218"/>
      <c r="H1709" s="217"/>
    </row>
    <row r="1710">
      <c r="A1710" s="217"/>
      <c r="B1710" s="217"/>
      <c r="C1710" s="217"/>
      <c r="D1710" s="217"/>
      <c r="E1710" s="217"/>
      <c r="F1710" s="217"/>
      <c r="G1710" s="218"/>
      <c r="H1710" s="217"/>
    </row>
    <row r="1711">
      <c r="A1711" s="217"/>
      <c r="B1711" s="217"/>
      <c r="C1711" s="217"/>
      <c r="D1711" s="217"/>
      <c r="E1711" s="217"/>
      <c r="F1711" s="217"/>
      <c r="G1711" s="218"/>
      <c r="H1711" s="217"/>
    </row>
    <row r="1712">
      <c r="A1712" s="217"/>
      <c r="B1712" s="217"/>
      <c r="C1712" s="217"/>
      <c r="D1712" s="217"/>
      <c r="E1712" s="217"/>
      <c r="F1712" s="217"/>
      <c r="G1712" s="218"/>
      <c r="H1712" s="217"/>
    </row>
    <row r="1713">
      <c r="A1713" s="217"/>
      <c r="B1713" s="217"/>
      <c r="C1713" s="217"/>
      <c r="D1713" s="217"/>
      <c r="E1713" s="217"/>
      <c r="F1713" s="217"/>
      <c r="G1713" s="218"/>
      <c r="H1713" s="217"/>
    </row>
    <row r="1714">
      <c r="A1714" s="217"/>
      <c r="B1714" s="217"/>
      <c r="C1714" s="217"/>
      <c r="D1714" s="217"/>
      <c r="E1714" s="217"/>
      <c r="F1714" s="217"/>
      <c r="G1714" s="218"/>
      <c r="H1714" s="217"/>
    </row>
    <row r="1715">
      <c r="A1715" s="217"/>
      <c r="B1715" s="217"/>
      <c r="C1715" s="217"/>
      <c r="D1715" s="217"/>
      <c r="E1715" s="217"/>
      <c r="F1715" s="217"/>
      <c r="G1715" s="218"/>
      <c r="H1715" s="217"/>
    </row>
    <row r="1716">
      <c r="A1716" s="217"/>
      <c r="B1716" s="217"/>
      <c r="C1716" s="217"/>
      <c r="D1716" s="217"/>
      <c r="E1716" s="217"/>
      <c r="F1716" s="217"/>
      <c r="G1716" s="218"/>
      <c r="H1716" s="217"/>
    </row>
    <row r="1717">
      <c r="A1717" s="217"/>
      <c r="B1717" s="217"/>
      <c r="C1717" s="217"/>
      <c r="D1717" s="217"/>
      <c r="E1717" s="217"/>
      <c r="F1717" s="217"/>
      <c r="G1717" s="218"/>
      <c r="H1717" s="217"/>
    </row>
    <row r="1718">
      <c r="A1718" s="217"/>
      <c r="B1718" s="217"/>
      <c r="C1718" s="217"/>
      <c r="D1718" s="217"/>
      <c r="E1718" s="217"/>
      <c r="F1718" s="217"/>
      <c r="G1718" s="218"/>
      <c r="H1718" s="217"/>
    </row>
    <row r="1719">
      <c r="A1719" s="217"/>
      <c r="B1719" s="217"/>
      <c r="C1719" s="217"/>
      <c r="D1719" s="217"/>
      <c r="E1719" s="217"/>
      <c r="F1719" s="217"/>
      <c r="G1719" s="218"/>
      <c r="H1719" s="217"/>
    </row>
    <row r="1720">
      <c r="A1720" s="217"/>
      <c r="B1720" s="217"/>
      <c r="C1720" s="217"/>
      <c r="D1720" s="217"/>
      <c r="E1720" s="217"/>
      <c r="F1720" s="217"/>
      <c r="G1720" s="218"/>
      <c r="H1720" s="217"/>
    </row>
    <row r="1721">
      <c r="A1721" s="217"/>
      <c r="B1721" s="217"/>
      <c r="C1721" s="217"/>
      <c r="D1721" s="217"/>
      <c r="E1721" s="217"/>
      <c r="F1721" s="217"/>
      <c r="G1721" s="218"/>
      <c r="H1721" s="217"/>
    </row>
    <row r="1722">
      <c r="A1722" s="217"/>
      <c r="B1722" s="217"/>
      <c r="C1722" s="217"/>
      <c r="D1722" s="217"/>
      <c r="E1722" s="217"/>
      <c r="F1722" s="217"/>
      <c r="G1722" s="218"/>
      <c r="H1722" s="217"/>
    </row>
    <row r="1723">
      <c r="A1723" s="217"/>
      <c r="B1723" s="217"/>
      <c r="C1723" s="217"/>
      <c r="D1723" s="217"/>
      <c r="E1723" s="217"/>
      <c r="F1723" s="217"/>
      <c r="G1723" s="218"/>
      <c r="H1723" s="217"/>
    </row>
    <row r="1724">
      <c r="A1724" s="217"/>
      <c r="B1724" s="217"/>
      <c r="C1724" s="217"/>
      <c r="D1724" s="217"/>
      <c r="E1724" s="217"/>
      <c r="F1724" s="217"/>
      <c r="G1724" s="218"/>
      <c r="H1724" s="217"/>
    </row>
    <row r="1725">
      <c r="A1725" s="217"/>
      <c r="B1725" s="217"/>
      <c r="C1725" s="217"/>
      <c r="D1725" s="217"/>
      <c r="E1725" s="217"/>
      <c r="F1725" s="217"/>
      <c r="G1725" s="218"/>
      <c r="H1725" s="217"/>
    </row>
    <row r="1726">
      <c r="A1726" s="217"/>
      <c r="B1726" s="217"/>
      <c r="C1726" s="217"/>
      <c r="D1726" s="217"/>
      <c r="E1726" s="217"/>
      <c r="F1726" s="217"/>
      <c r="G1726" s="218"/>
      <c r="H1726" s="217"/>
    </row>
    <row r="1727">
      <c r="A1727" s="217"/>
      <c r="B1727" s="217"/>
      <c r="C1727" s="217"/>
      <c r="D1727" s="217"/>
      <c r="E1727" s="217"/>
      <c r="F1727" s="217"/>
      <c r="G1727" s="218"/>
      <c r="H1727" s="217"/>
    </row>
    <row r="1728">
      <c r="A1728" s="217"/>
      <c r="B1728" s="217"/>
      <c r="C1728" s="217"/>
      <c r="D1728" s="217"/>
      <c r="E1728" s="217"/>
      <c r="F1728" s="217"/>
      <c r="G1728" s="218"/>
      <c r="H1728" s="217"/>
    </row>
    <row r="1729">
      <c r="A1729" s="217"/>
      <c r="B1729" s="217"/>
      <c r="C1729" s="217"/>
      <c r="D1729" s="217"/>
      <c r="E1729" s="217"/>
      <c r="F1729" s="217"/>
      <c r="G1729" s="218"/>
      <c r="H1729" s="217"/>
    </row>
    <row r="1730">
      <c r="A1730" s="217"/>
      <c r="B1730" s="217"/>
      <c r="C1730" s="217"/>
      <c r="D1730" s="217"/>
      <c r="E1730" s="217"/>
      <c r="F1730" s="217"/>
      <c r="G1730" s="218"/>
      <c r="H1730" s="217"/>
    </row>
    <row r="1731">
      <c r="A1731" s="217"/>
      <c r="B1731" s="217"/>
      <c r="C1731" s="217"/>
      <c r="D1731" s="217"/>
      <c r="E1731" s="217"/>
      <c r="F1731" s="217"/>
      <c r="G1731" s="218"/>
      <c r="H1731" s="217"/>
    </row>
    <row r="1732">
      <c r="A1732" s="217"/>
      <c r="B1732" s="217"/>
      <c r="C1732" s="217"/>
      <c r="D1732" s="217"/>
      <c r="E1732" s="217"/>
      <c r="F1732" s="217"/>
      <c r="G1732" s="218"/>
      <c r="H1732" s="217"/>
    </row>
    <row r="1733">
      <c r="A1733" s="217"/>
      <c r="B1733" s="217"/>
      <c r="C1733" s="217"/>
      <c r="D1733" s="217"/>
      <c r="E1733" s="217"/>
      <c r="F1733" s="217"/>
      <c r="G1733" s="218"/>
      <c r="H1733" s="217"/>
    </row>
    <row r="1734">
      <c r="A1734" s="217"/>
      <c r="B1734" s="217"/>
      <c r="C1734" s="217"/>
      <c r="D1734" s="217"/>
      <c r="E1734" s="217"/>
      <c r="F1734" s="217"/>
      <c r="G1734" s="218"/>
      <c r="H1734" s="217"/>
    </row>
    <row r="1735">
      <c r="A1735" s="217"/>
      <c r="B1735" s="217"/>
      <c r="C1735" s="217"/>
      <c r="D1735" s="217"/>
      <c r="E1735" s="217"/>
      <c r="F1735" s="217"/>
      <c r="G1735" s="218"/>
      <c r="H1735" s="217"/>
    </row>
    <row r="1736">
      <c r="A1736" s="217"/>
      <c r="B1736" s="217"/>
      <c r="C1736" s="217"/>
      <c r="D1736" s="217"/>
      <c r="E1736" s="217"/>
      <c r="F1736" s="217"/>
      <c r="G1736" s="218"/>
      <c r="H1736" s="217"/>
    </row>
    <row r="1737">
      <c r="A1737" s="217"/>
      <c r="B1737" s="217"/>
      <c r="C1737" s="217"/>
      <c r="D1737" s="217"/>
      <c r="E1737" s="217"/>
      <c r="F1737" s="217"/>
      <c r="G1737" s="218"/>
      <c r="H1737" s="217"/>
    </row>
    <row r="1738">
      <c r="A1738" s="217"/>
      <c r="B1738" s="217"/>
      <c r="C1738" s="217"/>
      <c r="D1738" s="217"/>
      <c r="E1738" s="217"/>
      <c r="F1738" s="217"/>
      <c r="G1738" s="218"/>
      <c r="H1738" s="217"/>
    </row>
    <row r="1739">
      <c r="A1739" s="217"/>
      <c r="B1739" s="217"/>
      <c r="C1739" s="217"/>
      <c r="D1739" s="217"/>
      <c r="E1739" s="217"/>
      <c r="F1739" s="217"/>
      <c r="G1739" s="218"/>
      <c r="H1739" s="217"/>
    </row>
    <row r="1740">
      <c r="A1740" s="217"/>
      <c r="B1740" s="217"/>
      <c r="C1740" s="217"/>
      <c r="D1740" s="217"/>
      <c r="E1740" s="217"/>
      <c r="F1740" s="217"/>
      <c r="G1740" s="218"/>
      <c r="H1740" s="217"/>
    </row>
    <row r="1741">
      <c r="A1741" s="217"/>
      <c r="B1741" s="217"/>
      <c r="C1741" s="217"/>
      <c r="D1741" s="217"/>
      <c r="E1741" s="217"/>
      <c r="F1741" s="217"/>
      <c r="G1741" s="218"/>
      <c r="H1741" s="217"/>
    </row>
    <row r="1742">
      <c r="A1742" s="217"/>
      <c r="B1742" s="217"/>
      <c r="C1742" s="217"/>
      <c r="D1742" s="217"/>
      <c r="E1742" s="217"/>
      <c r="F1742" s="217"/>
      <c r="G1742" s="218"/>
      <c r="H1742" s="217"/>
    </row>
    <row r="1743">
      <c r="A1743" s="217"/>
      <c r="B1743" s="217"/>
      <c r="C1743" s="217"/>
      <c r="D1743" s="217"/>
      <c r="E1743" s="217"/>
      <c r="F1743" s="217"/>
      <c r="G1743" s="218"/>
      <c r="H1743" s="217"/>
    </row>
    <row r="1744">
      <c r="A1744" s="217"/>
      <c r="B1744" s="217"/>
      <c r="C1744" s="217"/>
      <c r="D1744" s="217"/>
      <c r="E1744" s="217"/>
      <c r="F1744" s="217"/>
      <c r="G1744" s="218"/>
      <c r="H1744" s="217"/>
    </row>
    <row r="1745">
      <c r="A1745" s="217"/>
      <c r="B1745" s="217"/>
      <c r="C1745" s="217"/>
      <c r="D1745" s="217"/>
      <c r="E1745" s="217"/>
      <c r="F1745" s="217"/>
      <c r="G1745" s="218"/>
      <c r="H1745" s="217"/>
    </row>
    <row r="1746">
      <c r="A1746" s="217"/>
      <c r="B1746" s="217"/>
      <c r="C1746" s="217"/>
      <c r="D1746" s="217"/>
      <c r="E1746" s="217"/>
      <c r="F1746" s="217"/>
      <c r="G1746" s="218"/>
      <c r="H1746" s="217"/>
    </row>
    <row r="1747">
      <c r="A1747" s="217"/>
      <c r="B1747" s="217"/>
      <c r="C1747" s="217"/>
      <c r="D1747" s="217"/>
      <c r="E1747" s="217"/>
      <c r="F1747" s="217"/>
      <c r="G1747" s="218"/>
      <c r="H1747" s="217"/>
    </row>
    <row r="1748">
      <c r="A1748" s="217"/>
      <c r="B1748" s="217"/>
      <c r="C1748" s="217"/>
      <c r="D1748" s="217"/>
      <c r="E1748" s="217"/>
      <c r="F1748" s="217"/>
      <c r="G1748" s="218"/>
      <c r="H1748" s="217"/>
    </row>
    <row r="1749">
      <c r="A1749" s="217"/>
      <c r="B1749" s="217"/>
      <c r="C1749" s="217"/>
      <c r="D1749" s="217"/>
      <c r="E1749" s="217"/>
      <c r="F1749" s="217"/>
      <c r="G1749" s="218"/>
      <c r="H1749" s="217"/>
    </row>
    <row r="1750">
      <c r="A1750" s="217"/>
      <c r="B1750" s="217"/>
      <c r="C1750" s="217"/>
      <c r="D1750" s="217"/>
      <c r="E1750" s="217"/>
      <c r="F1750" s="217"/>
      <c r="G1750" s="218"/>
      <c r="H1750" s="217"/>
    </row>
    <row r="1751">
      <c r="A1751" s="217"/>
      <c r="B1751" s="217"/>
      <c r="C1751" s="217"/>
      <c r="D1751" s="217"/>
      <c r="E1751" s="217"/>
      <c r="F1751" s="217"/>
      <c r="G1751" s="218"/>
      <c r="H1751" s="217"/>
    </row>
    <row r="1752">
      <c r="A1752" s="217"/>
      <c r="B1752" s="217"/>
      <c r="C1752" s="217"/>
      <c r="D1752" s="217"/>
      <c r="E1752" s="217"/>
      <c r="F1752" s="217"/>
      <c r="G1752" s="218"/>
      <c r="H1752" s="217"/>
    </row>
    <row r="1753">
      <c r="A1753" s="217"/>
      <c r="B1753" s="217"/>
      <c r="C1753" s="217"/>
      <c r="D1753" s="217"/>
      <c r="E1753" s="217"/>
      <c r="F1753" s="217"/>
      <c r="G1753" s="218"/>
      <c r="H1753" s="217"/>
    </row>
    <row r="1754">
      <c r="A1754" s="217"/>
      <c r="B1754" s="217"/>
      <c r="C1754" s="217"/>
      <c r="D1754" s="217"/>
      <c r="E1754" s="217"/>
      <c r="F1754" s="217"/>
      <c r="G1754" s="218"/>
      <c r="H1754" s="217"/>
    </row>
    <row r="1755">
      <c r="A1755" s="217"/>
      <c r="B1755" s="217"/>
      <c r="C1755" s="217"/>
      <c r="D1755" s="217"/>
      <c r="E1755" s="217"/>
      <c r="F1755" s="217"/>
      <c r="G1755" s="218"/>
      <c r="H1755" s="217"/>
    </row>
    <row r="1756">
      <c r="A1756" s="217"/>
      <c r="B1756" s="217"/>
      <c r="C1756" s="217"/>
      <c r="D1756" s="217"/>
      <c r="E1756" s="217"/>
      <c r="F1756" s="217"/>
      <c r="G1756" s="218"/>
      <c r="H1756" s="217"/>
    </row>
    <row r="1757">
      <c r="A1757" s="217"/>
      <c r="B1757" s="217"/>
      <c r="C1757" s="217"/>
      <c r="D1757" s="217"/>
      <c r="E1757" s="217"/>
      <c r="F1757" s="217"/>
      <c r="G1757" s="218"/>
      <c r="H1757" s="217"/>
    </row>
    <row r="1758">
      <c r="A1758" s="217"/>
      <c r="B1758" s="217"/>
      <c r="C1758" s="217"/>
      <c r="D1758" s="217"/>
      <c r="E1758" s="217"/>
      <c r="F1758" s="217"/>
      <c r="G1758" s="218"/>
      <c r="H1758" s="217"/>
    </row>
    <row r="1759">
      <c r="A1759" s="217"/>
      <c r="B1759" s="217"/>
      <c r="C1759" s="217"/>
      <c r="D1759" s="217"/>
      <c r="E1759" s="217"/>
      <c r="F1759" s="217"/>
      <c r="G1759" s="218"/>
      <c r="H1759" s="217"/>
    </row>
    <row r="1760">
      <c r="A1760" s="217"/>
      <c r="B1760" s="217"/>
      <c r="C1760" s="217"/>
      <c r="D1760" s="217"/>
      <c r="E1760" s="217"/>
      <c r="F1760" s="217"/>
      <c r="G1760" s="218"/>
      <c r="H1760" s="217"/>
    </row>
    <row r="1761">
      <c r="A1761" s="217"/>
      <c r="B1761" s="217"/>
      <c r="C1761" s="217"/>
      <c r="D1761" s="217"/>
      <c r="E1761" s="217"/>
      <c r="F1761" s="217"/>
      <c r="G1761" s="218"/>
      <c r="H1761" s="217"/>
    </row>
    <row r="1762">
      <c r="A1762" s="217"/>
      <c r="B1762" s="217"/>
      <c r="C1762" s="217"/>
      <c r="D1762" s="217"/>
      <c r="E1762" s="217"/>
      <c r="F1762" s="217"/>
      <c r="G1762" s="218"/>
      <c r="H1762" s="217"/>
    </row>
    <row r="1763">
      <c r="A1763" s="217"/>
      <c r="B1763" s="217"/>
      <c r="C1763" s="217"/>
      <c r="D1763" s="217"/>
      <c r="E1763" s="217"/>
      <c r="F1763" s="217"/>
      <c r="G1763" s="218"/>
      <c r="H1763" s="217"/>
    </row>
    <row r="1764">
      <c r="A1764" s="217"/>
      <c r="B1764" s="217"/>
      <c r="C1764" s="217"/>
      <c r="D1764" s="217"/>
      <c r="E1764" s="217"/>
      <c r="F1764" s="217"/>
      <c r="G1764" s="218"/>
      <c r="H1764" s="217"/>
    </row>
    <row r="1765">
      <c r="A1765" s="217"/>
      <c r="B1765" s="217"/>
      <c r="C1765" s="217"/>
      <c r="D1765" s="217"/>
      <c r="E1765" s="217"/>
      <c r="F1765" s="217"/>
      <c r="G1765" s="218"/>
      <c r="H1765" s="217"/>
    </row>
    <row r="1766">
      <c r="A1766" s="217"/>
      <c r="B1766" s="217"/>
      <c r="C1766" s="217"/>
      <c r="D1766" s="217"/>
      <c r="E1766" s="217"/>
      <c r="F1766" s="217"/>
      <c r="G1766" s="218"/>
      <c r="H1766" s="217"/>
    </row>
    <row r="1767">
      <c r="A1767" s="217"/>
      <c r="B1767" s="217"/>
      <c r="C1767" s="217"/>
      <c r="D1767" s="217"/>
      <c r="E1767" s="217"/>
      <c r="F1767" s="217"/>
      <c r="G1767" s="218"/>
      <c r="H1767" s="217"/>
    </row>
    <row r="1768">
      <c r="A1768" s="217"/>
      <c r="B1768" s="217"/>
      <c r="C1768" s="217"/>
      <c r="D1768" s="217"/>
      <c r="E1768" s="217"/>
      <c r="F1768" s="217"/>
      <c r="G1768" s="218"/>
      <c r="H1768" s="217"/>
    </row>
    <row r="1769">
      <c r="A1769" s="217"/>
      <c r="B1769" s="217"/>
      <c r="C1769" s="217"/>
      <c r="D1769" s="217"/>
      <c r="E1769" s="217"/>
      <c r="F1769" s="217"/>
      <c r="G1769" s="218"/>
      <c r="H1769" s="217"/>
    </row>
    <row r="1770">
      <c r="A1770" s="217"/>
      <c r="B1770" s="217"/>
      <c r="C1770" s="217"/>
      <c r="D1770" s="217"/>
      <c r="E1770" s="217"/>
      <c r="F1770" s="217"/>
      <c r="G1770" s="218"/>
      <c r="H1770" s="217"/>
    </row>
    <row r="1771">
      <c r="A1771" s="217"/>
      <c r="B1771" s="217"/>
      <c r="C1771" s="217"/>
      <c r="D1771" s="217"/>
      <c r="E1771" s="217"/>
      <c r="F1771" s="217"/>
      <c r="G1771" s="218"/>
      <c r="H1771" s="217"/>
    </row>
    <row r="1772">
      <c r="A1772" s="217"/>
      <c r="B1772" s="217"/>
      <c r="C1772" s="217"/>
      <c r="D1772" s="217"/>
      <c r="E1772" s="217"/>
      <c r="F1772" s="217"/>
      <c r="G1772" s="218"/>
      <c r="H1772" s="217"/>
    </row>
    <row r="1773">
      <c r="A1773" s="217"/>
      <c r="B1773" s="217"/>
      <c r="C1773" s="217"/>
      <c r="D1773" s="217"/>
      <c r="E1773" s="217"/>
      <c r="F1773" s="217"/>
      <c r="G1773" s="218"/>
      <c r="H1773" s="217"/>
    </row>
    <row r="1774">
      <c r="A1774" s="217"/>
      <c r="B1774" s="217"/>
      <c r="C1774" s="217"/>
      <c r="D1774" s="217"/>
      <c r="E1774" s="217"/>
      <c r="F1774" s="217"/>
      <c r="G1774" s="218"/>
      <c r="H1774" s="217"/>
    </row>
    <row r="1775">
      <c r="A1775" s="217"/>
      <c r="B1775" s="217"/>
      <c r="C1775" s="217"/>
      <c r="D1775" s="217"/>
      <c r="E1775" s="217"/>
      <c r="F1775" s="217"/>
      <c r="G1775" s="218"/>
      <c r="H1775" s="217"/>
    </row>
    <row r="1776">
      <c r="A1776" s="217"/>
      <c r="B1776" s="217"/>
      <c r="C1776" s="217"/>
      <c r="D1776" s="217"/>
      <c r="E1776" s="217"/>
      <c r="F1776" s="217"/>
      <c r="G1776" s="218"/>
      <c r="H1776" s="217"/>
    </row>
    <row r="1777">
      <c r="A1777" s="217"/>
      <c r="B1777" s="217"/>
      <c r="C1777" s="217"/>
      <c r="D1777" s="217"/>
      <c r="E1777" s="217"/>
      <c r="F1777" s="217"/>
      <c r="G1777" s="218"/>
      <c r="H1777" s="217"/>
    </row>
    <row r="1778">
      <c r="A1778" s="217"/>
      <c r="B1778" s="217"/>
      <c r="C1778" s="217"/>
      <c r="D1778" s="217"/>
      <c r="E1778" s="217"/>
      <c r="F1778" s="217"/>
      <c r="G1778" s="218"/>
      <c r="H1778" s="217"/>
    </row>
    <row r="1779">
      <c r="A1779" s="217"/>
      <c r="B1779" s="217"/>
      <c r="C1779" s="217"/>
      <c r="D1779" s="217"/>
      <c r="E1779" s="217"/>
      <c r="F1779" s="217"/>
      <c r="G1779" s="218"/>
      <c r="H1779" s="217"/>
    </row>
    <row r="1780">
      <c r="A1780" s="217"/>
      <c r="B1780" s="217"/>
      <c r="C1780" s="217"/>
      <c r="D1780" s="217"/>
      <c r="E1780" s="217"/>
      <c r="F1780" s="217"/>
      <c r="G1780" s="218"/>
      <c r="H1780" s="217"/>
    </row>
    <row r="1781">
      <c r="A1781" s="217"/>
      <c r="B1781" s="217"/>
      <c r="C1781" s="217"/>
      <c r="D1781" s="217"/>
      <c r="E1781" s="217"/>
      <c r="F1781" s="217"/>
      <c r="G1781" s="218"/>
      <c r="H1781" s="217"/>
    </row>
    <row r="1782">
      <c r="A1782" s="217"/>
      <c r="B1782" s="217"/>
      <c r="C1782" s="217"/>
      <c r="D1782" s="217"/>
      <c r="E1782" s="217"/>
      <c r="F1782" s="217"/>
      <c r="G1782" s="218"/>
      <c r="H1782" s="217"/>
    </row>
    <row r="1783">
      <c r="A1783" s="217"/>
      <c r="B1783" s="217"/>
      <c r="C1783" s="217"/>
      <c r="D1783" s="217"/>
      <c r="E1783" s="217"/>
      <c r="F1783" s="217"/>
      <c r="G1783" s="218"/>
      <c r="H1783" s="217"/>
    </row>
    <row r="1784">
      <c r="A1784" s="217"/>
      <c r="B1784" s="217"/>
      <c r="C1784" s="217"/>
      <c r="D1784" s="217"/>
      <c r="E1784" s="217"/>
      <c r="F1784" s="217"/>
      <c r="G1784" s="218"/>
      <c r="H1784" s="217"/>
    </row>
    <row r="1785">
      <c r="A1785" s="217"/>
      <c r="B1785" s="217"/>
      <c r="C1785" s="217"/>
      <c r="D1785" s="217"/>
      <c r="E1785" s="217"/>
      <c r="F1785" s="217"/>
      <c r="G1785" s="218"/>
      <c r="H1785" s="217"/>
    </row>
    <row r="1786">
      <c r="A1786" s="217"/>
      <c r="B1786" s="217"/>
      <c r="C1786" s="217"/>
      <c r="D1786" s="217"/>
      <c r="E1786" s="217"/>
      <c r="F1786" s="217"/>
      <c r="G1786" s="218"/>
      <c r="H1786" s="217"/>
    </row>
    <row r="1787">
      <c r="A1787" s="217"/>
      <c r="B1787" s="217"/>
      <c r="C1787" s="217"/>
      <c r="D1787" s="217"/>
      <c r="E1787" s="217"/>
      <c r="F1787" s="217"/>
      <c r="G1787" s="218"/>
      <c r="H1787" s="217"/>
    </row>
    <row r="1788">
      <c r="A1788" s="217"/>
      <c r="B1788" s="217"/>
      <c r="C1788" s="217"/>
      <c r="D1788" s="217"/>
      <c r="E1788" s="217"/>
      <c r="F1788" s="217"/>
      <c r="G1788" s="218"/>
      <c r="H1788" s="217"/>
    </row>
    <row r="1789">
      <c r="A1789" s="217"/>
      <c r="B1789" s="217"/>
      <c r="C1789" s="217"/>
      <c r="D1789" s="217"/>
      <c r="E1789" s="217"/>
      <c r="F1789" s="217"/>
      <c r="G1789" s="218"/>
      <c r="H1789" s="217"/>
    </row>
    <row r="1790">
      <c r="A1790" s="217"/>
      <c r="B1790" s="217"/>
      <c r="C1790" s="217"/>
      <c r="D1790" s="217"/>
      <c r="E1790" s="217"/>
      <c r="F1790" s="217"/>
      <c r="G1790" s="218"/>
      <c r="H1790" s="217"/>
    </row>
    <row r="1791">
      <c r="A1791" s="217"/>
      <c r="B1791" s="217"/>
      <c r="C1791" s="217"/>
      <c r="D1791" s="217"/>
      <c r="E1791" s="217"/>
      <c r="F1791" s="217"/>
      <c r="G1791" s="218"/>
      <c r="H1791" s="217"/>
    </row>
    <row r="1792">
      <c r="A1792" s="217"/>
      <c r="B1792" s="217"/>
      <c r="C1792" s="217"/>
      <c r="D1792" s="217"/>
      <c r="E1792" s="217"/>
      <c r="F1792" s="217"/>
      <c r="G1792" s="218"/>
      <c r="H1792" s="217"/>
    </row>
    <row r="1793">
      <c r="A1793" s="217"/>
      <c r="B1793" s="217"/>
      <c r="C1793" s="217"/>
      <c r="D1793" s="217"/>
      <c r="E1793" s="217"/>
      <c r="F1793" s="217"/>
      <c r="G1793" s="218"/>
      <c r="H1793" s="217"/>
    </row>
    <row r="1794">
      <c r="A1794" s="217"/>
      <c r="B1794" s="217"/>
      <c r="C1794" s="217"/>
      <c r="D1794" s="217"/>
      <c r="E1794" s="217"/>
      <c r="F1794" s="217"/>
      <c r="G1794" s="218"/>
      <c r="H1794" s="217"/>
    </row>
    <row r="1795">
      <c r="A1795" s="217"/>
      <c r="B1795" s="217"/>
      <c r="C1795" s="217"/>
      <c r="D1795" s="217"/>
      <c r="E1795" s="217"/>
      <c r="F1795" s="217"/>
      <c r="G1795" s="218"/>
      <c r="H1795" s="217"/>
    </row>
    <row r="1796">
      <c r="A1796" s="217"/>
      <c r="B1796" s="217"/>
      <c r="C1796" s="217"/>
      <c r="D1796" s="217"/>
      <c r="E1796" s="217"/>
      <c r="F1796" s="217"/>
      <c r="G1796" s="218"/>
      <c r="H1796" s="217"/>
    </row>
    <row r="1797">
      <c r="A1797" s="217"/>
      <c r="B1797" s="217"/>
      <c r="C1797" s="217"/>
      <c r="D1797" s="217"/>
      <c r="E1797" s="217"/>
      <c r="F1797" s="217"/>
      <c r="G1797" s="218"/>
      <c r="H1797" s="217"/>
    </row>
    <row r="1798">
      <c r="A1798" s="217"/>
      <c r="B1798" s="217"/>
      <c r="C1798" s="217"/>
      <c r="D1798" s="217"/>
      <c r="E1798" s="217"/>
      <c r="F1798" s="217"/>
      <c r="G1798" s="218"/>
      <c r="H1798" s="217"/>
    </row>
    <row r="1799">
      <c r="A1799" s="217"/>
      <c r="B1799" s="217"/>
      <c r="C1799" s="217"/>
      <c r="D1799" s="217"/>
      <c r="E1799" s="217"/>
      <c r="F1799" s="217"/>
      <c r="G1799" s="218"/>
      <c r="H1799" s="217"/>
    </row>
    <row r="1800">
      <c r="A1800" s="217"/>
      <c r="B1800" s="217"/>
      <c r="C1800" s="217"/>
      <c r="D1800" s="217"/>
      <c r="E1800" s="217"/>
      <c r="F1800" s="217"/>
      <c r="G1800" s="218"/>
      <c r="H1800" s="217"/>
    </row>
    <row r="1801">
      <c r="A1801" s="217"/>
      <c r="B1801" s="217"/>
      <c r="C1801" s="217"/>
      <c r="D1801" s="217"/>
      <c r="E1801" s="217"/>
      <c r="F1801" s="217"/>
      <c r="G1801" s="218"/>
      <c r="H1801" s="217"/>
    </row>
    <row r="1802">
      <c r="A1802" s="217"/>
      <c r="B1802" s="217"/>
      <c r="C1802" s="217"/>
      <c r="D1802" s="217"/>
      <c r="E1802" s="217"/>
      <c r="F1802" s="217"/>
      <c r="G1802" s="218"/>
      <c r="H1802" s="217"/>
    </row>
    <row r="1803">
      <c r="A1803" s="217"/>
      <c r="B1803" s="217"/>
      <c r="C1803" s="217"/>
      <c r="D1803" s="217"/>
      <c r="E1803" s="217"/>
      <c r="F1803" s="217"/>
      <c r="G1803" s="218"/>
      <c r="H1803" s="217"/>
    </row>
    <row r="1804">
      <c r="A1804" s="217"/>
      <c r="B1804" s="217"/>
      <c r="C1804" s="217"/>
      <c r="D1804" s="217"/>
      <c r="E1804" s="217"/>
      <c r="F1804" s="217"/>
      <c r="G1804" s="218"/>
      <c r="H1804" s="217"/>
    </row>
    <row r="1805">
      <c r="A1805" s="217"/>
      <c r="B1805" s="217"/>
      <c r="C1805" s="217"/>
      <c r="D1805" s="217"/>
      <c r="E1805" s="217"/>
      <c r="F1805" s="217"/>
      <c r="G1805" s="218"/>
      <c r="H1805" s="217"/>
    </row>
    <row r="1806">
      <c r="A1806" s="217"/>
      <c r="B1806" s="217"/>
      <c r="C1806" s="217"/>
      <c r="D1806" s="217"/>
      <c r="E1806" s="217"/>
      <c r="F1806" s="217"/>
      <c r="G1806" s="218"/>
      <c r="H1806" s="217"/>
    </row>
    <row r="1807">
      <c r="A1807" s="217"/>
      <c r="B1807" s="217"/>
      <c r="C1807" s="217"/>
      <c r="D1807" s="217"/>
      <c r="E1807" s="217"/>
      <c r="F1807" s="217"/>
      <c r="G1807" s="218"/>
      <c r="H1807" s="217"/>
    </row>
    <row r="1808">
      <c r="A1808" s="217"/>
      <c r="B1808" s="217"/>
      <c r="C1808" s="217"/>
      <c r="D1808" s="217"/>
      <c r="E1808" s="217"/>
      <c r="F1808" s="217"/>
      <c r="G1808" s="218"/>
      <c r="H1808" s="217"/>
    </row>
    <row r="1809">
      <c r="A1809" s="217"/>
      <c r="B1809" s="217"/>
      <c r="C1809" s="217"/>
      <c r="D1809" s="217"/>
      <c r="E1809" s="217"/>
      <c r="F1809" s="217"/>
      <c r="G1809" s="218"/>
      <c r="H1809" s="217"/>
    </row>
    <row r="1810">
      <c r="A1810" s="217"/>
      <c r="B1810" s="217"/>
      <c r="C1810" s="217"/>
      <c r="D1810" s="217"/>
      <c r="E1810" s="217"/>
      <c r="F1810" s="217"/>
      <c r="G1810" s="218"/>
      <c r="H1810" s="217"/>
    </row>
    <row r="1811">
      <c r="A1811" s="217"/>
      <c r="B1811" s="217"/>
      <c r="C1811" s="217"/>
      <c r="D1811" s="217"/>
      <c r="E1811" s="217"/>
      <c r="F1811" s="217"/>
      <c r="G1811" s="218"/>
      <c r="H1811" s="217"/>
    </row>
    <row r="1812">
      <c r="A1812" s="217"/>
      <c r="B1812" s="217"/>
      <c r="C1812" s="217"/>
      <c r="D1812" s="217"/>
      <c r="E1812" s="217"/>
      <c r="F1812" s="217"/>
      <c r="G1812" s="218"/>
      <c r="H1812" s="217"/>
    </row>
    <row r="1813">
      <c r="A1813" s="217"/>
      <c r="B1813" s="217"/>
      <c r="C1813" s="217"/>
      <c r="D1813" s="217"/>
      <c r="E1813" s="217"/>
      <c r="F1813" s="217"/>
      <c r="G1813" s="218"/>
      <c r="H1813" s="217"/>
    </row>
    <row r="1814">
      <c r="A1814" s="217"/>
      <c r="B1814" s="217"/>
      <c r="C1814" s="217"/>
      <c r="D1814" s="217"/>
      <c r="E1814" s="217"/>
      <c r="F1814" s="217"/>
      <c r="G1814" s="218"/>
      <c r="H1814" s="217"/>
    </row>
    <row r="1815">
      <c r="A1815" s="217"/>
      <c r="B1815" s="217"/>
      <c r="C1815" s="217"/>
      <c r="D1815" s="217"/>
      <c r="E1815" s="217"/>
      <c r="F1815" s="217"/>
      <c r="G1815" s="218"/>
      <c r="H1815" s="217"/>
    </row>
    <row r="1816">
      <c r="A1816" s="217"/>
      <c r="B1816" s="217"/>
      <c r="C1816" s="217"/>
      <c r="D1816" s="217"/>
      <c r="E1816" s="217"/>
      <c r="F1816" s="217"/>
      <c r="G1816" s="218"/>
      <c r="H1816" s="217"/>
    </row>
    <row r="1817">
      <c r="A1817" s="217"/>
      <c r="B1817" s="217"/>
      <c r="C1817" s="217"/>
      <c r="D1817" s="217"/>
      <c r="E1817" s="217"/>
      <c r="F1817" s="217"/>
      <c r="G1817" s="218"/>
      <c r="H1817" s="217"/>
    </row>
    <row r="1818">
      <c r="A1818" s="217"/>
      <c r="B1818" s="217"/>
      <c r="C1818" s="217"/>
      <c r="D1818" s="217"/>
      <c r="E1818" s="217"/>
      <c r="F1818" s="217"/>
      <c r="G1818" s="218"/>
      <c r="H1818" s="217"/>
    </row>
    <row r="1819">
      <c r="A1819" s="217"/>
      <c r="B1819" s="217"/>
      <c r="C1819" s="217"/>
      <c r="D1819" s="217"/>
      <c r="E1819" s="217"/>
      <c r="F1819" s="217"/>
      <c r="G1819" s="218"/>
      <c r="H1819" s="217"/>
    </row>
    <row r="1820">
      <c r="A1820" s="217"/>
      <c r="B1820" s="217"/>
      <c r="C1820" s="217"/>
      <c r="D1820" s="217"/>
      <c r="E1820" s="217"/>
      <c r="F1820" s="217"/>
      <c r="G1820" s="218"/>
      <c r="H1820" s="217"/>
    </row>
    <row r="1821">
      <c r="A1821" s="217"/>
      <c r="B1821" s="217"/>
      <c r="C1821" s="217"/>
      <c r="D1821" s="217"/>
      <c r="E1821" s="217"/>
      <c r="F1821" s="217"/>
      <c r="G1821" s="218"/>
      <c r="H1821" s="217"/>
    </row>
    <row r="1822">
      <c r="A1822" s="217"/>
      <c r="B1822" s="217"/>
      <c r="C1822" s="217"/>
      <c r="D1822" s="217"/>
      <c r="E1822" s="217"/>
      <c r="F1822" s="217"/>
      <c r="G1822" s="218"/>
      <c r="H1822" s="217"/>
    </row>
    <row r="1823">
      <c r="A1823" s="217"/>
      <c r="B1823" s="217"/>
      <c r="C1823" s="217"/>
      <c r="D1823" s="217"/>
      <c r="E1823" s="217"/>
      <c r="F1823" s="217"/>
      <c r="G1823" s="218"/>
      <c r="H1823" s="217"/>
    </row>
    <row r="1824">
      <c r="A1824" s="217"/>
      <c r="B1824" s="217"/>
      <c r="C1824" s="217"/>
      <c r="D1824" s="217"/>
      <c r="E1824" s="217"/>
      <c r="F1824" s="217"/>
      <c r="G1824" s="218"/>
      <c r="H1824" s="217"/>
    </row>
    <row r="1825">
      <c r="A1825" s="217"/>
      <c r="B1825" s="217"/>
      <c r="C1825" s="217"/>
      <c r="D1825" s="217"/>
      <c r="E1825" s="217"/>
      <c r="F1825" s="217"/>
      <c r="G1825" s="218"/>
      <c r="H1825" s="217"/>
    </row>
    <row r="1826">
      <c r="A1826" s="217"/>
      <c r="B1826" s="217"/>
      <c r="C1826" s="217"/>
      <c r="D1826" s="217"/>
      <c r="E1826" s="217"/>
      <c r="F1826" s="217"/>
      <c r="G1826" s="218"/>
      <c r="H1826" s="217"/>
    </row>
    <row r="1827">
      <c r="A1827" s="217"/>
      <c r="B1827" s="217"/>
      <c r="C1827" s="217"/>
      <c r="D1827" s="217"/>
      <c r="E1827" s="217"/>
      <c r="F1827" s="217"/>
      <c r="G1827" s="218"/>
      <c r="H1827" s="217"/>
    </row>
    <row r="1828">
      <c r="A1828" s="217"/>
      <c r="B1828" s="217"/>
      <c r="C1828" s="217"/>
      <c r="D1828" s="217"/>
      <c r="E1828" s="217"/>
      <c r="F1828" s="217"/>
      <c r="G1828" s="218"/>
      <c r="H1828" s="217"/>
    </row>
    <row r="1829">
      <c r="A1829" s="217"/>
      <c r="B1829" s="217"/>
      <c r="C1829" s="217"/>
      <c r="D1829" s="217"/>
      <c r="E1829" s="217"/>
      <c r="F1829" s="217"/>
      <c r="G1829" s="218"/>
      <c r="H1829" s="217"/>
    </row>
    <row r="1830">
      <c r="A1830" s="217"/>
      <c r="B1830" s="217"/>
      <c r="C1830" s="217"/>
      <c r="D1830" s="217"/>
      <c r="E1830" s="217"/>
      <c r="F1830" s="217"/>
      <c r="G1830" s="218"/>
      <c r="H1830" s="217"/>
    </row>
    <row r="1831">
      <c r="A1831" s="217"/>
      <c r="B1831" s="217"/>
      <c r="C1831" s="217"/>
      <c r="D1831" s="217"/>
      <c r="E1831" s="217"/>
      <c r="F1831" s="217"/>
      <c r="G1831" s="218"/>
      <c r="H1831" s="217"/>
    </row>
    <row r="1832">
      <c r="A1832" s="217"/>
      <c r="B1832" s="217"/>
      <c r="C1832" s="217"/>
      <c r="D1832" s="217"/>
      <c r="E1832" s="217"/>
      <c r="F1832" s="217"/>
      <c r="G1832" s="218"/>
      <c r="H1832" s="217"/>
    </row>
    <row r="1833">
      <c r="A1833" s="217"/>
      <c r="B1833" s="217"/>
      <c r="C1833" s="217"/>
      <c r="D1833" s="217"/>
      <c r="E1833" s="217"/>
      <c r="F1833" s="217"/>
      <c r="G1833" s="218"/>
      <c r="H1833" s="217"/>
    </row>
    <row r="1834">
      <c r="A1834" s="217"/>
      <c r="B1834" s="217"/>
      <c r="C1834" s="217"/>
      <c r="D1834" s="217"/>
      <c r="E1834" s="217"/>
      <c r="F1834" s="217"/>
      <c r="G1834" s="218"/>
      <c r="H1834" s="217"/>
    </row>
    <row r="1835">
      <c r="A1835" s="217"/>
      <c r="B1835" s="217"/>
      <c r="C1835" s="217"/>
      <c r="D1835" s="217"/>
      <c r="E1835" s="217"/>
      <c r="F1835" s="217"/>
      <c r="G1835" s="218"/>
      <c r="H1835" s="217"/>
    </row>
    <row r="1836">
      <c r="A1836" s="217"/>
      <c r="B1836" s="217"/>
      <c r="C1836" s="217"/>
      <c r="D1836" s="217"/>
      <c r="E1836" s="217"/>
      <c r="F1836" s="217"/>
      <c r="G1836" s="218"/>
      <c r="H1836" s="217"/>
    </row>
    <row r="1837">
      <c r="A1837" s="217"/>
      <c r="B1837" s="217"/>
      <c r="C1837" s="217"/>
      <c r="D1837" s="217"/>
      <c r="E1837" s="217"/>
      <c r="F1837" s="217"/>
      <c r="G1837" s="218"/>
      <c r="H1837" s="217"/>
    </row>
    <row r="1838">
      <c r="A1838" s="217"/>
      <c r="B1838" s="217"/>
      <c r="C1838" s="217"/>
      <c r="D1838" s="217"/>
      <c r="E1838" s="217"/>
      <c r="F1838" s="217"/>
      <c r="G1838" s="218"/>
      <c r="H1838" s="217"/>
    </row>
    <row r="1839">
      <c r="A1839" s="217"/>
      <c r="B1839" s="217"/>
      <c r="C1839" s="217"/>
      <c r="D1839" s="217"/>
      <c r="E1839" s="217"/>
      <c r="F1839" s="217"/>
      <c r="G1839" s="218"/>
      <c r="H1839" s="217"/>
    </row>
    <row r="1840">
      <c r="A1840" s="217"/>
      <c r="B1840" s="217"/>
      <c r="C1840" s="217"/>
      <c r="D1840" s="217"/>
      <c r="E1840" s="217"/>
      <c r="F1840" s="217"/>
      <c r="G1840" s="218"/>
      <c r="H1840" s="217"/>
    </row>
    <row r="1841">
      <c r="A1841" s="217"/>
      <c r="B1841" s="217"/>
      <c r="C1841" s="217"/>
      <c r="D1841" s="217"/>
      <c r="E1841" s="217"/>
      <c r="F1841" s="217"/>
      <c r="G1841" s="218"/>
      <c r="H1841" s="217"/>
    </row>
    <row r="1842">
      <c r="A1842" s="217"/>
      <c r="B1842" s="217"/>
      <c r="C1842" s="217"/>
      <c r="D1842" s="217"/>
      <c r="E1842" s="217"/>
      <c r="F1842" s="217"/>
      <c r="G1842" s="218"/>
      <c r="H1842" s="217"/>
    </row>
    <row r="1843">
      <c r="A1843" s="217"/>
      <c r="B1843" s="217"/>
      <c r="C1843" s="217"/>
      <c r="D1843" s="217"/>
      <c r="E1843" s="217"/>
      <c r="F1843" s="217"/>
      <c r="G1843" s="218"/>
      <c r="H1843" s="2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</cols>
  <sheetData>
    <row r="1">
      <c r="A1" s="14" t="s">
        <v>39</v>
      </c>
      <c r="B1" s="14" t="s">
        <v>40</v>
      </c>
      <c r="C1" s="15" t="s">
        <v>41</v>
      </c>
    </row>
    <row r="2">
      <c r="A2" s="10">
        <f>EMPRESAS!G6</f>
        <v>7409702.36</v>
      </c>
      <c r="B2" s="10">
        <f>A2*0.7</f>
        <v>5186791.652</v>
      </c>
      <c r="C2" s="16">
        <f>B2/13</f>
        <v>398983.9732</v>
      </c>
      <c r="D2" s="10">
        <f>((C2/12)/20)/8</f>
        <v>207.8041527</v>
      </c>
      <c r="E2" s="10">
        <f>18000+'Hoja 1'!M12</f>
        <v>39507.54029</v>
      </c>
      <c r="F2" s="10">
        <f>E2/(6*5*4*11)</f>
        <v>29.92995477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</cols>
  <sheetData>
    <row r="1">
      <c r="B1" s="49" t="s">
        <v>119</v>
      </c>
      <c r="C1" s="39" t="s">
        <v>42</v>
      </c>
      <c r="D1" s="39" t="s">
        <v>43</v>
      </c>
      <c r="E1" s="39" t="s">
        <v>44</v>
      </c>
      <c r="F1" s="39" t="s">
        <v>45</v>
      </c>
      <c r="G1" s="39" t="s">
        <v>46</v>
      </c>
      <c r="H1" s="49" t="s">
        <v>120</v>
      </c>
      <c r="I1" s="39" t="s">
        <v>37</v>
      </c>
      <c r="J1" s="49" t="s">
        <v>121</v>
      </c>
      <c r="K1" s="39" t="s">
        <v>36</v>
      </c>
      <c r="L1" s="39" t="s">
        <v>38</v>
      </c>
      <c r="M1" s="39" t="s">
        <v>49</v>
      </c>
      <c r="N1" s="49" t="s">
        <v>122</v>
      </c>
      <c r="O1" s="39" t="s">
        <v>51</v>
      </c>
    </row>
    <row r="2">
      <c r="A2" s="64" t="s">
        <v>156</v>
      </c>
      <c r="B2" s="29">
        <v>262222.0</v>
      </c>
      <c r="C2" s="30">
        <v>1.06630167E8</v>
      </c>
      <c r="D2" s="11">
        <f>5592339-5225620</f>
        <v>366719</v>
      </c>
      <c r="E2" s="32">
        <v>1675580.0</v>
      </c>
      <c r="F2" s="29">
        <v>3.0257349E7</v>
      </c>
      <c r="G2" s="25">
        <f>C2+D2+E2</f>
        <v>108672466</v>
      </c>
      <c r="H2" s="29">
        <v>1.76630998E8</v>
      </c>
      <c r="I2" s="25">
        <f>H2-F2-G2-E2</f>
        <v>36025603</v>
      </c>
      <c r="J2" s="11">
        <f>1+M2+L2</f>
        <v>5.782245431</v>
      </c>
      <c r="K2" s="11">
        <f>I2/(F2+G2)</f>
        <v>0.2593079319</v>
      </c>
      <c r="L2" s="11">
        <f>I2/F2</f>
        <v>1.190639768</v>
      </c>
      <c r="M2" s="11">
        <f>G2/F2</f>
        <v>3.591605662</v>
      </c>
      <c r="N2" s="25">
        <f>I2+G2+F2</f>
        <v>174955418</v>
      </c>
      <c r="O2" s="11">
        <f>N2/H2</f>
        <v>0.9905136696</v>
      </c>
    </row>
    <row r="3">
      <c r="A3" s="78" t="s">
        <v>157</v>
      </c>
      <c r="E3" s="219"/>
    </row>
    <row r="4">
      <c r="A4" s="78" t="s">
        <v>158</v>
      </c>
      <c r="E4" s="219"/>
      <c r="G4" s="11">
        <f t="shared" ref="G4:G9" si="1">C4+D4+E4</f>
        <v>0</v>
      </c>
      <c r="I4" s="11">
        <f t="shared" ref="I4:I9" si="2">H4-F4-G4-E4</f>
        <v>0</v>
      </c>
      <c r="J4" s="11" t="str">
        <f t="shared" ref="J4:J9" si="3">1+M4+L4</f>
        <v>#DIV/0!</v>
      </c>
      <c r="K4" s="11" t="str">
        <f t="shared" ref="K4:K9" si="4">I4/(F4+G4)</f>
        <v>#DIV/0!</v>
      </c>
      <c r="L4" s="11" t="str">
        <f t="shared" ref="L4:L9" si="5">I4/F4</f>
        <v>#DIV/0!</v>
      </c>
      <c r="M4" s="11" t="str">
        <f t="shared" ref="M4:M9" si="6">G4/F4</f>
        <v>#DIV/0!</v>
      </c>
      <c r="N4" s="11">
        <f t="shared" ref="N4:N9" si="7">I4+G4+F4</f>
        <v>0</v>
      </c>
      <c r="O4" s="11" t="str">
        <f t="shared" ref="O4:O9" si="8">N4/H4</f>
        <v>#DIV/0!</v>
      </c>
    </row>
    <row r="5">
      <c r="A5" s="78" t="s">
        <v>159</v>
      </c>
      <c r="G5" s="11">
        <f t="shared" si="1"/>
        <v>0</v>
      </c>
      <c r="I5" s="11">
        <f t="shared" si="2"/>
        <v>0</v>
      </c>
      <c r="J5" s="11" t="str">
        <f t="shared" si="3"/>
        <v>#DIV/0!</v>
      </c>
      <c r="K5" s="11" t="str">
        <f t="shared" si="4"/>
        <v>#DIV/0!</v>
      </c>
      <c r="L5" s="11" t="str">
        <f t="shared" si="5"/>
        <v>#DIV/0!</v>
      </c>
      <c r="M5" s="11" t="str">
        <f t="shared" si="6"/>
        <v>#DIV/0!</v>
      </c>
      <c r="N5" s="11">
        <f t="shared" si="7"/>
        <v>0</v>
      </c>
      <c r="O5" s="11" t="str">
        <f t="shared" si="8"/>
        <v>#DIV/0!</v>
      </c>
    </row>
    <row r="6">
      <c r="A6" s="78" t="s">
        <v>77</v>
      </c>
      <c r="B6" s="29">
        <v>2378.0</v>
      </c>
      <c r="C6" s="30">
        <v>5.8270235E7</v>
      </c>
      <c r="D6" s="11">
        <f>306003-3046750</f>
        <v>-2740747</v>
      </c>
      <c r="E6" s="30">
        <v>897775.0</v>
      </c>
      <c r="F6" s="29">
        <v>1.0030681E7</v>
      </c>
      <c r="G6" s="25">
        <f t="shared" si="1"/>
        <v>56427263</v>
      </c>
      <c r="H6" s="29">
        <v>8.6317077E7</v>
      </c>
      <c r="I6" s="25">
        <f t="shared" si="2"/>
        <v>18961358</v>
      </c>
      <c r="J6" s="11">
        <f t="shared" si="3"/>
        <v>8.515802865</v>
      </c>
      <c r="K6" s="11">
        <f t="shared" si="4"/>
        <v>0.2853136414</v>
      </c>
      <c r="L6" s="11">
        <f t="shared" si="5"/>
        <v>1.89033606</v>
      </c>
      <c r="M6" s="11">
        <f t="shared" si="6"/>
        <v>5.625466805</v>
      </c>
      <c r="N6" s="25">
        <f t="shared" si="7"/>
        <v>85419302</v>
      </c>
      <c r="O6" s="11">
        <f t="shared" si="8"/>
        <v>0.9895991033</v>
      </c>
    </row>
    <row r="7">
      <c r="A7" s="64" t="s">
        <v>160</v>
      </c>
      <c r="B7" s="23">
        <v>200718.0</v>
      </c>
      <c r="C7" s="23">
        <v>3.5531963E7</v>
      </c>
      <c r="D7" s="11">
        <f>1782987+210871</f>
        <v>1993858</v>
      </c>
      <c r="E7" s="23">
        <v>777861.0</v>
      </c>
      <c r="F7" s="23">
        <v>1.5537484E7</v>
      </c>
      <c r="G7" s="25">
        <f t="shared" si="1"/>
        <v>38303682</v>
      </c>
      <c r="H7" s="23">
        <v>6.7360055E7</v>
      </c>
      <c r="I7" s="25">
        <f t="shared" si="2"/>
        <v>12741028</v>
      </c>
      <c r="J7" s="11">
        <f t="shared" si="3"/>
        <v>4.285262273</v>
      </c>
      <c r="K7" s="11">
        <f t="shared" si="4"/>
        <v>0.2366410118</v>
      </c>
      <c r="L7" s="11">
        <f t="shared" si="5"/>
        <v>0.8200187366</v>
      </c>
      <c r="M7" s="11">
        <f t="shared" si="6"/>
        <v>2.465243536</v>
      </c>
      <c r="N7" s="25">
        <f t="shared" si="7"/>
        <v>66582194</v>
      </c>
      <c r="O7" s="11">
        <f t="shared" si="8"/>
        <v>0.9884521917</v>
      </c>
    </row>
    <row r="8">
      <c r="A8" s="128" t="s">
        <v>667</v>
      </c>
      <c r="B8" s="25">
        <f t="shared" ref="B8:F8" si="9">SUM(B2:B7)</f>
        <v>465318</v>
      </c>
      <c r="C8" s="25">
        <f t="shared" si="9"/>
        <v>200432365</v>
      </c>
      <c r="D8" s="11">
        <f t="shared" si="9"/>
        <v>-380170</v>
      </c>
      <c r="E8" s="25">
        <f t="shared" si="9"/>
        <v>3351216</v>
      </c>
      <c r="F8" s="25">
        <f t="shared" si="9"/>
        <v>55825514</v>
      </c>
      <c r="G8" s="25">
        <f t="shared" si="1"/>
        <v>203403411</v>
      </c>
      <c r="H8" s="25">
        <f>SUM(H2:H7)</f>
        <v>330308130</v>
      </c>
      <c r="I8" s="25">
        <f t="shared" si="2"/>
        <v>67727989</v>
      </c>
      <c r="J8" s="11">
        <f t="shared" si="3"/>
        <v>5.856764955</v>
      </c>
      <c r="K8" s="11">
        <f t="shared" si="4"/>
        <v>0.2612670982</v>
      </c>
      <c r="L8" s="11">
        <f t="shared" si="5"/>
        <v>1.213208516</v>
      </c>
      <c r="M8" s="11">
        <f t="shared" si="6"/>
        <v>3.643556439</v>
      </c>
      <c r="N8" s="25">
        <f t="shared" si="7"/>
        <v>326956914</v>
      </c>
      <c r="O8" s="11">
        <f t="shared" si="8"/>
        <v>0.9898542733</v>
      </c>
    </row>
    <row r="9">
      <c r="A9" s="64" t="s">
        <v>156</v>
      </c>
      <c r="B9" s="29">
        <v>47878.0</v>
      </c>
      <c r="C9" s="30">
        <v>3.849628E7</v>
      </c>
      <c r="D9" s="11">
        <f>1778373-144186</f>
        <v>1634187</v>
      </c>
      <c r="E9" s="30">
        <v>531852.0</v>
      </c>
      <c r="F9" s="29">
        <v>8837626.0</v>
      </c>
      <c r="G9" s="25">
        <f t="shared" si="1"/>
        <v>40662319</v>
      </c>
      <c r="H9" s="29">
        <v>5.9914747E7</v>
      </c>
      <c r="I9" s="25">
        <f t="shared" si="2"/>
        <v>9882950</v>
      </c>
      <c r="J9" s="11">
        <f t="shared" si="3"/>
        <v>6.719326548</v>
      </c>
      <c r="K9" s="11">
        <f t="shared" si="4"/>
        <v>0.1996557774</v>
      </c>
      <c r="L9" s="11">
        <f t="shared" si="5"/>
        <v>1.118281086</v>
      </c>
      <c r="M9" s="11">
        <f t="shared" si="6"/>
        <v>4.601045462</v>
      </c>
      <c r="N9" s="25">
        <f t="shared" si="7"/>
        <v>59382895</v>
      </c>
      <c r="O9" s="11">
        <f t="shared" si="8"/>
        <v>0.9911231871</v>
      </c>
    </row>
    <row r="10">
      <c r="A10" s="64" t="s">
        <v>157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8"/>
      <c r="R10" s="78"/>
      <c r="S10" s="78"/>
      <c r="T10" s="78" t="s">
        <v>157</v>
      </c>
      <c r="U10" s="78" t="s">
        <v>157</v>
      </c>
      <c r="V10" s="78" t="s">
        <v>157</v>
      </c>
    </row>
    <row r="11">
      <c r="A11" s="78" t="s">
        <v>158</v>
      </c>
      <c r="G11" s="11">
        <f t="shared" ref="G11:G16" si="10">C11+D11+E11</f>
        <v>0</v>
      </c>
      <c r="I11" s="11">
        <f t="shared" ref="I11:I16" si="11">H11-F11-G11-E11</f>
        <v>0</v>
      </c>
      <c r="J11" s="11" t="str">
        <f t="shared" ref="J11:J16" si="12">1+M11+L11</f>
        <v>#DIV/0!</v>
      </c>
      <c r="K11" s="11" t="str">
        <f t="shared" ref="K11:K16" si="13">I11/(F11+G11)</f>
        <v>#DIV/0!</v>
      </c>
      <c r="L11" s="11" t="str">
        <f t="shared" ref="L11:L16" si="14">I11/F11</f>
        <v>#DIV/0!</v>
      </c>
      <c r="M11" s="11" t="str">
        <f t="shared" ref="M11:M16" si="15">G11/F11</f>
        <v>#DIV/0!</v>
      </c>
      <c r="N11" s="11">
        <f t="shared" ref="N11:N16" si="16">I11+G11+F11</f>
        <v>0</v>
      </c>
      <c r="O11" s="11" t="str">
        <f t="shared" ref="O11:O16" si="17">N11/H11</f>
        <v>#DIV/0!</v>
      </c>
    </row>
    <row r="12">
      <c r="A12" s="78" t="s">
        <v>159</v>
      </c>
      <c r="G12" s="11">
        <f t="shared" si="10"/>
        <v>0</v>
      </c>
      <c r="I12" s="11">
        <f t="shared" si="11"/>
        <v>0</v>
      </c>
      <c r="J12" s="11" t="str">
        <f t="shared" si="12"/>
        <v>#DIV/0!</v>
      </c>
      <c r="K12" s="11" t="str">
        <f t="shared" si="13"/>
        <v>#DIV/0!</v>
      </c>
      <c r="L12" s="11" t="str">
        <f t="shared" si="14"/>
        <v>#DIV/0!</v>
      </c>
      <c r="M12" s="11" t="str">
        <f t="shared" si="15"/>
        <v>#DIV/0!</v>
      </c>
      <c r="N12" s="11">
        <f t="shared" si="16"/>
        <v>0</v>
      </c>
      <c r="O12" s="11" t="str">
        <f t="shared" si="17"/>
        <v>#DIV/0!</v>
      </c>
    </row>
    <row r="13">
      <c r="A13" s="78" t="s">
        <v>77</v>
      </c>
      <c r="B13" s="220">
        <v>826.0</v>
      </c>
      <c r="C13" s="30">
        <v>2.7284643E7</v>
      </c>
      <c r="D13" s="11">
        <f>965864-30297</f>
        <v>935567</v>
      </c>
      <c r="E13" s="32">
        <v>278492.0</v>
      </c>
      <c r="F13" s="29">
        <v>3712926.0</v>
      </c>
      <c r="G13" s="25">
        <f t="shared" si="10"/>
        <v>28498702</v>
      </c>
      <c r="H13" s="29">
        <v>3.7857033E7</v>
      </c>
      <c r="I13" s="25">
        <f t="shared" si="11"/>
        <v>5366913</v>
      </c>
      <c r="J13" s="11">
        <f t="shared" si="12"/>
        <v>10.12100457</v>
      </c>
      <c r="K13" s="11">
        <f t="shared" si="13"/>
        <v>0.1666141494</v>
      </c>
      <c r="L13" s="11">
        <f t="shared" si="14"/>
        <v>1.445467268</v>
      </c>
      <c r="M13" s="11">
        <f t="shared" si="15"/>
        <v>7.675537299</v>
      </c>
      <c r="N13" s="25">
        <f t="shared" si="16"/>
        <v>37578541</v>
      </c>
      <c r="O13" s="11">
        <f t="shared" si="17"/>
        <v>0.9926435862</v>
      </c>
    </row>
    <row r="14">
      <c r="A14" s="64" t="s">
        <v>160</v>
      </c>
      <c r="B14" s="23">
        <v>37784.0</v>
      </c>
      <c r="C14" s="23">
        <v>8795506.0</v>
      </c>
      <c r="D14" s="11">
        <f>538742+26765</f>
        <v>565507</v>
      </c>
      <c r="E14" s="23">
        <v>189146.0</v>
      </c>
      <c r="F14" s="23">
        <v>3919638.0</v>
      </c>
      <c r="G14" s="25">
        <f t="shared" si="10"/>
        <v>9550159</v>
      </c>
      <c r="H14" s="23">
        <v>1.679617E7</v>
      </c>
      <c r="I14" s="25">
        <f t="shared" si="11"/>
        <v>3137227</v>
      </c>
      <c r="J14" s="11">
        <f t="shared" si="12"/>
        <v>4.236876977</v>
      </c>
      <c r="K14" s="11">
        <f t="shared" si="13"/>
        <v>0.2329082613</v>
      </c>
      <c r="L14" s="11">
        <f t="shared" si="14"/>
        <v>0.8003869235</v>
      </c>
      <c r="M14" s="11">
        <f t="shared" si="15"/>
        <v>2.436490053</v>
      </c>
      <c r="N14" s="25">
        <f t="shared" si="16"/>
        <v>16607024</v>
      </c>
      <c r="O14" s="11">
        <f t="shared" si="17"/>
        <v>0.9887387422</v>
      </c>
    </row>
    <row r="15">
      <c r="A15" s="128" t="s">
        <v>668</v>
      </c>
      <c r="B15" s="25">
        <f t="shared" ref="B15:F15" si="18">SUM(B9:B14)</f>
        <v>86488</v>
      </c>
      <c r="C15" s="25">
        <f t="shared" si="18"/>
        <v>74576429</v>
      </c>
      <c r="D15" s="11">
        <f t="shared" si="18"/>
        <v>3135261</v>
      </c>
      <c r="E15" s="25">
        <f t="shared" si="18"/>
        <v>999490</v>
      </c>
      <c r="F15" s="25">
        <f t="shared" si="18"/>
        <v>16470190</v>
      </c>
      <c r="G15" s="25">
        <f t="shared" si="10"/>
        <v>78711180</v>
      </c>
      <c r="H15" s="25">
        <f>SUM(H9:H14)</f>
        <v>114567950</v>
      </c>
      <c r="I15" s="25">
        <f t="shared" si="11"/>
        <v>18387090</v>
      </c>
      <c r="J15" s="11">
        <f t="shared" si="12"/>
        <v>6.895394649</v>
      </c>
      <c r="K15" s="11">
        <f t="shared" si="13"/>
        <v>0.1931795056</v>
      </c>
      <c r="L15" s="11">
        <f t="shared" si="14"/>
        <v>1.116386028</v>
      </c>
      <c r="M15" s="11">
        <f t="shared" si="15"/>
        <v>4.779008621</v>
      </c>
      <c r="N15" s="25">
        <f t="shared" si="16"/>
        <v>113568460</v>
      </c>
      <c r="O15" s="11">
        <f t="shared" si="17"/>
        <v>0.9912760069</v>
      </c>
    </row>
    <row r="16">
      <c r="A16" s="64" t="s">
        <v>156</v>
      </c>
      <c r="B16" s="29">
        <v>27076.0</v>
      </c>
      <c r="C16" s="30">
        <v>1.822027E7</v>
      </c>
      <c r="D16" s="11">
        <f>1174729+138638</f>
        <v>1313367</v>
      </c>
      <c r="E16" s="30">
        <v>63089.0</v>
      </c>
      <c r="F16" s="29">
        <v>5139613.0</v>
      </c>
      <c r="G16" s="25">
        <f t="shared" si="10"/>
        <v>19596726</v>
      </c>
      <c r="H16" s="29">
        <v>3.0840132E7</v>
      </c>
      <c r="I16" s="25">
        <f t="shared" si="11"/>
        <v>6040704</v>
      </c>
      <c r="J16" s="11">
        <f t="shared" si="12"/>
        <v>5.988202419</v>
      </c>
      <c r="K16" s="11">
        <f t="shared" si="13"/>
        <v>0.244203639</v>
      </c>
      <c r="L16" s="11">
        <f t="shared" si="14"/>
        <v>1.175322733</v>
      </c>
      <c r="M16" s="11">
        <f t="shared" si="15"/>
        <v>3.812879686</v>
      </c>
      <c r="N16" s="25">
        <f t="shared" si="16"/>
        <v>30777043</v>
      </c>
      <c r="O16" s="11">
        <f t="shared" si="17"/>
        <v>0.9979543213</v>
      </c>
    </row>
    <row r="17">
      <c r="A17" s="78" t="s">
        <v>157</v>
      </c>
    </row>
    <row r="18">
      <c r="A18" s="78" t="s">
        <v>158</v>
      </c>
      <c r="G18" s="11">
        <f t="shared" ref="G18:G23" si="19">C18+D18+E18</f>
        <v>0</v>
      </c>
      <c r="I18" s="11">
        <f t="shared" ref="I18:I23" si="20">H18-F18-G18-E18</f>
        <v>0</v>
      </c>
      <c r="J18" s="11" t="str">
        <f t="shared" ref="J18:J23" si="21">1+M18+L18</f>
        <v>#DIV/0!</v>
      </c>
      <c r="K18" s="11" t="str">
        <f t="shared" ref="K18:K23" si="22">I18/(F18+G18)</f>
        <v>#DIV/0!</v>
      </c>
      <c r="L18" s="11" t="str">
        <f t="shared" ref="L18:L23" si="23">I18/F18</f>
        <v>#DIV/0!</v>
      </c>
      <c r="M18" s="11" t="str">
        <f t="shared" ref="M18:M23" si="24">G18/F18</f>
        <v>#DIV/0!</v>
      </c>
      <c r="N18" s="11">
        <f t="shared" ref="N18:N23" si="25">I18+G18+F18</f>
        <v>0</v>
      </c>
      <c r="O18" s="11" t="str">
        <f t="shared" ref="O18:O23" si="26">N18/H18</f>
        <v>#DIV/0!</v>
      </c>
    </row>
    <row r="19">
      <c r="A19" s="78" t="s">
        <v>159</v>
      </c>
      <c r="G19" s="11">
        <f t="shared" si="19"/>
        <v>0</v>
      </c>
      <c r="I19" s="11">
        <f t="shared" si="20"/>
        <v>0</v>
      </c>
      <c r="J19" s="11" t="str">
        <f t="shared" si="21"/>
        <v>#DIV/0!</v>
      </c>
      <c r="K19" s="11" t="str">
        <f t="shared" si="22"/>
        <v>#DIV/0!</v>
      </c>
      <c r="L19" s="11" t="str">
        <f t="shared" si="23"/>
        <v>#DIV/0!</v>
      </c>
      <c r="M19" s="11" t="str">
        <f t="shared" si="24"/>
        <v>#DIV/0!</v>
      </c>
      <c r="N19" s="11">
        <f t="shared" si="25"/>
        <v>0</v>
      </c>
      <c r="O19" s="11" t="str">
        <f t="shared" si="26"/>
        <v>#DIV/0!</v>
      </c>
    </row>
    <row r="20">
      <c r="A20" s="78" t="s">
        <v>77</v>
      </c>
      <c r="B20" s="4">
        <v>365.0</v>
      </c>
      <c r="C20" s="30">
        <v>1.3087087E7</v>
      </c>
      <c r="D20" s="11">
        <f>850325+140188</f>
        <v>990513</v>
      </c>
      <c r="E20" s="30">
        <v>43701.0</v>
      </c>
      <c r="F20" s="29">
        <v>2478799.0</v>
      </c>
      <c r="G20" s="25">
        <f t="shared" si="19"/>
        <v>14121301</v>
      </c>
      <c r="H20" s="29">
        <v>2.0545596E7</v>
      </c>
      <c r="I20" s="25">
        <f t="shared" si="20"/>
        <v>3901795</v>
      </c>
      <c r="J20" s="11">
        <f t="shared" si="21"/>
        <v>8.270898528</v>
      </c>
      <c r="K20" s="11">
        <f t="shared" si="22"/>
        <v>0.2350464756</v>
      </c>
      <c r="L20" s="11">
        <f t="shared" si="23"/>
        <v>1.574066715</v>
      </c>
      <c r="M20" s="11">
        <f t="shared" si="24"/>
        <v>5.696831813</v>
      </c>
      <c r="N20" s="25">
        <f t="shared" si="25"/>
        <v>20501895</v>
      </c>
      <c r="O20" s="11">
        <f t="shared" si="26"/>
        <v>0.9978729748</v>
      </c>
    </row>
    <row r="21">
      <c r="A21" s="64" t="s">
        <v>160</v>
      </c>
      <c r="B21" s="23">
        <v>21216.0</v>
      </c>
      <c r="C21" s="23">
        <v>3902969.0</v>
      </c>
      <c r="D21" s="11">
        <f>233503 +11277       </f>
        <v>244780</v>
      </c>
      <c r="E21" s="23">
        <v>81822.0</v>
      </c>
      <c r="F21" s="23">
        <v>2081293.0</v>
      </c>
      <c r="G21" s="25">
        <f t="shared" si="19"/>
        <v>4229571</v>
      </c>
      <c r="H21" s="23">
        <v>7837107.0</v>
      </c>
      <c r="I21" s="25">
        <f t="shared" si="20"/>
        <v>1444421</v>
      </c>
      <c r="J21" s="11">
        <f t="shared" si="21"/>
        <v>3.726186078</v>
      </c>
      <c r="K21" s="11">
        <f t="shared" si="22"/>
        <v>0.2288784864</v>
      </c>
      <c r="L21" s="11">
        <f t="shared" si="23"/>
        <v>0.6940017576</v>
      </c>
      <c r="M21" s="11">
        <f t="shared" si="24"/>
        <v>2.03218432</v>
      </c>
      <c r="N21" s="25">
        <f t="shared" si="25"/>
        <v>7755285</v>
      </c>
      <c r="O21" s="11">
        <f t="shared" si="26"/>
        <v>0.9895596679</v>
      </c>
    </row>
    <row r="22">
      <c r="A22" s="128" t="s">
        <v>669</v>
      </c>
      <c r="B22" s="25">
        <f t="shared" ref="B22:F22" si="27">SUM(B16:B21)</f>
        <v>48657</v>
      </c>
      <c r="C22" s="25">
        <f t="shared" si="27"/>
        <v>35210326</v>
      </c>
      <c r="D22" s="11">
        <f t="shared" si="27"/>
        <v>2548660</v>
      </c>
      <c r="E22" s="25">
        <f t="shared" si="27"/>
        <v>188612</v>
      </c>
      <c r="F22" s="25">
        <f t="shared" si="27"/>
        <v>9699705</v>
      </c>
      <c r="G22" s="25">
        <f t="shared" si="19"/>
        <v>37947598</v>
      </c>
      <c r="H22" s="25">
        <f>SUM(H16:H21)</f>
        <v>59222835</v>
      </c>
      <c r="I22" s="25">
        <f t="shared" si="20"/>
        <v>11386920</v>
      </c>
      <c r="J22" s="11">
        <f t="shared" si="21"/>
        <v>6.086187467</v>
      </c>
      <c r="K22" s="11">
        <f t="shared" si="22"/>
        <v>0.238983516</v>
      </c>
      <c r="L22" s="11">
        <f t="shared" si="23"/>
        <v>1.173944981</v>
      </c>
      <c r="M22" s="11">
        <f t="shared" si="24"/>
        <v>3.912242486</v>
      </c>
      <c r="N22" s="25">
        <f t="shared" si="25"/>
        <v>59034223</v>
      </c>
      <c r="O22" s="11">
        <f t="shared" si="26"/>
        <v>0.9968152149</v>
      </c>
    </row>
    <row r="23">
      <c r="A23" s="64" t="s">
        <v>156</v>
      </c>
      <c r="B23" s="31">
        <v>61679.0</v>
      </c>
      <c r="C23" s="30">
        <v>2.60923E7</v>
      </c>
      <c r="D23" s="11">
        <f>1978809+219913</f>
        <v>2198722</v>
      </c>
      <c r="E23" s="30">
        <v>470290.0</v>
      </c>
      <c r="F23" s="29">
        <v>9354745.0</v>
      </c>
      <c r="G23" s="25">
        <f t="shared" si="19"/>
        <v>28761312</v>
      </c>
      <c r="H23" s="29">
        <v>5.0645233E7</v>
      </c>
      <c r="I23" s="25">
        <f t="shared" si="20"/>
        <v>12058886</v>
      </c>
      <c r="J23" s="11">
        <f t="shared" si="21"/>
        <v>5.363582118</v>
      </c>
      <c r="K23" s="11">
        <f t="shared" si="22"/>
        <v>0.3163728609</v>
      </c>
      <c r="L23" s="11">
        <f t="shared" si="23"/>
        <v>1.289066244</v>
      </c>
      <c r="M23" s="11">
        <f t="shared" si="24"/>
        <v>3.074515874</v>
      </c>
      <c r="N23" s="25">
        <f t="shared" si="25"/>
        <v>50174943</v>
      </c>
      <c r="O23" s="11">
        <f t="shared" si="26"/>
        <v>0.9907140323</v>
      </c>
    </row>
    <row r="24">
      <c r="A24" s="78" t="s">
        <v>157</v>
      </c>
      <c r="B24" s="219"/>
    </row>
    <row r="25">
      <c r="A25" s="78" t="s">
        <v>158</v>
      </c>
      <c r="B25" s="219"/>
      <c r="G25" s="11">
        <f t="shared" ref="G25:G30" si="28">C25+D25+E25</f>
        <v>0</v>
      </c>
      <c r="I25" s="11">
        <f t="shared" ref="I25:I30" si="29">H25-F25-G25-E25</f>
        <v>0</v>
      </c>
      <c r="J25" s="11" t="str">
        <f t="shared" ref="J25:J30" si="30">1+M25+L25</f>
        <v>#DIV/0!</v>
      </c>
      <c r="K25" s="11" t="str">
        <f t="shared" ref="K25:K30" si="31">I25/(F25+G25)</f>
        <v>#DIV/0!</v>
      </c>
      <c r="L25" s="11" t="str">
        <f t="shared" ref="L25:L30" si="32">I25/F25</f>
        <v>#DIV/0!</v>
      </c>
      <c r="M25" s="11" t="str">
        <f t="shared" ref="M25:M30" si="33">G25/F25</f>
        <v>#DIV/0!</v>
      </c>
      <c r="N25" s="11">
        <f t="shared" ref="N25:N30" si="34">I25+G25+F25</f>
        <v>0</v>
      </c>
      <c r="O25" s="11" t="str">
        <f t="shared" ref="O25:O30" si="35">N25/H25</f>
        <v>#DIV/0!</v>
      </c>
    </row>
    <row r="26">
      <c r="A26" s="78" t="s">
        <v>159</v>
      </c>
      <c r="G26" s="11">
        <f t="shared" si="28"/>
        <v>0</v>
      </c>
      <c r="I26" s="11">
        <f t="shared" si="29"/>
        <v>0</v>
      </c>
      <c r="J26" s="11" t="str">
        <f t="shared" si="30"/>
        <v>#DIV/0!</v>
      </c>
      <c r="K26" s="11" t="str">
        <f t="shared" si="31"/>
        <v>#DIV/0!</v>
      </c>
      <c r="L26" s="11" t="str">
        <f t="shared" si="32"/>
        <v>#DIV/0!</v>
      </c>
      <c r="M26" s="11" t="str">
        <f t="shared" si="33"/>
        <v>#DIV/0!</v>
      </c>
      <c r="N26" s="11">
        <f t="shared" si="34"/>
        <v>0</v>
      </c>
      <c r="O26" s="11" t="str">
        <f t="shared" si="35"/>
        <v>#DIV/0!</v>
      </c>
    </row>
    <row r="27">
      <c r="A27" s="78" t="s">
        <v>77</v>
      </c>
      <c r="B27" s="220">
        <v>862.0</v>
      </c>
      <c r="C27" s="32">
        <v>1.440792E7</v>
      </c>
      <c r="D27" s="11">
        <f>1004299-16008</f>
        <v>988291</v>
      </c>
      <c r="E27" s="30">
        <v>220588.0</v>
      </c>
      <c r="F27" s="29">
        <v>3522510.0</v>
      </c>
      <c r="G27" s="25">
        <f t="shared" si="28"/>
        <v>15616799</v>
      </c>
      <c r="H27" s="29">
        <v>2.5035274E7</v>
      </c>
      <c r="I27" s="25">
        <f t="shared" si="29"/>
        <v>5675377</v>
      </c>
      <c r="J27" s="11">
        <f t="shared" si="30"/>
        <v>7.044603422</v>
      </c>
      <c r="K27" s="11">
        <f t="shared" si="31"/>
        <v>0.2965298799</v>
      </c>
      <c r="L27" s="11">
        <f t="shared" si="32"/>
        <v>1.611174134</v>
      </c>
      <c r="M27" s="11">
        <f t="shared" si="33"/>
        <v>4.433429288</v>
      </c>
      <c r="N27" s="25">
        <f t="shared" si="34"/>
        <v>24814686</v>
      </c>
      <c r="O27" s="11">
        <f t="shared" si="35"/>
        <v>0.9911889121</v>
      </c>
    </row>
    <row r="28">
      <c r="A28" s="64" t="s">
        <v>160</v>
      </c>
      <c r="B28" s="23">
        <v>48688.0</v>
      </c>
      <c r="C28" s="23">
        <v>8688209.0</v>
      </c>
      <c r="D28" s="11">
        <f>680137+150166</f>
        <v>830303</v>
      </c>
      <c r="E28" s="23">
        <v>199537.0</v>
      </c>
      <c r="F28" s="23">
        <v>4776905.0</v>
      </c>
      <c r="G28" s="25">
        <f t="shared" si="28"/>
        <v>9718049</v>
      </c>
      <c r="H28" s="23">
        <v>1.895901E7</v>
      </c>
      <c r="I28" s="25">
        <f t="shared" si="29"/>
        <v>4264519</v>
      </c>
      <c r="J28" s="11">
        <f t="shared" si="30"/>
        <v>3.92711871</v>
      </c>
      <c r="K28" s="11">
        <f t="shared" si="31"/>
        <v>0.2942071427</v>
      </c>
      <c r="L28" s="11">
        <f t="shared" si="32"/>
        <v>0.8927368244</v>
      </c>
      <c r="M28" s="11">
        <f t="shared" si="33"/>
        <v>2.034381885</v>
      </c>
      <c r="N28" s="25">
        <f t="shared" si="34"/>
        <v>18759473</v>
      </c>
      <c r="O28" s="11">
        <f t="shared" si="35"/>
        <v>0.9894753471</v>
      </c>
    </row>
    <row r="29">
      <c r="A29" s="128" t="s">
        <v>419</v>
      </c>
      <c r="B29" s="25">
        <f t="shared" ref="B29:F29" si="36">SUM(B23:B28)</f>
        <v>111229</v>
      </c>
      <c r="C29" s="25">
        <f t="shared" si="36"/>
        <v>49188429</v>
      </c>
      <c r="D29" s="11">
        <f t="shared" si="36"/>
        <v>4017316</v>
      </c>
      <c r="E29" s="25">
        <f t="shared" si="36"/>
        <v>890415</v>
      </c>
      <c r="F29" s="25">
        <f t="shared" si="36"/>
        <v>17654160</v>
      </c>
      <c r="G29" s="25">
        <f t="shared" si="28"/>
        <v>54096160</v>
      </c>
      <c r="H29" s="25">
        <f>SUM(H23:H28)</f>
        <v>94639517</v>
      </c>
      <c r="I29" s="25">
        <f t="shared" si="29"/>
        <v>21998782</v>
      </c>
      <c r="J29" s="11">
        <f t="shared" si="30"/>
        <v>5.310312244</v>
      </c>
      <c r="K29" s="11">
        <f t="shared" si="31"/>
        <v>0.306601866</v>
      </c>
      <c r="L29" s="11">
        <f t="shared" si="32"/>
        <v>1.246096218</v>
      </c>
      <c r="M29" s="11">
        <f t="shared" si="33"/>
        <v>3.064216026</v>
      </c>
      <c r="N29" s="25">
        <f t="shared" si="34"/>
        <v>93749102</v>
      </c>
      <c r="O29" s="11">
        <f t="shared" si="35"/>
        <v>0.9905915095</v>
      </c>
    </row>
    <row r="30">
      <c r="A30" s="64" t="s">
        <v>156</v>
      </c>
      <c r="B30" s="29">
        <v>16383.0</v>
      </c>
      <c r="C30" s="30">
        <v>1.0719114E7</v>
      </c>
      <c r="D30" s="11">
        <f>573580+70685</f>
        <v>644265</v>
      </c>
      <c r="E30" s="30">
        <v>218484.0</v>
      </c>
      <c r="F30" s="31">
        <v>2879847.0</v>
      </c>
      <c r="G30" s="25">
        <f t="shared" si="28"/>
        <v>11581863</v>
      </c>
      <c r="H30" s="29">
        <v>1.781204E7</v>
      </c>
      <c r="I30" s="25">
        <f t="shared" si="29"/>
        <v>3131846</v>
      </c>
      <c r="J30" s="11">
        <f t="shared" si="30"/>
        <v>6.109198162</v>
      </c>
      <c r="K30" s="11">
        <f t="shared" si="31"/>
        <v>0.2165612504</v>
      </c>
      <c r="L30" s="11">
        <f t="shared" si="32"/>
        <v>1.087504301</v>
      </c>
      <c r="M30" s="11">
        <f t="shared" si="33"/>
        <v>4.021693861</v>
      </c>
      <c r="N30" s="25">
        <f t="shared" si="34"/>
        <v>17593556</v>
      </c>
      <c r="O30" s="11">
        <f t="shared" si="35"/>
        <v>0.9877339148</v>
      </c>
    </row>
    <row r="31">
      <c r="A31" s="78" t="s">
        <v>157</v>
      </c>
      <c r="F31" s="219"/>
    </row>
    <row r="32">
      <c r="A32" s="78" t="s">
        <v>158</v>
      </c>
      <c r="F32" s="219"/>
      <c r="G32" s="11">
        <f t="shared" ref="G32:G37" si="37">C32+D32+E32</f>
        <v>0</v>
      </c>
      <c r="I32" s="11">
        <f t="shared" ref="I32:I37" si="38">H32-F32-G32-E32</f>
        <v>0</v>
      </c>
      <c r="J32" s="11" t="str">
        <f t="shared" ref="J32:J37" si="39">1+M32+L32</f>
        <v>#DIV/0!</v>
      </c>
      <c r="K32" s="11" t="str">
        <f t="shared" ref="K32:K37" si="40">I32/(F32+G32)</f>
        <v>#DIV/0!</v>
      </c>
      <c r="L32" s="11" t="str">
        <f t="shared" ref="L32:L37" si="41">I32/F32</f>
        <v>#DIV/0!</v>
      </c>
      <c r="M32" s="11" t="str">
        <f t="shared" ref="M32:M37" si="42">G32/F32</f>
        <v>#DIV/0!</v>
      </c>
      <c r="N32" s="11">
        <f t="shared" ref="N32:N37" si="43">I32+G32+F32</f>
        <v>0</v>
      </c>
      <c r="O32" s="11" t="str">
        <f t="shared" ref="O32:O37" si="44">N32/H32</f>
        <v>#DIV/0!</v>
      </c>
    </row>
    <row r="33">
      <c r="A33" s="78" t="s">
        <v>159</v>
      </c>
      <c r="G33" s="11">
        <f t="shared" si="37"/>
        <v>0</v>
      </c>
      <c r="I33" s="11">
        <f t="shared" si="38"/>
        <v>0</v>
      </c>
      <c r="J33" s="11" t="str">
        <f t="shared" si="39"/>
        <v>#DIV/0!</v>
      </c>
      <c r="K33" s="11" t="str">
        <f t="shared" si="40"/>
        <v>#DIV/0!</v>
      </c>
      <c r="L33" s="11" t="str">
        <f t="shared" si="41"/>
        <v>#DIV/0!</v>
      </c>
      <c r="M33" s="11" t="str">
        <f t="shared" si="42"/>
        <v>#DIV/0!</v>
      </c>
      <c r="N33" s="11">
        <f t="shared" si="43"/>
        <v>0</v>
      </c>
      <c r="O33" s="11" t="str">
        <f t="shared" si="44"/>
        <v>#DIV/0!</v>
      </c>
    </row>
    <row r="34">
      <c r="A34" s="78" t="s">
        <v>77</v>
      </c>
      <c r="B34" s="220">
        <v>226.0</v>
      </c>
      <c r="C34" s="32">
        <v>7464740.0</v>
      </c>
      <c r="D34" s="11">
        <f>343397+27297</f>
        <v>370694</v>
      </c>
      <c r="E34" s="30">
        <v>137647.0</v>
      </c>
      <c r="F34" s="29">
        <v>1162498.0</v>
      </c>
      <c r="G34" s="25">
        <f t="shared" si="37"/>
        <v>7973081</v>
      </c>
      <c r="H34" s="29">
        <v>1.1150418E7</v>
      </c>
      <c r="I34" s="25">
        <f t="shared" si="38"/>
        <v>1877192</v>
      </c>
      <c r="J34" s="11">
        <f t="shared" si="39"/>
        <v>9.473367696</v>
      </c>
      <c r="K34" s="11">
        <f t="shared" si="40"/>
        <v>0.2054814479</v>
      </c>
      <c r="L34" s="11">
        <f t="shared" si="41"/>
        <v>1.614791595</v>
      </c>
      <c r="M34" s="11">
        <f t="shared" si="42"/>
        <v>6.858576101</v>
      </c>
      <c r="N34" s="25">
        <f t="shared" si="43"/>
        <v>11012771</v>
      </c>
      <c r="O34" s="11">
        <f t="shared" si="44"/>
        <v>0.9876554404</v>
      </c>
    </row>
    <row r="35">
      <c r="A35" s="64" t="s">
        <v>160</v>
      </c>
      <c r="B35" s="23">
        <v>12616.0</v>
      </c>
      <c r="C35" s="23">
        <v>2553888.0</v>
      </c>
      <c r="D35" s="11">
        <f>144365+13734</f>
        <v>158099</v>
      </c>
      <c r="E35" s="23">
        <v>50620.0</v>
      </c>
      <c r="F35" s="23">
        <v>1291935.0</v>
      </c>
      <c r="G35" s="25">
        <f t="shared" si="37"/>
        <v>2762607</v>
      </c>
      <c r="H35" s="23">
        <v>5049637.0</v>
      </c>
      <c r="I35" s="25">
        <f t="shared" si="38"/>
        <v>944475</v>
      </c>
      <c r="J35" s="11">
        <f t="shared" si="39"/>
        <v>3.869402872</v>
      </c>
      <c r="K35" s="11">
        <f t="shared" si="40"/>
        <v>0.232942463</v>
      </c>
      <c r="L35" s="11">
        <f t="shared" si="41"/>
        <v>0.7310545809</v>
      </c>
      <c r="M35" s="11">
        <f t="shared" si="42"/>
        <v>2.138348292</v>
      </c>
      <c r="N35" s="25">
        <f t="shared" si="43"/>
        <v>4999017</v>
      </c>
      <c r="O35" s="11">
        <f t="shared" si="44"/>
        <v>0.9899755171</v>
      </c>
    </row>
    <row r="36">
      <c r="A36" s="128" t="s">
        <v>413</v>
      </c>
      <c r="B36" s="25">
        <f t="shared" ref="B36:F36" si="45">SUM(B30:B35)</f>
        <v>29225</v>
      </c>
      <c r="C36" s="25">
        <f t="shared" si="45"/>
        <v>20737742</v>
      </c>
      <c r="D36" s="11">
        <f t="shared" si="45"/>
        <v>1173058</v>
      </c>
      <c r="E36" s="25">
        <f t="shared" si="45"/>
        <v>406751</v>
      </c>
      <c r="F36" s="25">
        <f t="shared" si="45"/>
        <v>5334280</v>
      </c>
      <c r="G36" s="25">
        <f t="shared" si="37"/>
        <v>22317551</v>
      </c>
      <c r="H36" s="25">
        <f>SUM(H30:H35)</f>
        <v>34012095</v>
      </c>
      <c r="I36" s="25">
        <f t="shared" si="38"/>
        <v>5953513</v>
      </c>
      <c r="J36" s="11">
        <f t="shared" si="39"/>
        <v>6.299883771</v>
      </c>
      <c r="K36" s="11">
        <f t="shared" si="40"/>
        <v>0.2153026684</v>
      </c>
      <c r="L36" s="11">
        <f t="shared" si="41"/>
        <v>1.116085582</v>
      </c>
      <c r="M36" s="11">
        <f t="shared" si="42"/>
        <v>4.183798188</v>
      </c>
      <c r="N36" s="25">
        <f t="shared" si="43"/>
        <v>33605344</v>
      </c>
      <c r="O36" s="11">
        <f t="shared" si="44"/>
        <v>0.9880409895</v>
      </c>
    </row>
    <row r="37">
      <c r="A37" s="64" t="s">
        <v>156</v>
      </c>
      <c r="B37" s="29">
        <v>63782.0</v>
      </c>
      <c r="C37" s="30">
        <v>2.8038891E7</v>
      </c>
      <c r="D37" s="11">
        <f>1406624+20521</f>
        <v>1427145</v>
      </c>
      <c r="E37" s="30">
        <v>443218.0</v>
      </c>
      <c r="F37" s="29">
        <v>7069445.0</v>
      </c>
      <c r="G37" s="25">
        <f t="shared" si="37"/>
        <v>29909254</v>
      </c>
      <c r="H37" s="29">
        <v>4.4133294E7</v>
      </c>
      <c r="I37" s="25">
        <f t="shared" si="38"/>
        <v>6711377</v>
      </c>
      <c r="J37" s="11">
        <f t="shared" si="39"/>
        <v>6.180128143</v>
      </c>
      <c r="K37" s="11">
        <f t="shared" si="40"/>
        <v>0.1814930536</v>
      </c>
      <c r="L37" s="11">
        <f t="shared" si="41"/>
        <v>0.9493499136</v>
      </c>
      <c r="M37" s="11">
        <f t="shared" si="42"/>
        <v>4.230778229</v>
      </c>
      <c r="N37" s="25">
        <f t="shared" si="43"/>
        <v>43690076</v>
      </c>
      <c r="O37" s="11">
        <f t="shared" si="44"/>
        <v>0.9899572871</v>
      </c>
    </row>
    <row r="38">
      <c r="A38" s="78" t="s">
        <v>157</v>
      </c>
    </row>
    <row r="39">
      <c r="A39" s="78" t="s">
        <v>158</v>
      </c>
      <c r="G39" s="11">
        <f t="shared" ref="G39:G44" si="46">C39+D39+E39</f>
        <v>0</v>
      </c>
      <c r="I39" s="11">
        <f t="shared" ref="I39:I44" si="47">H39-F39-G39-E39</f>
        <v>0</v>
      </c>
      <c r="J39" s="11" t="str">
        <f t="shared" ref="J39:J44" si="48">1+M39+L39</f>
        <v>#DIV/0!</v>
      </c>
      <c r="K39" s="11" t="str">
        <f t="shared" ref="K39:K44" si="49">I39/(F39+G39)</f>
        <v>#DIV/0!</v>
      </c>
      <c r="L39" s="11" t="str">
        <f t="shared" ref="L39:L44" si="50">I39/F39</f>
        <v>#DIV/0!</v>
      </c>
      <c r="M39" s="11" t="str">
        <f t="shared" ref="M39:M44" si="51">G39/F39</f>
        <v>#DIV/0!</v>
      </c>
      <c r="N39" s="11">
        <f t="shared" ref="N39:N44" si="52">I39+G39+F39</f>
        <v>0</v>
      </c>
      <c r="O39" s="11" t="str">
        <f t="shared" ref="O39:O44" si="53">N39/H39</f>
        <v>#DIV/0!</v>
      </c>
    </row>
    <row r="40">
      <c r="A40" s="78" t="s">
        <v>159</v>
      </c>
      <c r="G40" s="11">
        <f t="shared" si="46"/>
        <v>0</v>
      </c>
      <c r="I40" s="11">
        <f t="shared" si="47"/>
        <v>0</v>
      </c>
      <c r="J40" s="11" t="str">
        <f t="shared" si="48"/>
        <v>#DIV/0!</v>
      </c>
      <c r="K40" s="11" t="str">
        <f t="shared" si="49"/>
        <v>#DIV/0!</v>
      </c>
      <c r="L40" s="11" t="str">
        <f t="shared" si="50"/>
        <v>#DIV/0!</v>
      </c>
      <c r="M40" s="11" t="str">
        <f t="shared" si="51"/>
        <v>#DIV/0!</v>
      </c>
      <c r="N40" s="11">
        <f t="shared" si="52"/>
        <v>0</v>
      </c>
      <c r="O40" s="11" t="str">
        <f t="shared" si="53"/>
        <v>#DIV/0!</v>
      </c>
    </row>
    <row r="41">
      <c r="A41" s="78" t="s">
        <v>77</v>
      </c>
      <c r="B41" s="220">
        <v>628.0</v>
      </c>
      <c r="C41" s="30">
        <v>1.3672063E7</v>
      </c>
      <c r="D41" s="11">
        <f>635596-26457        </f>
        <v>609139</v>
      </c>
      <c r="E41" s="30">
        <v>198841.0</v>
      </c>
      <c r="F41" s="29">
        <v>2169152.0</v>
      </c>
      <c r="G41" s="25">
        <f t="shared" si="46"/>
        <v>14480043</v>
      </c>
      <c r="H41" s="31">
        <v>1.9887574E7</v>
      </c>
      <c r="I41" s="25">
        <f t="shared" si="47"/>
        <v>3039538</v>
      </c>
      <c r="J41" s="11">
        <f t="shared" si="48"/>
        <v>9.07669587</v>
      </c>
      <c r="K41" s="11">
        <f t="shared" si="49"/>
        <v>0.1825636615</v>
      </c>
      <c r="L41" s="11">
        <f t="shared" si="50"/>
        <v>1.401256343</v>
      </c>
      <c r="M41" s="11">
        <f t="shared" si="51"/>
        <v>6.675439527</v>
      </c>
      <c r="N41" s="25">
        <f t="shared" si="52"/>
        <v>19688733</v>
      </c>
      <c r="O41" s="11">
        <f t="shared" si="53"/>
        <v>0.9900017468</v>
      </c>
    </row>
    <row r="42">
      <c r="A42" s="64" t="s">
        <v>160</v>
      </c>
      <c r="B42" s="23">
        <v>51730.0</v>
      </c>
      <c r="C42" s="23">
        <v>1.1001159E7</v>
      </c>
      <c r="D42" s="11">
        <f>549949+50044</f>
        <v>599993</v>
      </c>
      <c r="E42" s="23">
        <v>188759.0</v>
      </c>
      <c r="F42" s="23">
        <v>4066611.0</v>
      </c>
      <c r="G42" s="25">
        <f t="shared" si="46"/>
        <v>11789911</v>
      </c>
      <c r="H42" s="23">
        <v>1.9462304E7</v>
      </c>
      <c r="I42" s="25">
        <f t="shared" si="47"/>
        <v>3417023</v>
      </c>
      <c r="J42" s="11">
        <f t="shared" si="48"/>
        <v>4.739461188</v>
      </c>
      <c r="K42" s="11">
        <f t="shared" si="49"/>
        <v>0.2154963743</v>
      </c>
      <c r="L42" s="11">
        <f t="shared" si="50"/>
        <v>0.8402630593</v>
      </c>
      <c r="M42" s="11">
        <f t="shared" si="51"/>
        <v>2.899198128</v>
      </c>
      <c r="N42" s="25">
        <f t="shared" si="52"/>
        <v>19273545</v>
      </c>
      <c r="O42" s="11">
        <f t="shared" si="53"/>
        <v>0.9903013025</v>
      </c>
    </row>
    <row r="43">
      <c r="A43" s="128" t="s">
        <v>670</v>
      </c>
      <c r="B43" s="25">
        <f t="shared" ref="B43:F43" si="54">SUM(B37:B42)</f>
        <v>116140</v>
      </c>
      <c r="C43" s="25">
        <f t="shared" si="54"/>
        <v>52712113</v>
      </c>
      <c r="D43" s="11">
        <f t="shared" si="54"/>
        <v>2636277</v>
      </c>
      <c r="E43" s="25">
        <f t="shared" si="54"/>
        <v>830818</v>
      </c>
      <c r="F43" s="25">
        <f t="shared" si="54"/>
        <v>13305208</v>
      </c>
      <c r="G43" s="25">
        <f t="shared" si="46"/>
        <v>56179208</v>
      </c>
      <c r="H43" s="25">
        <f>SUM(H37:H42)</f>
        <v>83483172</v>
      </c>
      <c r="I43" s="25">
        <f t="shared" si="47"/>
        <v>13167938</v>
      </c>
      <c r="J43" s="11">
        <f t="shared" si="48"/>
        <v>6.212030207</v>
      </c>
      <c r="K43" s="11">
        <f t="shared" si="49"/>
        <v>0.1895092275</v>
      </c>
      <c r="L43" s="11">
        <f t="shared" si="50"/>
        <v>0.9896829873</v>
      </c>
      <c r="M43" s="11">
        <f t="shared" si="51"/>
        <v>4.222347219</v>
      </c>
      <c r="N43" s="25">
        <f t="shared" si="52"/>
        <v>82652354</v>
      </c>
      <c r="O43" s="11">
        <f t="shared" si="53"/>
        <v>0.9900480782</v>
      </c>
    </row>
    <row r="44">
      <c r="A44" s="64" t="s">
        <v>156</v>
      </c>
      <c r="B44" s="29">
        <v>72081.0</v>
      </c>
      <c r="C44" s="30">
        <v>4.3266316E7</v>
      </c>
      <c r="D44" s="11">
        <f>2174847+133524</f>
        <v>2308371</v>
      </c>
      <c r="E44" s="30">
        <v>686684.0</v>
      </c>
      <c r="F44" s="29">
        <v>9713033.0</v>
      </c>
      <c r="G44" s="25">
        <f t="shared" si="46"/>
        <v>46261371</v>
      </c>
      <c r="H44" s="29">
        <v>6.695122E7</v>
      </c>
      <c r="I44" s="25">
        <f t="shared" si="47"/>
        <v>10290132</v>
      </c>
      <c r="J44" s="11">
        <f t="shared" si="48"/>
        <v>6.822229061</v>
      </c>
      <c r="K44" s="11">
        <f t="shared" si="49"/>
        <v>0.1838363835</v>
      </c>
      <c r="L44" s="11">
        <f t="shared" si="50"/>
        <v>1.059414912</v>
      </c>
      <c r="M44" s="11">
        <f t="shared" si="51"/>
        <v>4.762814149</v>
      </c>
      <c r="N44" s="25">
        <f t="shared" si="52"/>
        <v>66264536</v>
      </c>
      <c r="O44" s="11">
        <f t="shared" si="53"/>
        <v>0.9897435177</v>
      </c>
    </row>
    <row r="45">
      <c r="A45" s="78" t="s">
        <v>157</v>
      </c>
    </row>
    <row r="46">
      <c r="A46" s="78" t="s">
        <v>158</v>
      </c>
      <c r="G46" s="11">
        <f t="shared" ref="G46:G51" si="55">C46+D46+E46</f>
        <v>0</v>
      </c>
      <c r="I46" s="11">
        <f t="shared" ref="I46:I51" si="56">H46-F46-G46-E46</f>
        <v>0</v>
      </c>
      <c r="J46" s="11" t="str">
        <f t="shared" ref="J46:J51" si="57">1+M46+L46</f>
        <v>#DIV/0!</v>
      </c>
      <c r="K46" s="11" t="str">
        <f t="shared" ref="K46:K51" si="58">I46/(F46+G46)</f>
        <v>#DIV/0!</v>
      </c>
      <c r="L46" s="11" t="str">
        <f t="shared" ref="L46:L51" si="59">I46/F46</f>
        <v>#DIV/0!</v>
      </c>
      <c r="M46" s="11" t="str">
        <f t="shared" ref="M46:M51" si="60">G46/F46</f>
        <v>#DIV/0!</v>
      </c>
      <c r="N46" s="11">
        <f t="shared" ref="N46:N51" si="61">I46+G46+F46</f>
        <v>0</v>
      </c>
      <c r="O46" s="11" t="str">
        <f t="shared" ref="O46:O51" si="62">N46/H46</f>
        <v>#DIV/0!</v>
      </c>
    </row>
    <row r="47">
      <c r="A47" s="78" t="s">
        <v>159</v>
      </c>
      <c r="G47" s="11">
        <f t="shared" si="55"/>
        <v>0</v>
      </c>
      <c r="I47" s="11">
        <f t="shared" si="56"/>
        <v>0</v>
      </c>
      <c r="J47" s="11" t="str">
        <f t="shared" si="57"/>
        <v>#DIV/0!</v>
      </c>
      <c r="K47" s="11" t="str">
        <f t="shared" si="58"/>
        <v>#DIV/0!</v>
      </c>
      <c r="L47" s="11" t="str">
        <f t="shared" si="59"/>
        <v>#DIV/0!</v>
      </c>
      <c r="M47" s="11" t="str">
        <f t="shared" si="60"/>
        <v>#DIV/0!</v>
      </c>
      <c r="N47" s="11">
        <f t="shared" si="61"/>
        <v>0</v>
      </c>
      <c r="O47" s="11" t="str">
        <f t="shared" si="62"/>
        <v>#DIV/0!</v>
      </c>
    </row>
    <row r="48">
      <c r="A48" s="78" t="s">
        <v>77</v>
      </c>
      <c r="B48" s="220">
        <v>890.0</v>
      </c>
      <c r="C48" s="32">
        <v>2.7311781E7</v>
      </c>
      <c r="D48" s="11">
        <f>1125018+72296</f>
        <v>1197314</v>
      </c>
      <c r="E48" s="30">
        <v>361036.0</v>
      </c>
      <c r="F48" s="31">
        <v>3369081.0</v>
      </c>
      <c r="G48" s="25">
        <f t="shared" si="55"/>
        <v>28870131</v>
      </c>
      <c r="H48" s="31">
        <v>3.7944191E7</v>
      </c>
      <c r="I48" s="25">
        <f t="shared" si="56"/>
        <v>5343943</v>
      </c>
      <c r="J48" s="11">
        <f t="shared" si="57"/>
        <v>11.15531357</v>
      </c>
      <c r="K48" s="11">
        <f t="shared" si="58"/>
        <v>0.1657591073</v>
      </c>
      <c r="L48" s="11">
        <f t="shared" si="59"/>
        <v>1.586172312</v>
      </c>
      <c r="M48" s="11">
        <f t="shared" si="60"/>
        <v>8.569141258</v>
      </c>
      <c r="N48" s="25">
        <f t="shared" si="61"/>
        <v>37583155</v>
      </c>
      <c r="O48" s="11">
        <f t="shared" si="62"/>
        <v>0.9904850785</v>
      </c>
    </row>
    <row r="49">
      <c r="A49" s="64" t="s">
        <v>160</v>
      </c>
      <c r="B49" s="23">
        <v>57814.0</v>
      </c>
      <c r="C49" s="23">
        <v>1.2844801E7</v>
      </c>
      <c r="D49" s="11">
        <f>759695+19152</f>
        <v>778847</v>
      </c>
      <c r="E49" s="23">
        <v>286584.0</v>
      </c>
      <c r="F49" s="23">
        <v>5082218.0</v>
      </c>
      <c r="G49" s="25">
        <f t="shared" si="55"/>
        <v>13910232</v>
      </c>
      <c r="H49" s="23">
        <v>2.3378151E7</v>
      </c>
      <c r="I49" s="25">
        <f t="shared" si="56"/>
        <v>4099117</v>
      </c>
      <c r="J49" s="11">
        <f t="shared" si="57"/>
        <v>4.543600255</v>
      </c>
      <c r="K49" s="11">
        <f t="shared" si="58"/>
        <v>0.2158287635</v>
      </c>
      <c r="L49" s="11">
        <f t="shared" si="59"/>
        <v>0.8065606395</v>
      </c>
      <c r="M49" s="11">
        <f t="shared" si="60"/>
        <v>2.737039615</v>
      </c>
      <c r="N49" s="25">
        <f t="shared" si="61"/>
        <v>23091567</v>
      </c>
      <c r="O49" s="11">
        <f t="shared" si="62"/>
        <v>0.9877413744</v>
      </c>
    </row>
    <row r="50">
      <c r="A50" s="128" t="s">
        <v>671</v>
      </c>
      <c r="B50" s="25">
        <f t="shared" ref="B50:F50" si="63">SUM(B44:B49)</f>
        <v>130785</v>
      </c>
      <c r="C50" s="25">
        <f t="shared" si="63"/>
        <v>83422898</v>
      </c>
      <c r="D50" s="11">
        <f t="shared" si="63"/>
        <v>4284532</v>
      </c>
      <c r="E50" s="25">
        <f t="shared" si="63"/>
        <v>1334304</v>
      </c>
      <c r="F50" s="25">
        <f t="shared" si="63"/>
        <v>18164332</v>
      </c>
      <c r="G50" s="25">
        <f t="shared" si="55"/>
        <v>89041734</v>
      </c>
      <c r="H50" s="25">
        <f>SUM(H44:H49)</f>
        <v>128273562</v>
      </c>
      <c r="I50" s="25">
        <f t="shared" si="56"/>
        <v>19733192</v>
      </c>
      <c r="J50" s="11">
        <f t="shared" si="57"/>
        <v>6.988380195</v>
      </c>
      <c r="K50" s="11">
        <f t="shared" si="58"/>
        <v>0.184067868</v>
      </c>
      <c r="L50" s="11">
        <f t="shared" si="59"/>
        <v>1.086370366</v>
      </c>
      <c r="M50" s="11">
        <f t="shared" si="60"/>
        <v>4.902009829</v>
      </c>
      <c r="N50" s="25">
        <f t="shared" si="61"/>
        <v>126939258</v>
      </c>
      <c r="O50" s="11">
        <f t="shared" si="62"/>
        <v>0.9895979812</v>
      </c>
    </row>
    <row r="51">
      <c r="A51" s="64" t="s">
        <v>156</v>
      </c>
      <c r="B51" s="29">
        <v>323199.0</v>
      </c>
      <c r="C51" s="30">
        <v>2.52295009E8</v>
      </c>
      <c r="D51" s="11">
        <f>14554572+5383242</f>
        <v>19937814</v>
      </c>
      <c r="E51" s="30">
        <v>3462734.0</v>
      </c>
      <c r="F51" s="29">
        <v>7.8203776E7</v>
      </c>
      <c r="G51" s="25">
        <f t="shared" si="55"/>
        <v>275695557</v>
      </c>
      <c r="H51" s="29">
        <v>4.56882832E8</v>
      </c>
      <c r="I51" s="25">
        <f t="shared" si="56"/>
        <v>99520765</v>
      </c>
      <c r="J51" s="11">
        <f t="shared" si="57"/>
        <v>5.79793101</v>
      </c>
      <c r="K51" s="11">
        <f t="shared" si="58"/>
        <v>0.2812120728</v>
      </c>
      <c r="L51" s="11">
        <f t="shared" si="59"/>
        <v>1.272582605</v>
      </c>
      <c r="M51" s="11">
        <f t="shared" si="60"/>
        <v>3.525348405</v>
      </c>
      <c r="N51" s="25">
        <f t="shared" si="61"/>
        <v>453420098</v>
      </c>
      <c r="O51" s="11">
        <f t="shared" si="62"/>
        <v>0.9924209584</v>
      </c>
    </row>
    <row r="52">
      <c r="A52" s="78" t="s">
        <v>157</v>
      </c>
    </row>
    <row r="53">
      <c r="A53" s="78" t="s">
        <v>158</v>
      </c>
      <c r="G53" s="11">
        <f t="shared" ref="G53:G58" si="64">C53+D53+E53</f>
        <v>0</v>
      </c>
      <c r="I53" s="11">
        <f t="shared" ref="I53:I58" si="65">H53-F53-G53-E53</f>
        <v>0</v>
      </c>
      <c r="J53" s="11" t="str">
        <f t="shared" ref="J53:J58" si="66">1+M53+L53</f>
        <v>#DIV/0!</v>
      </c>
      <c r="K53" s="11" t="str">
        <f t="shared" ref="K53:K58" si="67">I53/(F53+G53)</f>
        <v>#DIV/0!</v>
      </c>
      <c r="L53" s="11" t="str">
        <f t="shared" ref="L53:L58" si="68">I53/F53</f>
        <v>#DIV/0!</v>
      </c>
      <c r="M53" s="11" t="str">
        <f t="shared" ref="M53:M58" si="69">G53/F53</f>
        <v>#DIV/0!</v>
      </c>
      <c r="N53" s="11">
        <f t="shared" ref="N53:N58" si="70">I53+G53+F53</f>
        <v>0</v>
      </c>
      <c r="O53" s="11" t="str">
        <f t="shared" ref="O53:O58" si="71">N53/H53</f>
        <v>#DIV/0!</v>
      </c>
    </row>
    <row r="54">
      <c r="A54" s="78" t="s">
        <v>159</v>
      </c>
      <c r="G54" s="11">
        <f t="shared" si="64"/>
        <v>0</v>
      </c>
      <c r="I54" s="11">
        <f t="shared" si="65"/>
        <v>0</v>
      </c>
      <c r="J54" s="11" t="str">
        <f t="shared" si="66"/>
        <v>#DIV/0!</v>
      </c>
      <c r="K54" s="11" t="str">
        <f t="shared" si="67"/>
        <v>#DIV/0!</v>
      </c>
      <c r="L54" s="11" t="str">
        <f t="shared" si="68"/>
        <v>#DIV/0!</v>
      </c>
      <c r="M54" s="11" t="str">
        <f t="shared" si="69"/>
        <v>#DIV/0!</v>
      </c>
      <c r="N54" s="11">
        <f t="shared" si="70"/>
        <v>0</v>
      </c>
      <c r="O54" s="11" t="str">
        <f t="shared" si="71"/>
        <v>#DIV/0!</v>
      </c>
    </row>
    <row r="55">
      <c r="A55" s="78" t="s">
        <v>77</v>
      </c>
      <c r="B55" s="29">
        <v>5807.0</v>
      </c>
      <c r="C55" s="30">
        <v>1.85663196E8</v>
      </c>
      <c r="D55" s="11">
        <f>9787510+4544083</f>
        <v>14331593</v>
      </c>
      <c r="E55" s="30">
        <v>1974513.0</v>
      </c>
      <c r="F55" s="29">
        <v>4.1083031E7</v>
      </c>
      <c r="G55" s="25">
        <f t="shared" si="64"/>
        <v>201969302</v>
      </c>
      <c r="H55" s="29">
        <v>3.08621421E8</v>
      </c>
      <c r="I55" s="25">
        <f t="shared" si="65"/>
        <v>63594575</v>
      </c>
      <c r="J55" s="11">
        <f t="shared" si="66"/>
        <v>7.46407703</v>
      </c>
      <c r="K55" s="11">
        <f t="shared" si="67"/>
        <v>0.2616497205</v>
      </c>
      <c r="L55" s="11">
        <f t="shared" si="68"/>
        <v>1.547952365</v>
      </c>
      <c r="M55" s="11">
        <f t="shared" si="69"/>
        <v>4.916124665</v>
      </c>
      <c r="N55" s="25">
        <f t="shared" si="70"/>
        <v>306646908</v>
      </c>
      <c r="O55" s="11">
        <f t="shared" si="71"/>
        <v>0.9936021518</v>
      </c>
    </row>
    <row r="56">
      <c r="A56" s="64" t="s">
        <v>160</v>
      </c>
      <c r="B56" s="23">
        <v>254486.0</v>
      </c>
      <c r="C56" s="23">
        <v>5.0355671E7</v>
      </c>
      <c r="D56" s="11">
        <f>2955681+473224</f>
        <v>3428905</v>
      </c>
      <c r="E56" s="23">
        <v>1261745.0</v>
      </c>
      <c r="F56" s="23">
        <v>2.6931336E7</v>
      </c>
      <c r="G56" s="25">
        <f t="shared" si="64"/>
        <v>55046321</v>
      </c>
      <c r="H56" s="23">
        <v>1.06009716E8</v>
      </c>
      <c r="I56" s="25">
        <f t="shared" si="65"/>
        <v>22770314</v>
      </c>
      <c r="J56" s="11">
        <f t="shared" si="66"/>
        <v>3.889445774</v>
      </c>
      <c r="K56" s="11">
        <f t="shared" si="67"/>
        <v>0.2777624396</v>
      </c>
      <c r="L56" s="11">
        <f t="shared" si="68"/>
        <v>0.8454951511</v>
      </c>
      <c r="M56" s="11">
        <f t="shared" si="69"/>
        <v>2.043950623</v>
      </c>
      <c r="N56" s="25">
        <f t="shared" si="70"/>
        <v>104747971</v>
      </c>
      <c r="O56" s="11">
        <f t="shared" si="71"/>
        <v>0.9880978362</v>
      </c>
    </row>
    <row r="57">
      <c r="A57" s="128" t="s">
        <v>408</v>
      </c>
      <c r="B57" s="25">
        <f t="shared" ref="B57:F57" si="72">SUM(B51:B56)</f>
        <v>583492</v>
      </c>
      <c r="C57" s="25">
        <f t="shared" si="72"/>
        <v>488313876</v>
      </c>
      <c r="D57" s="11">
        <f t="shared" si="72"/>
        <v>37698312</v>
      </c>
      <c r="E57" s="25">
        <f t="shared" si="72"/>
        <v>6698992</v>
      </c>
      <c r="F57" s="25">
        <f t="shared" si="72"/>
        <v>146218143</v>
      </c>
      <c r="G57" s="25">
        <f t="shared" si="64"/>
        <v>532711180</v>
      </c>
      <c r="H57" s="25">
        <f>SUM(H51:H56)</f>
        <v>871513969</v>
      </c>
      <c r="I57" s="25">
        <f t="shared" si="65"/>
        <v>185885654</v>
      </c>
      <c r="J57" s="11">
        <f t="shared" si="66"/>
        <v>5.914553141</v>
      </c>
      <c r="K57" s="11">
        <f t="shared" si="67"/>
        <v>0.2737923488</v>
      </c>
      <c r="L57" s="11">
        <f t="shared" si="68"/>
        <v>1.271289938</v>
      </c>
      <c r="M57" s="11">
        <f t="shared" si="69"/>
        <v>3.643263203</v>
      </c>
      <c r="N57" s="25">
        <f t="shared" si="70"/>
        <v>864814977</v>
      </c>
      <c r="O57" s="11">
        <f t="shared" si="71"/>
        <v>0.9923133854</v>
      </c>
    </row>
    <row r="58">
      <c r="A58" s="64" t="s">
        <v>156</v>
      </c>
      <c r="B58" s="29">
        <v>26433.0</v>
      </c>
      <c r="C58" s="30">
        <v>1.1044957E7</v>
      </c>
      <c r="D58" s="11">
        <f>540695+48907</f>
        <v>589602</v>
      </c>
      <c r="E58" s="30">
        <v>167487.0</v>
      </c>
      <c r="F58" s="29">
        <v>2583235.0</v>
      </c>
      <c r="G58" s="25">
        <f t="shared" si="64"/>
        <v>11802046</v>
      </c>
      <c r="H58" s="29">
        <v>1.722916E7</v>
      </c>
      <c r="I58" s="25">
        <f t="shared" si="65"/>
        <v>2676392</v>
      </c>
      <c r="J58" s="11">
        <f t="shared" si="66"/>
        <v>6.604769988</v>
      </c>
      <c r="K58" s="11">
        <f t="shared" si="67"/>
        <v>0.1860507278</v>
      </c>
      <c r="L58" s="11">
        <f t="shared" si="68"/>
        <v>1.036062147</v>
      </c>
      <c r="M58" s="11">
        <f t="shared" si="69"/>
        <v>4.568707841</v>
      </c>
      <c r="N58" s="25">
        <f t="shared" si="70"/>
        <v>17061673</v>
      </c>
      <c r="O58" s="11">
        <f t="shared" si="71"/>
        <v>0.9902788644</v>
      </c>
    </row>
    <row r="59">
      <c r="A59" s="78" t="s">
        <v>157</v>
      </c>
    </row>
    <row r="60">
      <c r="A60" s="78" t="s">
        <v>158</v>
      </c>
      <c r="G60" s="11">
        <f t="shared" ref="G60:G65" si="73">C60+D60+E60</f>
        <v>0</v>
      </c>
      <c r="I60" s="11">
        <f t="shared" ref="I60:I65" si="74">H60-F60-G60-E60</f>
        <v>0</v>
      </c>
      <c r="J60" s="11" t="str">
        <f t="shared" ref="J60:J65" si="75">1+M60+L60</f>
        <v>#DIV/0!</v>
      </c>
      <c r="K60" s="11" t="str">
        <f t="shared" ref="K60:K65" si="76">I60/(F60+G60)</f>
        <v>#DIV/0!</v>
      </c>
      <c r="L60" s="11" t="str">
        <f t="shared" ref="L60:L65" si="77">I60/F60</f>
        <v>#DIV/0!</v>
      </c>
      <c r="M60" s="11" t="str">
        <f t="shared" ref="M60:M65" si="78">G60/F60</f>
        <v>#DIV/0!</v>
      </c>
      <c r="N60" s="11">
        <f t="shared" ref="N60:N65" si="79">I60+G60+F60</f>
        <v>0</v>
      </c>
      <c r="O60" s="11" t="str">
        <f t="shared" ref="O60:O65" si="80">N60/H60</f>
        <v>#DIV/0!</v>
      </c>
    </row>
    <row r="61">
      <c r="A61" s="78" t="s">
        <v>159</v>
      </c>
      <c r="G61" s="11">
        <f t="shared" si="73"/>
        <v>0</v>
      </c>
      <c r="I61" s="11">
        <f t="shared" si="74"/>
        <v>0</v>
      </c>
      <c r="J61" s="11" t="str">
        <f t="shared" si="75"/>
        <v>#DIV/0!</v>
      </c>
      <c r="K61" s="11" t="str">
        <f t="shared" si="76"/>
        <v>#DIV/0!</v>
      </c>
      <c r="L61" s="11" t="str">
        <f t="shared" si="77"/>
        <v>#DIV/0!</v>
      </c>
      <c r="M61" s="11" t="str">
        <f t="shared" si="78"/>
        <v>#DIV/0!</v>
      </c>
      <c r="N61" s="11">
        <f t="shared" si="79"/>
        <v>0</v>
      </c>
      <c r="O61" s="11" t="str">
        <f t="shared" si="80"/>
        <v>#DIV/0!</v>
      </c>
    </row>
    <row r="62">
      <c r="A62" s="78" t="s">
        <v>77</v>
      </c>
      <c r="B62" s="220">
        <v>280.0</v>
      </c>
      <c r="C62" s="30">
        <v>5038559.0</v>
      </c>
      <c r="D62" s="11">
        <f>237441+12521        </f>
        <v>249962</v>
      </c>
      <c r="E62" s="30">
        <v>74444.0</v>
      </c>
      <c r="F62" s="29">
        <v>601522.0</v>
      </c>
      <c r="G62" s="25">
        <f t="shared" si="73"/>
        <v>5362965</v>
      </c>
      <c r="H62" s="29">
        <v>6974889.0</v>
      </c>
      <c r="I62" s="25">
        <f t="shared" si="74"/>
        <v>935958</v>
      </c>
      <c r="J62" s="11">
        <f t="shared" si="75"/>
        <v>11.47164193</v>
      </c>
      <c r="K62" s="11">
        <f t="shared" si="76"/>
        <v>0.1569217939</v>
      </c>
      <c r="L62" s="11">
        <f t="shared" si="77"/>
        <v>1.55598299</v>
      </c>
      <c r="M62" s="11">
        <f t="shared" si="78"/>
        <v>8.915658945</v>
      </c>
      <c r="N62" s="25">
        <f t="shared" si="79"/>
        <v>6900445</v>
      </c>
      <c r="O62" s="11">
        <f t="shared" si="80"/>
        <v>0.9893268552</v>
      </c>
    </row>
    <row r="63">
      <c r="A63" s="64" t="s">
        <v>160</v>
      </c>
      <c r="B63" s="23">
        <v>21593.0</v>
      </c>
      <c r="C63" s="23">
        <v>5016926.0</v>
      </c>
      <c r="D63" s="11">
        <f>233254+40141</f>
        <v>273395</v>
      </c>
      <c r="E63" s="23">
        <v>74356.0</v>
      </c>
      <c r="F63" s="23">
        <v>1594584.0</v>
      </c>
      <c r="G63" s="25">
        <f t="shared" si="73"/>
        <v>5364677</v>
      </c>
      <c r="H63" s="23">
        <v>8425257.0</v>
      </c>
      <c r="I63" s="25">
        <f t="shared" si="74"/>
        <v>1391640</v>
      </c>
      <c r="J63" s="11">
        <f t="shared" si="75"/>
        <v>5.237040507</v>
      </c>
      <c r="K63" s="11">
        <f t="shared" si="76"/>
        <v>0.1999695083</v>
      </c>
      <c r="L63" s="11">
        <f t="shared" si="77"/>
        <v>0.8727291883</v>
      </c>
      <c r="M63" s="11">
        <f t="shared" si="78"/>
        <v>3.364311319</v>
      </c>
      <c r="N63" s="25">
        <f t="shared" si="79"/>
        <v>8350901</v>
      </c>
      <c r="O63" s="11">
        <f t="shared" si="80"/>
        <v>0.9911746312</v>
      </c>
    </row>
    <row r="64">
      <c r="A64" s="128" t="s">
        <v>435</v>
      </c>
      <c r="B64" s="25">
        <f t="shared" ref="B64:F64" si="81">SUM(B58:B63)</f>
        <v>48306</v>
      </c>
      <c r="C64" s="25">
        <f t="shared" si="81"/>
        <v>21100442</v>
      </c>
      <c r="D64" s="11">
        <f t="shared" si="81"/>
        <v>1112959</v>
      </c>
      <c r="E64" s="25">
        <f t="shared" si="81"/>
        <v>316287</v>
      </c>
      <c r="F64" s="25">
        <f t="shared" si="81"/>
        <v>4779341</v>
      </c>
      <c r="G64" s="25">
        <f t="shared" si="73"/>
        <v>22529688</v>
      </c>
      <c r="H64" s="25">
        <f>SUM(H58:H63)</f>
        <v>32629306</v>
      </c>
      <c r="I64" s="25">
        <f t="shared" si="74"/>
        <v>5003990</v>
      </c>
      <c r="J64" s="11">
        <f t="shared" si="75"/>
        <v>6.760977926</v>
      </c>
      <c r="K64" s="11">
        <f t="shared" si="76"/>
        <v>0.183235735</v>
      </c>
      <c r="L64" s="11">
        <f t="shared" si="77"/>
        <v>1.047004179</v>
      </c>
      <c r="M64" s="11">
        <f t="shared" si="78"/>
        <v>4.713973747</v>
      </c>
      <c r="N64" s="25">
        <f t="shared" si="79"/>
        <v>32313019</v>
      </c>
      <c r="O64" s="11">
        <f t="shared" si="80"/>
        <v>0.9903066587</v>
      </c>
    </row>
    <row r="65">
      <c r="A65" s="64" t="s">
        <v>156</v>
      </c>
      <c r="B65" s="29">
        <v>94112.0</v>
      </c>
      <c r="C65" s="30">
        <v>6.4854432E7</v>
      </c>
      <c r="D65" s="11">
        <f>2708873+1983127</f>
        <v>4692000</v>
      </c>
      <c r="E65" s="30">
        <v>1470713.0</v>
      </c>
      <c r="F65" s="29">
        <v>1.4735565E7</v>
      </c>
      <c r="G65" s="25">
        <f t="shared" si="73"/>
        <v>71017145</v>
      </c>
      <c r="H65" s="29">
        <v>1.13441057E8</v>
      </c>
      <c r="I65" s="25">
        <f t="shared" si="74"/>
        <v>26217634</v>
      </c>
      <c r="J65" s="11">
        <f t="shared" si="75"/>
        <v>7.598646133</v>
      </c>
      <c r="K65" s="11">
        <f t="shared" si="76"/>
        <v>0.3057353406</v>
      </c>
      <c r="L65" s="11">
        <f t="shared" si="77"/>
        <v>1.779207923</v>
      </c>
      <c r="M65" s="11">
        <f t="shared" si="78"/>
        <v>4.81943821</v>
      </c>
      <c r="N65" s="25">
        <f t="shared" si="79"/>
        <v>111970344</v>
      </c>
      <c r="O65" s="11">
        <f t="shared" si="80"/>
        <v>0.9870354434</v>
      </c>
    </row>
    <row r="66">
      <c r="A66" s="78" t="s">
        <v>157</v>
      </c>
    </row>
    <row r="67">
      <c r="A67" s="78" t="s">
        <v>158</v>
      </c>
      <c r="G67" s="11">
        <f t="shared" ref="G67:G72" si="82">C67+D67+E67</f>
        <v>0</v>
      </c>
      <c r="I67" s="11">
        <f t="shared" ref="I67:I72" si="83">H67-F67-G67-E67</f>
        <v>0</v>
      </c>
      <c r="J67" s="11" t="str">
        <f t="shared" ref="J67:J72" si="84">1+M67+L67</f>
        <v>#DIV/0!</v>
      </c>
      <c r="K67" s="11" t="str">
        <f t="shared" ref="K67:K72" si="85">I67/(F67+G67)</f>
        <v>#DIV/0!</v>
      </c>
      <c r="L67" s="11" t="str">
        <f t="shared" ref="L67:L72" si="86">I67/F67</f>
        <v>#DIV/0!</v>
      </c>
      <c r="M67" s="11" t="str">
        <f t="shared" ref="M67:M72" si="87">G67/F67</f>
        <v>#DIV/0!</v>
      </c>
      <c r="N67" s="11">
        <f t="shared" ref="N67:N72" si="88">I67+G67+F67</f>
        <v>0</v>
      </c>
      <c r="O67" s="11" t="str">
        <f t="shared" ref="O67:O72" si="89">N67/H67</f>
        <v>#DIV/0!</v>
      </c>
    </row>
    <row r="68">
      <c r="A68" s="78" t="s">
        <v>159</v>
      </c>
      <c r="G68" s="11">
        <f t="shared" si="82"/>
        <v>0</v>
      </c>
      <c r="I68" s="11">
        <f t="shared" si="83"/>
        <v>0</v>
      </c>
      <c r="J68" s="11" t="str">
        <f t="shared" si="84"/>
        <v>#DIV/0!</v>
      </c>
      <c r="K68" s="11" t="str">
        <f t="shared" si="85"/>
        <v>#DIV/0!</v>
      </c>
      <c r="L68" s="11" t="str">
        <f t="shared" si="86"/>
        <v>#DIV/0!</v>
      </c>
      <c r="M68" s="11" t="str">
        <f t="shared" si="87"/>
        <v>#DIV/0!</v>
      </c>
      <c r="N68" s="11">
        <f t="shared" si="88"/>
        <v>0</v>
      </c>
      <c r="O68" s="11" t="str">
        <f t="shared" si="89"/>
        <v>#DIV/0!</v>
      </c>
    </row>
    <row r="69">
      <c r="A69" s="78" t="s">
        <v>77</v>
      </c>
      <c r="B69" s="29">
        <v>1213.0</v>
      </c>
      <c r="C69" s="30">
        <v>4.7065413E7</v>
      </c>
      <c r="D69" s="11">
        <f>1643275+1942522        </f>
        <v>3585797</v>
      </c>
      <c r="E69" s="30">
        <v>1117694.0</v>
      </c>
      <c r="F69" s="31">
        <v>6787152.0</v>
      </c>
      <c r="G69" s="25">
        <f t="shared" si="82"/>
        <v>51768904</v>
      </c>
      <c r="H69" s="29">
        <v>7.7841455E7</v>
      </c>
      <c r="I69" s="25">
        <f t="shared" si="83"/>
        <v>18167705</v>
      </c>
      <c r="J69" s="11">
        <f t="shared" si="84"/>
        <v>11.30426444</v>
      </c>
      <c r="K69" s="11">
        <f t="shared" si="85"/>
        <v>0.3102617601</v>
      </c>
      <c r="L69" s="11">
        <f t="shared" si="86"/>
        <v>2.676778861</v>
      </c>
      <c r="M69" s="11">
        <f t="shared" si="87"/>
        <v>7.627485579</v>
      </c>
      <c r="N69" s="25">
        <f t="shared" si="88"/>
        <v>76723761</v>
      </c>
      <c r="O69" s="11">
        <f t="shared" si="89"/>
        <v>0.9856414041</v>
      </c>
    </row>
    <row r="70">
      <c r="A70" s="64" t="s">
        <v>160</v>
      </c>
      <c r="B70" s="23">
        <v>79014.0</v>
      </c>
      <c r="C70" s="23">
        <v>1.4339074E7</v>
      </c>
      <c r="D70" s="11">
        <f>763982+54551</f>
        <v>818533</v>
      </c>
      <c r="E70" s="23">
        <v>270336.0</v>
      </c>
      <c r="F70" s="23">
        <v>6520502.0</v>
      </c>
      <c r="G70" s="25">
        <f t="shared" si="82"/>
        <v>15427943</v>
      </c>
      <c r="H70" s="23">
        <v>2.7128959E7</v>
      </c>
      <c r="I70" s="25">
        <f t="shared" si="83"/>
        <v>4910178</v>
      </c>
      <c r="J70" s="11">
        <f t="shared" si="84"/>
        <v>4.11910356</v>
      </c>
      <c r="K70" s="11">
        <f t="shared" si="85"/>
        <v>0.2237141629</v>
      </c>
      <c r="L70" s="11">
        <f t="shared" si="86"/>
        <v>0.7530368061</v>
      </c>
      <c r="M70" s="11">
        <f t="shared" si="87"/>
        <v>2.366066754</v>
      </c>
      <c r="N70" s="25">
        <f t="shared" si="88"/>
        <v>26858623</v>
      </c>
      <c r="O70" s="11">
        <f t="shared" si="89"/>
        <v>0.9900351503</v>
      </c>
    </row>
    <row r="71">
      <c r="A71" s="128" t="s">
        <v>418</v>
      </c>
      <c r="B71" s="25">
        <f t="shared" ref="B71:F71" si="90">SUM(B65:B70)</f>
        <v>174339</v>
      </c>
      <c r="C71" s="25">
        <f t="shared" si="90"/>
        <v>126258919</v>
      </c>
      <c r="D71" s="11">
        <f t="shared" si="90"/>
        <v>9096330</v>
      </c>
      <c r="E71" s="25">
        <f t="shared" si="90"/>
        <v>2858743</v>
      </c>
      <c r="F71" s="25">
        <f t="shared" si="90"/>
        <v>28043219</v>
      </c>
      <c r="G71" s="25">
        <f t="shared" si="82"/>
        <v>138213992</v>
      </c>
      <c r="H71" s="25">
        <f>SUM(H65:H70)</f>
        <v>218411471</v>
      </c>
      <c r="I71" s="25">
        <f t="shared" si="83"/>
        <v>49295517</v>
      </c>
      <c r="J71" s="11">
        <f t="shared" si="84"/>
        <v>7.686447408</v>
      </c>
      <c r="K71" s="11">
        <f t="shared" si="85"/>
        <v>0.2965015274</v>
      </c>
      <c r="L71" s="11">
        <f t="shared" si="86"/>
        <v>1.757840888</v>
      </c>
      <c r="M71" s="11">
        <f t="shared" si="87"/>
        <v>4.92860652</v>
      </c>
      <c r="N71" s="25">
        <f t="shared" si="88"/>
        <v>215552728</v>
      </c>
      <c r="O71" s="11">
        <f t="shared" si="89"/>
        <v>0.9869112049</v>
      </c>
    </row>
    <row r="72">
      <c r="A72" s="64" t="s">
        <v>156</v>
      </c>
      <c r="B72" s="29">
        <v>50439.0</v>
      </c>
      <c r="C72" s="30">
        <v>2.305158E7</v>
      </c>
      <c r="D72" s="11">
        <f>1609731+192121</f>
        <v>1801852</v>
      </c>
      <c r="E72" s="30">
        <v>690007.0</v>
      </c>
      <c r="F72" s="29">
        <v>9010339.0</v>
      </c>
      <c r="G72" s="25">
        <f t="shared" si="82"/>
        <v>25543439</v>
      </c>
      <c r="H72" s="29">
        <v>4.840374E7</v>
      </c>
      <c r="I72" s="25">
        <f t="shared" si="83"/>
        <v>13159955</v>
      </c>
      <c r="J72" s="11">
        <f t="shared" si="84"/>
        <v>5.295442602</v>
      </c>
      <c r="K72" s="11">
        <f t="shared" si="85"/>
        <v>0.380854302</v>
      </c>
      <c r="L72" s="11">
        <f t="shared" si="86"/>
        <v>1.460539387</v>
      </c>
      <c r="M72" s="11">
        <f t="shared" si="87"/>
        <v>2.834903215</v>
      </c>
      <c r="N72" s="25">
        <f t="shared" si="88"/>
        <v>47713733</v>
      </c>
      <c r="O72" s="11">
        <f t="shared" si="89"/>
        <v>0.9857447586</v>
      </c>
    </row>
    <row r="73">
      <c r="A73" s="78" t="s">
        <v>157</v>
      </c>
    </row>
    <row r="74">
      <c r="A74" s="78" t="s">
        <v>158</v>
      </c>
      <c r="G74" s="11">
        <f t="shared" ref="G74:G79" si="91">C74+D74+E74</f>
        <v>0</v>
      </c>
      <c r="I74" s="11">
        <f t="shared" ref="I74:I79" si="92">H74-F74-G74-E74</f>
        <v>0</v>
      </c>
      <c r="J74" s="11" t="str">
        <f t="shared" ref="J74:J79" si="93">1+M74+L74</f>
        <v>#DIV/0!</v>
      </c>
      <c r="K74" s="11" t="str">
        <f t="shared" ref="K74:K79" si="94">I74/(F74+G74)</f>
        <v>#DIV/0!</v>
      </c>
      <c r="L74" s="11" t="str">
        <f t="shared" ref="L74:L79" si="95">I74/F74</f>
        <v>#DIV/0!</v>
      </c>
      <c r="M74" s="11" t="str">
        <f t="shared" ref="M74:M79" si="96">G74/F74</f>
        <v>#DIV/0!</v>
      </c>
      <c r="N74" s="11">
        <f t="shared" ref="N74:N79" si="97">I74+G74+F74</f>
        <v>0</v>
      </c>
      <c r="O74" s="11" t="str">
        <f t="shared" ref="O74:O79" si="98">N74/H74</f>
        <v>#DIV/0!</v>
      </c>
    </row>
    <row r="75">
      <c r="A75" s="78" t="s">
        <v>159</v>
      </c>
      <c r="G75" s="11">
        <f t="shared" si="91"/>
        <v>0</v>
      </c>
      <c r="I75" s="11">
        <f t="shared" si="92"/>
        <v>0</v>
      </c>
      <c r="J75" s="11" t="str">
        <f t="shared" si="93"/>
        <v>#DIV/0!</v>
      </c>
      <c r="K75" s="11" t="str">
        <f t="shared" si="94"/>
        <v>#DIV/0!</v>
      </c>
      <c r="L75" s="11" t="str">
        <f t="shared" si="95"/>
        <v>#DIV/0!</v>
      </c>
      <c r="M75" s="11" t="str">
        <f t="shared" si="96"/>
        <v>#DIV/0!</v>
      </c>
      <c r="N75" s="11">
        <f t="shared" si="97"/>
        <v>0</v>
      </c>
      <c r="O75" s="11" t="str">
        <f t="shared" si="98"/>
        <v>#DIV/0!</v>
      </c>
    </row>
    <row r="76">
      <c r="A76" s="78" t="s">
        <v>77</v>
      </c>
      <c r="B76" s="220">
        <v>581.0</v>
      </c>
      <c r="C76" s="30">
        <v>1.3474818E7</v>
      </c>
      <c r="D76" s="11">
        <f>739079-168027</f>
        <v>571052</v>
      </c>
      <c r="E76" s="30">
        <v>241351.0</v>
      </c>
      <c r="F76" s="29">
        <v>3486113.0</v>
      </c>
      <c r="G76" s="25">
        <f t="shared" si="91"/>
        <v>14287221</v>
      </c>
      <c r="H76" s="29">
        <v>2.5905908E7</v>
      </c>
      <c r="I76" s="25">
        <f t="shared" si="92"/>
        <v>7891223</v>
      </c>
      <c r="J76" s="11">
        <f t="shared" si="93"/>
        <v>7.361940649</v>
      </c>
      <c r="K76" s="11">
        <f t="shared" si="94"/>
        <v>0.4439922752</v>
      </c>
      <c r="L76" s="11">
        <f t="shared" si="95"/>
        <v>2.263616526</v>
      </c>
      <c r="M76" s="11">
        <f t="shared" si="96"/>
        <v>4.098324122</v>
      </c>
      <c r="N76" s="25">
        <f t="shared" si="97"/>
        <v>25664557</v>
      </c>
      <c r="O76" s="11">
        <f t="shared" si="98"/>
        <v>0.9906835537</v>
      </c>
    </row>
    <row r="77">
      <c r="A77" s="64" t="s">
        <v>160</v>
      </c>
      <c r="B77" s="23">
        <v>40254.0</v>
      </c>
      <c r="C77" s="23">
        <v>7496957.0</v>
      </c>
      <c r="D77" s="11">
        <f>576434+221708</f>
        <v>798142</v>
      </c>
      <c r="E77" s="23">
        <v>309385.0</v>
      </c>
      <c r="F77" s="23">
        <v>4247956.0</v>
      </c>
      <c r="G77" s="25">
        <f t="shared" si="91"/>
        <v>8604484</v>
      </c>
      <c r="H77" s="23">
        <v>1.6799964E7</v>
      </c>
      <c r="I77" s="25">
        <f t="shared" si="92"/>
        <v>3638139</v>
      </c>
      <c r="J77" s="11">
        <f t="shared" si="93"/>
        <v>3.882003251</v>
      </c>
      <c r="K77" s="11">
        <f t="shared" si="94"/>
        <v>0.2830699073</v>
      </c>
      <c r="L77" s="11">
        <f t="shared" si="95"/>
        <v>0.8564446054</v>
      </c>
      <c r="M77" s="11">
        <f t="shared" si="96"/>
        <v>2.025558645</v>
      </c>
      <c r="N77" s="25">
        <f t="shared" si="97"/>
        <v>16490579</v>
      </c>
      <c r="O77" s="11">
        <f t="shared" si="98"/>
        <v>0.9815841867</v>
      </c>
    </row>
    <row r="78">
      <c r="A78" s="128" t="s">
        <v>672</v>
      </c>
      <c r="B78" s="25">
        <f t="shared" ref="B78:F78" si="99">SUM(B72:B77)</f>
        <v>91274</v>
      </c>
      <c r="C78" s="25">
        <f t="shared" si="99"/>
        <v>44023355</v>
      </c>
      <c r="D78" s="11">
        <f t="shared" si="99"/>
        <v>3171046</v>
      </c>
      <c r="E78" s="25">
        <f t="shared" si="99"/>
        <v>1240743</v>
      </c>
      <c r="F78" s="25">
        <f t="shared" si="99"/>
        <v>16744408</v>
      </c>
      <c r="G78" s="25">
        <f t="shared" si="91"/>
        <v>48435144</v>
      </c>
      <c r="H78" s="25">
        <f>SUM(H72:H77)</f>
        <v>91109612</v>
      </c>
      <c r="I78" s="25">
        <f t="shared" si="92"/>
        <v>24689317</v>
      </c>
      <c r="J78" s="11">
        <f t="shared" si="93"/>
        <v>5.367097421</v>
      </c>
      <c r="K78" s="11">
        <f t="shared" si="94"/>
        <v>0.3787893019</v>
      </c>
      <c r="L78" s="11">
        <f t="shared" si="95"/>
        <v>1.474481331</v>
      </c>
      <c r="M78" s="11">
        <f t="shared" si="96"/>
        <v>2.89261609</v>
      </c>
      <c r="N78" s="25">
        <f t="shared" si="97"/>
        <v>89868869</v>
      </c>
      <c r="O78" s="11">
        <f t="shared" si="98"/>
        <v>0.986381865</v>
      </c>
    </row>
    <row r="79">
      <c r="A79" s="64" t="s">
        <v>156</v>
      </c>
      <c r="B79" s="29">
        <v>323596.0</v>
      </c>
      <c r="C79" s="30">
        <v>4.6012864E8</v>
      </c>
      <c r="D79" s="11">
        <f>29375625-10634550</f>
        <v>18741075</v>
      </c>
      <c r="E79" s="30">
        <v>1.1559656E7</v>
      </c>
      <c r="F79" s="31">
        <v>1.17185062E8</v>
      </c>
      <c r="G79" s="25">
        <f t="shared" si="91"/>
        <v>490429371</v>
      </c>
      <c r="H79" s="29">
        <v>8.18966546E8</v>
      </c>
      <c r="I79" s="25">
        <f t="shared" si="92"/>
        <v>199792457</v>
      </c>
      <c r="J79" s="11">
        <f t="shared" si="93"/>
        <v>6.89001547</v>
      </c>
      <c r="K79" s="11">
        <f t="shared" si="94"/>
        <v>0.3288145346</v>
      </c>
      <c r="L79" s="11">
        <f t="shared" si="95"/>
        <v>1.704931103</v>
      </c>
      <c r="M79" s="11">
        <f t="shared" si="96"/>
        <v>4.185084367</v>
      </c>
      <c r="N79" s="25">
        <f t="shared" si="97"/>
        <v>807406890</v>
      </c>
      <c r="O79" s="11">
        <f t="shared" si="98"/>
        <v>0.9858850694</v>
      </c>
    </row>
    <row r="80">
      <c r="A80" s="78" t="s">
        <v>157</v>
      </c>
      <c r="F80" s="219"/>
    </row>
    <row r="81">
      <c r="A81" s="78" t="s">
        <v>158</v>
      </c>
      <c r="F81" s="219"/>
      <c r="G81" s="11">
        <f t="shared" ref="G81:G86" si="100">C81+D81+E81</f>
        <v>0</v>
      </c>
      <c r="I81" s="11">
        <f t="shared" ref="I81:I86" si="101">H81-F81-G81-E81</f>
        <v>0</v>
      </c>
      <c r="J81" s="11" t="str">
        <f t="shared" ref="J81:J86" si="102">1+M81+L81</f>
        <v>#DIV/0!</v>
      </c>
      <c r="K81" s="11" t="str">
        <f t="shared" ref="K81:K86" si="103">I81/(F81+G81)</f>
        <v>#DIV/0!</v>
      </c>
      <c r="L81" s="11" t="str">
        <f t="shared" ref="L81:L86" si="104">I81/F81</f>
        <v>#DIV/0!</v>
      </c>
      <c r="M81" s="11" t="str">
        <f t="shared" ref="M81:M86" si="105">G81/F81</f>
        <v>#DIV/0!</v>
      </c>
      <c r="N81" s="11">
        <f t="shared" ref="N81:N86" si="106">I81+G81+F81</f>
        <v>0</v>
      </c>
      <c r="O81" s="11" t="str">
        <f t="shared" ref="O81:O86" si="107">N81/H81</f>
        <v>#DIV/0!</v>
      </c>
    </row>
    <row r="82">
      <c r="A82" s="78" t="s">
        <v>159</v>
      </c>
      <c r="G82" s="11">
        <f t="shared" si="100"/>
        <v>0</v>
      </c>
      <c r="I82" s="11">
        <f t="shared" si="101"/>
        <v>0</v>
      </c>
      <c r="J82" s="11" t="str">
        <f t="shared" si="102"/>
        <v>#DIV/0!</v>
      </c>
      <c r="K82" s="11" t="str">
        <f t="shared" si="103"/>
        <v>#DIV/0!</v>
      </c>
      <c r="L82" s="11" t="str">
        <f t="shared" si="104"/>
        <v>#DIV/0!</v>
      </c>
      <c r="M82" s="11" t="str">
        <f t="shared" si="105"/>
        <v>#DIV/0!</v>
      </c>
      <c r="N82" s="11">
        <f t="shared" si="106"/>
        <v>0</v>
      </c>
      <c r="O82" s="11" t="str">
        <f t="shared" si="107"/>
        <v>#DIV/0!</v>
      </c>
    </row>
    <row r="83">
      <c r="A83" s="78" t="s">
        <v>77</v>
      </c>
      <c r="B83" s="31">
        <v>6013.0</v>
      </c>
      <c r="C83" s="30">
        <v>3.93610065E8</v>
      </c>
      <c r="D83" s="11">
        <f>23595705-11686330</f>
        <v>11909375</v>
      </c>
      <c r="E83" s="30">
        <v>9040888.0</v>
      </c>
      <c r="F83" s="29">
        <v>8.2219936E7</v>
      </c>
      <c r="G83" s="25">
        <f t="shared" si="100"/>
        <v>414560328</v>
      </c>
      <c r="H83" s="29">
        <v>6.61220247E8</v>
      </c>
      <c r="I83" s="25">
        <f t="shared" si="101"/>
        <v>155399095</v>
      </c>
      <c r="J83" s="11">
        <f t="shared" si="102"/>
        <v>7.932131679</v>
      </c>
      <c r="K83" s="11">
        <f t="shared" si="103"/>
        <v>0.3128125376</v>
      </c>
      <c r="L83" s="11">
        <f t="shared" si="104"/>
        <v>1.890041547</v>
      </c>
      <c r="M83" s="11">
        <f t="shared" si="105"/>
        <v>5.042090132</v>
      </c>
      <c r="N83" s="25">
        <f t="shared" si="106"/>
        <v>652179359</v>
      </c>
      <c r="O83" s="11">
        <f t="shared" si="107"/>
        <v>0.9863269644</v>
      </c>
    </row>
    <row r="84">
      <c r="A84" s="64" t="s">
        <v>160</v>
      </c>
      <c r="B84" s="23">
        <v>236648.0</v>
      </c>
      <c r="C84" s="23">
        <v>3.7552116E7</v>
      </c>
      <c r="D84" s="11">
        <f>2469896+717031</f>
        <v>3186927</v>
      </c>
      <c r="E84" s="23">
        <v>1249096.0</v>
      </c>
      <c r="F84" s="23">
        <v>2.1010709E7</v>
      </c>
      <c r="G84" s="25">
        <f t="shared" si="100"/>
        <v>41988139</v>
      </c>
      <c r="H84" s="23">
        <v>8.3294418E7</v>
      </c>
      <c r="I84" s="25">
        <f t="shared" si="101"/>
        <v>19046474</v>
      </c>
      <c r="J84" s="11">
        <f t="shared" si="102"/>
        <v>3.904928768</v>
      </c>
      <c r="K84" s="11">
        <f t="shared" si="103"/>
        <v>0.3023305125</v>
      </c>
      <c r="L84" s="11">
        <f t="shared" si="104"/>
        <v>0.9065126741</v>
      </c>
      <c r="M84" s="11">
        <f t="shared" si="105"/>
        <v>1.998416093</v>
      </c>
      <c r="N84" s="25">
        <f t="shared" si="106"/>
        <v>82045322</v>
      </c>
      <c r="O84" s="11">
        <f t="shared" si="107"/>
        <v>0.985003845</v>
      </c>
    </row>
    <row r="85">
      <c r="A85" s="128" t="s">
        <v>673</v>
      </c>
      <c r="B85" s="25">
        <f t="shared" ref="B85:F85" si="108">SUM(B79:B84)</f>
        <v>566257</v>
      </c>
      <c r="C85" s="25">
        <f t="shared" si="108"/>
        <v>891290821</v>
      </c>
      <c r="D85" s="11">
        <f t="shared" si="108"/>
        <v>33837377</v>
      </c>
      <c r="E85" s="25">
        <f t="shared" si="108"/>
        <v>21849640</v>
      </c>
      <c r="F85" s="25">
        <f t="shared" si="108"/>
        <v>220415707</v>
      </c>
      <c r="G85" s="25">
        <f t="shared" si="100"/>
        <v>946977838</v>
      </c>
      <c r="H85" s="25">
        <f>SUM(H79:H84)</f>
        <v>1563481211</v>
      </c>
      <c r="I85" s="25">
        <f t="shared" si="101"/>
        <v>374238026</v>
      </c>
      <c r="J85" s="11">
        <f t="shared" si="102"/>
        <v>6.99420015</v>
      </c>
      <c r="K85" s="11">
        <f t="shared" si="103"/>
        <v>0.3205757198</v>
      </c>
      <c r="L85" s="11">
        <f t="shared" si="104"/>
        <v>1.697873673</v>
      </c>
      <c r="M85" s="11">
        <f t="shared" si="105"/>
        <v>4.296326477</v>
      </c>
      <c r="N85" s="25">
        <f t="shared" si="106"/>
        <v>1541631571</v>
      </c>
      <c r="O85" s="11">
        <f t="shared" si="107"/>
        <v>0.9860250063</v>
      </c>
    </row>
    <row r="86">
      <c r="A86" s="64" t="s">
        <v>156</v>
      </c>
      <c r="B86" s="29">
        <v>179497.0</v>
      </c>
      <c r="C86" s="30">
        <v>1.08756054E8</v>
      </c>
      <c r="D86" s="11">
        <f>5255877+307252</f>
        <v>5563129</v>
      </c>
      <c r="E86" s="30">
        <v>2063706.0</v>
      </c>
      <c r="F86" s="29">
        <v>3.0207654E7</v>
      </c>
      <c r="G86" s="25">
        <f t="shared" si="100"/>
        <v>116382889</v>
      </c>
      <c r="H86" s="29">
        <v>1.80260028E8</v>
      </c>
      <c r="I86" s="25">
        <f t="shared" si="101"/>
        <v>31605779</v>
      </c>
      <c r="J86" s="11">
        <f t="shared" si="102"/>
        <v>5.899045388</v>
      </c>
      <c r="K86" s="11">
        <f t="shared" si="103"/>
        <v>0.2156058526</v>
      </c>
      <c r="L86" s="11">
        <f t="shared" si="104"/>
        <v>1.046283799</v>
      </c>
      <c r="M86" s="11">
        <f t="shared" si="105"/>
        <v>3.852761588</v>
      </c>
      <c r="N86" s="25">
        <f t="shared" si="106"/>
        <v>178196322</v>
      </c>
      <c r="O86" s="11">
        <f t="shared" si="107"/>
        <v>0.9885515052</v>
      </c>
    </row>
    <row r="87">
      <c r="A87" s="78" t="s">
        <v>157</v>
      </c>
    </row>
    <row r="88">
      <c r="A88" s="78" t="s">
        <v>158</v>
      </c>
      <c r="G88" s="11">
        <f t="shared" ref="G88:G93" si="109">C88+D88+E88</f>
        <v>0</v>
      </c>
      <c r="I88" s="11">
        <f t="shared" ref="I88:I93" si="110">H88-F88-G88-E88</f>
        <v>0</v>
      </c>
      <c r="J88" s="11" t="str">
        <f t="shared" ref="J88:J93" si="111">1+M88+L88</f>
        <v>#DIV/0!</v>
      </c>
      <c r="K88" s="11" t="str">
        <f t="shared" ref="K88:K93" si="112">I88/(F88+G88)</f>
        <v>#DIV/0!</v>
      </c>
      <c r="L88" s="11" t="str">
        <f t="shared" ref="L88:L93" si="113">I88/F88</f>
        <v>#DIV/0!</v>
      </c>
      <c r="M88" s="11" t="str">
        <f t="shared" ref="M88:M93" si="114">G88/F88</f>
        <v>#DIV/0!</v>
      </c>
      <c r="N88" s="11">
        <f t="shared" ref="N88:N93" si="115">I88+G88+F88</f>
        <v>0</v>
      </c>
      <c r="O88" s="11" t="str">
        <f t="shared" ref="O88:O93" si="116">N88/H88</f>
        <v>#DIV/0!</v>
      </c>
    </row>
    <row r="89">
      <c r="A89" s="78" t="s">
        <v>159</v>
      </c>
      <c r="G89" s="11">
        <f t="shared" si="109"/>
        <v>0</v>
      </c>
      <c r="I89" s="11">
        <f t="shared" si="110"/>
        <v>0</v>
      </c>
      <c r="J89" s="11" t="str">
        <f t="shared" si="111"/>
        <v>#DIV/0!</v>
      </c>
      <c r="K89" s="11" t="str">
        <f t="shared" si="112"/>
        <v>#DIV/0!</v>
      </c>
      <c r="L89" s="11" t="str">
        <f t="shared" si="113"/>
        <v>#DIV/0!</v>
      </c>
      <c r="M89" s="11" t="str">
        <f t="shared" si="114"/>
        <v>#DIV/0!</v>
      </c>
      <c r="N89" s="11">
        <f t="shared" si="115"/>
        <v>0</v>
      </c>
      <c r="O89" s="11" t="str">
        <f t="shared" si="116"/>
        <v>#DIV/0!</v>
      </c>
    </row>
    <row r="90">
      <c r="A90" s="78" t="s">
        <v>77</v>
      </c>
      <c r="B90" s="29">
        <v>2442.0</v>
      </c>
      <c r="C90" s="30">
        <v>7.1080133E7</v>
      </c>
      <c r="D90" s="11">
        <f>3133459+94267</f>
        <v>3227726</v>
      </c>
      <c r="E90" s="32">
        <v>1237072.0</v>
      </c>
      <c r="F90" s="31">
        <v>1.3943728E7</v>
      </c>
      <c r="G90" s="25">
        <f t="shared" si="109"/>
        <v>75544931</v>
      </c>
      <c r="H90" s="29">
        <v>1.07461601E8</v>
      </c>
      <c r="I90" s="25">
        <f t="shared" si="110"/>
        <v>16735870</v>
      </c>
      <c r="J90" s="11">
        <f t="shared" si="111"/>
        <v>7.618086713</v>
      </c>
      <c r="K90" s="11">
        <f t="shared" si="112"/>
        <v>0.1870166587</v>
      </c>
      <c r="L90" s="11">
        <f t="shared" si="113"/>
        <v>1.200243579</v>
      </c>
      <c r="M90" s="11">
        <f t="shared" si="114"/>
        <v>5.417843133</v>
      </c>
      <c r="N90" s="25">
        <f t="shared" si="115"/>
        <v>106224529</v>
      </c>
      <c r="O90" s="11">
        <f t="shared" si="116"/>
        <v>0.9884882415</v>
      </c>
    </row>
    <row r="91">
      <c r="A91" s="64" t="s">
        <v>160</v>
      </c>
      <c r="B91" s="23">
        <v>146604.0</v>
      </c>
      <c r="C91" s="23">
        <v>3.0493011E7</v>
      </c>
      <c r="D91" s="11">
        <f>1515288+111053</f>
        <v>1626341</v>
      </c>
      <c r="E91" s="23">
        <v>695036.0</v>
      </c>
      <c r="F91" s="23">
        <v>1.3201571E7</v>
      </c>
      <c r="G91" s="25">
        <f t="shared" si="109"/>
        <v>32814388</v>
      </c>
      <c r="H91" s="23">
        <v>5.7531986E7</v>
      </c>
      <c r="I91" s="25">
        <f t="shared" si="110"/>
        <v>10820991</v>
      </c>
      <c r="J91" s="11">
        <f t="shared" si="111"/>
        <v>4.305317147</v>
      </c>
      <c r="K91" s="11">
        <f t="shared" si="112"/>
        <v>0.2351573505</v>
      </c>
      <c r="L91" s="11">
        <f t="shared" si="113"/>
        <v>0.8196744918</v>
      </c>
      <c r="M91" s="11">
        <f t="shared" si="114"/>
        <v>2.485642656</v>
      </c>
      <c r="N91" s="25">
        <f t="shared" si="115"/>
        <v>56836950</v>
      </c>
      <c r="O91" s="11">
        <f t="shared" si="116"/>
        <v>0.9879191377</v>
      </c>
    </row>
    <row r="92">
      <c r="A92" s="128" t="s">
        <v>674</v>
      </c>
      <c r="B92" s="25">
        <f t="shared" ref="B92:F92" si="117">SUM(B86:B91)</f>
        <v>328543</v>
      </c>
      <c r="C92" s="25">
        <f t="shared" si="117"/>
        <v>210329198</v>
      </c>
      <c r="D92" s="11">
        <f t="shared" si="117"/>
        <v>10417196</v>
      </c>
      <c r="E92" s="25">
        <f t="shared" si="117"/>
        <v>3995814</v>
      </c>
      <c r="F92" s="25">
        <f t="shared" si="117"/>
        <v>57352953</v>
      </c>
      <c r="G92" s="25">
        <f t="shared" si="109"/>
        <v>224742208</v>
      </c>
      <c r="H92" s="25">
        <f>SUM(H86:H91)</f>
        <v>345253615</v>
      </c>
      <c r="I92" s="25">
        <f t="shared" si="110"/>
        <v>59162640</v>
      </c>
      <c r="J92" s="11">
        <f t="shared" si="111"/>
        <v>5.950134791</v>
      </c>
      <c r="K92" s="11">
        <f t="shared" si="112"/>
        <v>0.2097258237</v>
      </c>
      <c r="L92" s="11">
        <f t="shared" si="113"/>
        <v>1.03155351</v>
      </c>
      <c r="M92" s="11">
        <f t="shared" si="114"/>
        <v>3.91858128</v>
      </c>
      <c r="N92" s="25">
        <f t="shared" si="115"/>
        <v>341257801</v>
      </c>
      <c r="O92" s="11">
        <f t="shared" si="116"/>
        <v>0.9884264383</v>
      </c>
    </row>
    <row r="93">
      <c r="A93" s="64" t="s">
        <v>156</v>
      </c>
      <c r="B93" s="220">
        <v>703.0</v>
      </c>
      <c r="C93" s="30">
        <v>2.2335557E7</v>
      </c>
      <c r="D93" s="11">
        <f>2168953-5901        </f>
        <v>2163052</v>
      </c>
      <c r="E93" s="30">
        <v>173062.0</v>
      </c>
      <c r="F93" s="29">
        <v>5467815.0</v>
      </c>
      <c r="G93" s="25">
        <f t="shared" si="109"/>
        <v>24671671</v>
      </c>
      <c r="H93" s="31">
        <v>3.8778341E7</v>
      </c>
      <c r="I93" s="25">
        <f t="shared" si="110"/>
        <v>8465793</v>
      </c>
      <c r="J93" s="11">
        <f t="shared" si="111"/>
        <v>7.060458154</v>
      </c>
      <c r="K93" s="11">
        <f t="shared" si="112"/>
        <v>0.280887106</v>
      </c>
      <c r="L93" s="11">
        <f t="shared" si="113"/>
        <v>1.548295434</v>
      </c>
      <c r="M93" s="11">
        <f t="shared" si="114"/>
        <v>4.512162719</v>
      </c>
      <c r="N93" s="25">
        <f t="shared" si="115"/>
        <v>38605279</v>
      </c>
      <c r="O93" s="11">
        <f t="shared" si="116"/>
        <v>0.9955371479</v>
      </c>
    </row>
    <row r="94">
      <c r="A94" s="78" t="s">
        <v>157</v>
      </c>
      <c r="H94" s="219"/>
    </row>
    <row r="95">
      <c r="A95" s="78" t="s">
        <v>158</v>
      </c>
      <c r="G95" s="11">
        <f t="shared" ref="G95:G99" si="118">C95+D95+E95</f>
        <v>0</v>
      </c>
      <c r="H95" s="219"/>
      <c r="I95" s="11">
        <f t="shared" ref="I95:I99" si="119">H95-F95-G95-E95</f>
        <v>0</v>
      </c>
      <c r="J95" s="11" t="str">
        <f t="shared" ref="J95:J99" si="120">1+M95+L95</f>
        <v>#DIV/0!</v>
      </c>
      <c r="K95" s="11" t="str">
        <f t="shared" ref="K95:K99" si="121">I95/(F95+G95)</f>
        <v>#DIV/0!</v>
      </c>
      <c r="L95" s="11" t="str">
        <f t="shared" ref="L95:L99" si="122">I95/F95</f>
        <v>#DIV/0!</v>
      </c>
      <c r="M95" s="11" t="str">
        <f t="shared" ref="M95:M99" si="123">G95/F95</f>
        <v>#DIV/0!</v>
      </c>
      <c r="N95" s="11">
        <f t="shared" ref="N95:N99" si="124">I95+G95+F95</f>
        <v>0</v>
      </c>
      <c r="O95" s="11" t="str">
        <f t="shared" ref="O95:O99" si="125">N95/H95</f>
        <v>#DIV/0!</v>
      </c>
    </row>
    <row r="96">
      <c r="A96" s="78" t="s">
        <v>159</v>
      </c>
      <c r="G96" s="11">
        <f t="shared" si="118"/>
        <v>0</v>
      </c>
      <c r="I96" s="11">
        <f t="shared" si="119"/>
        <v>0</v>
      </c>
      <c r="J96" s="11" t="str">
        <f t="shared" si="120"/>
        <v>#DIV/0!</v>
      </c>
      <c r="K96" s="11" t="str">
        <f t="shared" si="121"/>
        <v>#DIV/0!</v>
      </c>
      <c r="L96" s="11" t="str">
        <f t="shared" si="122"/>
        <v>#DIV/0!</v>
      </c>
      <c r="M96" s="11" t="str">
        <f t="shared" si="123"/>
        <v>#DIV/0!</v>
      </c>
      <c r="N96" s="11">
        <f t="shared" si="124"/>
        <v>0</v>
      </c>
      <c r="O96" s="11" t="str">
        <f t="shared" si="125"/>
        <v>#DIV/0!</v>
      </c>
    </row>
    <row r="97">
      <c r="A97" s="78" t="s">
        <v>77</v>
      </c>
      <c r="B97" s="220">
        <v>179.0</v>
      </c>
      <c r="C97" s="32">
        <v>1.6190549E7</v>
      </c>
      <c r="D97" s="11">
        <f>1902722-3139        </f>
        <v>1899583</v>
      </c>
      <c r="E97" s="32">
        <v>130789.0</v>
      </c>
      <c r="F97" s="29">
        <v>3573871.0</v>
      </c>
      <c r="G97" s="25">
        <f t="shared" si="118"/>
        <v>18220921</v>
      </c>
      <c r="H97" s="29">
        <v>2.857576E7</v>
      </c>
      <c r="I97" s="25">
        <f t="shared" si="119"/>
        <v>6650179</v>
      </c>
      <c r="J97" s="11">
        <f t="shared" si="120"/>
        <v>7.959148777</v>
      </c>
      <c r="K97" s="11">
        <f t="shared" si="121"/>
        <v>0.3051269771</v>
      </c>
      <c r="L97" s="11">
        <f t="shared" si="122"/>
        <v>1.860777571</v>
      </c>
      <c r="M97" s="11">
        <f t="shared" si="123"/>
        <v>5.098371206</v>
      </c>
      <c r="N97" s="25">
        <f t="shared" si="124"/>
        <v>28444971</v>
      </c>
      <c r="O97" s="11">
        <f t="shared" si="125"/>
        <v>0.9954230789</v>
      </c>
    </row>
    <row r="98">
      <c r="A98" s="64" t="s">
        <v>160</v>
      </c>
      <c r="B98" s="4">
        <v>181.0</v>
      </c>
      <c r="C98" s="23">
        <v>27832.0</v>
      </c>
      <c r="D98" s="11">
        <f>1450 +       310        </f>
        <v>1760</v>
      </c>
      <c r="E98" s="4">
        <v>695.0</v>
      </c>
      <c r="F98" s="23">
        <v>15728.0</v>
      </c>
      <c r="G98" s="25">
        <f t="shared" si="118"/>
        <v>30287</v>
      </c>
      <c r="H98" s="23">
        <v>62042.0</v>
      </c>
      <c r="I98" s="25">
        <f t="shared" si="119"/>
        <v>15332</v>
      </c>
      <c r="J98" s="11">
        <f t="shared" si="120"/>
        <v>3.900495931</v>
      </c>
      <c r="K98" s="11">
        <f t="shared" si="121"/>
        <v>0.3331956971</v>
      </c>
      <c r="L98" s="11">
        <f t="shared" si="122"/>
        <v>0.9748219736</v>
      </c>
      <c r="M98" s="11">
        <f t="shared" si="123"/>
        <v>1.925673957</v>
      </c>
      <c r="N98" s="25">
        <f t="shared" si="124"/>
        <v>61347</v>
      </c>
      <c r="O98" s="11">
        <f t="shared" si="125"/>
        <v>0.9887979111</v>
      </c>
    </row>
    <row r="99">
      <c r="A99" s="128" t="s">
        <v>410</v>
      </c>
      <c r="B99" s="11">
        <f t="shared" ref="B99:F99" si="126">SUM(B93:B98)</f>
        <v>1063</v>
      </c>
      <c r="C99" s="25">
        <f t="shared" si="126"/>
        <v>38553938</v>
      </c>
      <c r="D99" s="11">
        <f t="shared" si="126"/>
        <v>4064395</v>
      </c>
      <c r="E99" s="25">
        <f t="shared" si="126"/>
        <v>304546</v>
      </c>
      <c r="F99" s="25">
        <f t="shared" si="126"/>
        <v>9057414</v>
      </c>
      <c r="G99" s="25">
        <f t="shared" si="118"/>
        <v>42922879</v>
      </c>
      <c r="H99" s="25">
        <f>SUM(H92:H98)</f>
        <v>412669758</v>
      </c>
      <c r="I99" s="25">
        <f t="shared" si="119"/>
        <v>360384919</v>
      </c>
      <c r="J99" s="11">
        <f t="shared" si="120"/>
        <v>45.52791912</v>
      </c>
      <c r="K99" s="11">
        <f t="shared" si="121"/>
        <v>6.933106726</v>
      </c>
      <c r="L99" s="11">
        <f t="shared" si="122"/>
        <v>39.78894185</v>
      </c>
      <c r="M99" s="11">
        <f t="shared" si="123"/>
        <v>4.738977262</v>
      </c>
      <c r="N99" s="25">
        <f t="shared" si="124"/>
        <v>412365212</v>
      </c>
      <c r="O99" s="11">
        <f t="shared" si="125"/>
        <v>0.9992620104</v>
      </c>
    </row>
    <row r="102">
      <c r="I102" s="11">
        <f>I99/F99</f>
        <v>39.78894185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35" t="s">
        <v>406</v>
      </c>
      <c r="B1" s="17" t="s">
        <v>119</v>
      </c>
      <c r="C1" s="17" t="s">
        <v>37</v>
      </c>
      <c r="D1" s="17" t="s">
        <v>121</v>
      </c>
      <c r="E1" s="17" t="s">
        <v>36</v>
      </c>
      <c r="F1" s="17" t="s">
        <v>38</v>
      </c>
      <c r="G1" s="17" t="s">
        <v>49</v>
      </c>
      <c r="H1" s="17" t="s">
        <v>122</v>
      </c>
      <c r="I1" s="17" t="s">
        <v>51</v>
      </c>
    </row>
    <row r="2">
      <c r="A2" s="17" t="s">
        <v>418</v>
      </c>
      <c r="B2" s="11">
        <v>174339.0</v>
      </c>
      <c r="C2" s="11">
        <v>4.9295517E7</v>
      </c>
      <c r="D2" s="11">
        <v>7.6864474081951855</v>
      </c>
      <c r="E2" s="11">
        <v>0.29650152738337465</v>
      </c>
      <c r="F2" s="11">
        <v>1.757840888380182</v>
      </c>
      <c r="G2" s="11">
        <v>4.928606519815004</v>
      </c>
      <c r="H2" s="11">
        <v>2.15552728E8</v>
      </c>
      <c r="I2" s="11">
        <v>0.9869112048606641</v>
      </c>
    </row>
    <row r="3">
      <c r="A3" s="128" t="s">
        <v>675</v>
      </c>
      <c r="B3" s="11">
        <v>566257.0</v>
      </c>
      <c r="C3" s="11">
        <v>3.74238026E8</v>
      </c>
      <c r="D3" s="11">
        <v>6.9942001501735085</v>
      </c>
      <c r="E3" s="11">
        <v>0.32057571981863237</v>
      </c>
      <c r="F3" s="11">
        <v>1.6978736728594392</v>
      </c>
      <c r="G3" s="11">
        <v>4.296326477314069</v>
      </c>
      <c r="H3" s="11">
        <v>1.541631571E9</v>
      </c>
      <c r="I3" s="11">
        <v>0.9860250063471981</v>
      </c>
    </row>
    <row r="4">
      <c r="A4" s="17" t="s">
        <v>672</v>
      </c>
      <c r="B4" s="11">
        <v>91274.0</v>
      </c>
      <c r="C4" s="11">
        <v>2.4689317E7</v>
      </c>
      <c r="D4" s="11">
        <v>5.367097421419736</v>
      </c>
      <c r="E4" s="11">
        <v>0.3787893018963984</v>
      </c>
      <c r="F4" s="11">
        <v>1.474481331319686</v>
      </c>
      <c r="G4" s="11">
        <v>2.89261609010005</v>
      </c>
      <c r="H4" s="11">
        <v>8.9868869E7</v>
      </c>
      <c r="I4" s="11">
        <v>0.9863818649562464</v>
      </c>
    </row>
    <row r="5">
      <c r="A5" s="17" t="s">
        <v>408</v>
      </c>
      <c r="B5" s="11">
        <v>583492.0</v>
      </c>
      <c r="C5" s="11">
        <v>1.85885654E8</v>
      </c>
      <c r="D5" s="11">
        <v>5.914553141329391</v>
      </c>
      <c r="E5" s="11">
        <v>0.2737923487803163</v>
      </c>
      <c r="F5" s="11">
        <v>1.2712899383491691</v>
      </c>
      <c r="G5" s="11">
        <v>3.643263202980221</v>
      </c>
      <c r="H5" s="11">
        <v>8.64814977E8</v>
      </c>
      <c r="I5" s="11">
        <v>0.9923133853979569</v>
      </c>
    </row>
    <row r="6">
      <c r="A6" s="17" t="s">
        <v>419</v>
      </c>
      <c r="B6" s="11">
        <v>111229.0</v>
      </c>
      <c r="C6" s="11">
        <v>2.1998782E7</v>
      </c>
      <c r="D6" s="11">
        <v>5.310312243686474</v>
      </c>
      <c r="E6" s="11">
        <v>0.30660186602652084</v>
      </c>
      <c r="F6" s="11">
        <v>1.2460962175487251</v>
      </c>
      <c r="G6" s="11">
        <v>3.064216026137749</v>
      </c>
      <c r="H6" s="11">
        <v>9.3749102E7</v>
      </c>
      <c r="I6" s="11">
        <v>0.9905915094642759</v>
      </c>
    </row>
    <row r="7">
      <c r="A7" s="128" t="s">
        <v>676</v>
      </c>
      <c r="B7" s="25">
        <f>Log_CCAA!B8</f>
        <v>465318</v>
      </c>
      <c r="C7" s="25">
        <f>Log_CCAA!I8</f>
        <v>67727989</v>
      </c>
      <c r="D7" s="11">
        <f>Log_CCAA!J8</f>
        <v>5.856764955</v>
      </c>
      <c r="E7" s="11">
        <f>Log_CCAA!K8</f>
        <v>0.2612670982</v>
      </c>
      <c r="F7" s="11">
        <f>Log_CCAA!L8</f>
        <v>1.213208516</v>
      </c>
      <c r="G7" s="11">
        <f>Log_CCAA!M8</f>
        <v>3.643556439</v>
      </c>
      <c r="H7" s="25">
        <f>Log_CCAA!N8</f>
        <v>326956914</v>
      </c>
      <c r="I7" s="11">
        <f>Log_CCAA!O8</f>
        <v>0.9898542733</v>
      </c>
    </row>
    <row r="8">
      <c r="A8" s="128" t="s">
        <v>677</v>
      </c>
      <c r="B8" s="11">
        <v>48657.0</v>
      </c>
      <c r="C8" s="11">
        <v>1.138692E7</v>
      </c>
      <c r="D8" s="11">
        <v>6.086187466526044</v>
      </c>
      <c r="E8" s="11">
        <v>0.23898351602398146</v>
      </c>
      <c r="F8" s="11">
        <v>1.1739449808009625</v>
      </c>
      <c r="G8" s="11">
        <v>3.9122424857250815</v>
      </c>
      <c r="H8" s="11">
        <v>5.9034223E7</v>
      </c>
      <c r="I8" s="11">
        <v>0.9968152149420068</v>
      </c>
    </row>
    <row r="9">
      <c r="A9" s="17" t="s">
        <v>668</v>
      </c>
      <c r="B9" s="11">
        <v>86488.0</v>
      </c>
      <c r="C9" s="11">
        <v>1.838709E7</v>
      </c>
      <c r="D9" s="11">
        <v>6.895394649363487</v>
      </c>
      <c r="E9" s="11">
        <v>0.19317950561123465</v>
      </c>
      <c r="F9" s="11">
        <v>1.1163860283336136</v>
      </c>
      <c r="G9" s="11">
        <v>4.779008621029873</v>
      </c>
      <c r="H9" s="11">
        <v>1.1356846E8</v>
      </c>
      <c r="I9" s="11">
        <v>0.9912760069460962</v>
      </c>
    </row>
    <row r="10">
      <c r="A10" s="17" t="s">
        <v>413</v>
      </c>
      <c r="B10" s="11">
        <v>29225.0</v>
      </c>
      <c r="C10" s="11">
        <v>5953513.0</v>
      </c>
      <c r="D10" s="11">
        <v>6.299883770630713</v>
      </c>
      <c r="E10" s="11">
        <v>0.21530266838387663</v>
      </c>
      <c r="F10" s="11">
        <v>1.1160855823091402</v>
      </c>
      <c r="G10" s="11">
        <v>4.183798188321573</v>
      </c>
      <c r="H10" s="11">
        <v>3.3605344E7</v>
      </c>
      <c r="I10" s="11">
        <v>0.9880409895362223</v>
      </c>
    </row>
    <row r="11">
      <c r="A11" s="17" t="s">
        <v>671</v>
      </c>
      <c r="B11" s="11">
        <v>130785.0</v>
      </c>
      <c r="C11" s="11">
        <v>1.9733192E7</v>
      </c>
      <c r="D11" s="11">
        <v>6.988380194768516</v>
      </c>
      <c r="E11" s="11">
        <v>0.18406786795068109</v>
      </c>
      <c r="F11" s="11">
        <v>1.0863703658356387</v>
      </c>
      <c r="G11" s="11">
        <v>4.9020098289328775</v>
      </c>
      <c r="H11" s="11">
        <v>1.26939258E8</v>
      </c>
      <c r="I11" s="11">
        <v>0.9895979812270279</v>
      </c>
    </row>
    <row r="12">
      <c r="A12" s="17" t="s">
        <v>435</v>
      </c>
      <c r="B12" s="11">
        <v>48306.0</v>
      </c>
      <c r="C12" s="11">
        <v>5003990.0</v>
      </c>
      <c r="D12" s="11">
        <v>6.760977925617778</v>
      </c>
      <c r="E12" s="11">
        <v>0.18323573496516482</v>
      </c>
      <c r="F12" s="11">
        <v>1.0470041790280291</v>
      </c>
      <c r="G12" s="11">
        <v>4.713973746589749</v>
      </c>
      <c r="H12" s="11">
        <v>3.2313019E7</v>
      </c>
      <c r="I12" s="11">
        <v>0.9903066586828417</v>
      </c>
    </row>
    <row r="13">
      <c r="A13" s="128" t="s">
        <v>434</v>
      </c>
      <c r="B13" s="11">
        <v>328543.0</v>
      </c>
      <c r="C13" s="11">
        <v>5.916264E7</v>
      </c>
      <c r="D13" s="11">
        <v>5.950134790792726</v>
      </c>
      <c r="E13" s="11">
        <v>0.20972582369110543</v>
      </c>
      <c r="F13" s="11">
        <v>1.0315535104181994</v>
      </c>
      <c r="G13" s="11">
        <v>3.918581280374526</v>
      </c>
      <c r="H13" s="11">
        <v>3.41257801E8</v>
      </c>
      <c r="I13" s="11">
        <v>0.9884264383444616</v>
      </c>
    </row>
    <row r="14">
      <c r="A14" s="17" t="s">
        <v>670</v>
      </c>
      <c r="B14" s="11">
        <v>116140.0</v>
      </c>
      <c r="C14" s="11">
        <v>1.3167938E7</v>
      </c>
      <c r="D14" s="11">
        <v>6.212030206517628</v>
      </c>
      <c r="E14" s="11">
        <v>0.18950922750793503</v>
      </c>
      <c r="F14" s="11">
        <v>0.9896829872933967</v>
      </c>
      <c r="G14" s="11">
        <v>4.222347219224232</v>
      </c>
      <c r="H14" s="11">
        <v>8.2652354E7</v>
      </c>
      <c r="I14" s="11">
        <v>0.9900480781923332</v>
      </c>
    </row>
    <row r="15">
      <c r="A15" s="17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8.5"/>
  </cols>
  <sheetData>
    <row r="1">
      <c r="B1" s="11">
        <v>2005.0</v>
      </c>
      <c r="C1" s="11">
        <v>2006.0</v>
      </c>
      <c r="D1" s="11">
        <v>2007.0</v>
      </c>
      <c r="E1" s="11">
        <v>2008.0</v>
      </c>
      <c r="F1" s="11">
        <v>2009.0</v>
      </c>
      <c r="G1" s="11">
        <v>2010.0</v>
      </c>
      <c r="H1" s="11">
        <v>2011.0</v>
      </c>
      <c r="I1" s="11">
        <v>2012.0</v>
      </c>
      <c r="J1" s="11">
        <v>2013.0</v>
      </c>
      <c r="K1" s="11">
        <v>2014.0</v>
      </c>
      <c r="L1" s="11">
        <v>2015.0</v>
      </c>
      <c r="M1" s="11">
        <v>2016.0</v>
      </c>
      <c r="N1" s="11">
        <v>2017.0</v>
      </c>
      <c r="O1" s="11">
        <v>2018.0</v>
      </c>
    </row>
    <row r="2">
      <c r="A2" s="11" t="s">
        <v>678</v>
      </c>
      <c r="B2" s="11">
        <f>J19*100</f>
        <v>21.30409169</v>
      </c>
      <c r="C2" s="11">
        <f>J29*100</f>
        <v>20.78911882</v>
      </c>
      <c r="D2" s="11">
        <f>J39*100</f>
        <v>22.62492448</v>
      </c>
      <c r="E2" s="11">
        <f>J49*100</f>
        <v>80.63401125</v>
      </c>
      <c r="F2" s="11">
        <f>J59*100</f>
        <v>25.82107393</v>
      </c>
      <c r="G2" s="11">
        <f>J67*100</f>
        <v>26.82318695</v>
      </c>
      <c r="H2" s="11">
        <f>J76*100</f>
        <v>25.13516008</v>
      </c>
      <c r="I2" s="11">
        <f>J86*100</f>
        <v>25.57249288</v>
      </c>
      <c r="J2" s="11">
        <f>J96*100</f>
        <v>28.04913509</v>
      </c>
      <c r="K2" s="11">
        <f>J107*100</f>
        <v>29.34310066</v>
      </c>
      <c r="L2" s="11">
        <f>J116*100</f>
        <v>28.0002844</v>
      </c>
      <c r="M2" s="11">
        <f>J128*100</f>
        <v>28.09229064</v>
      </c>
      <c r="N2" s="11">
        <f>J139*100</f>
        <v>27.78064882</v>
      </c>
    </row>
    <row r="3">
      <c r="A3" s="11" t="s">
        <v>679</v>
      </c>
      <c r="B3" s="11">
        <f>K19*100</f>
        <v>25.84153926</v>
      </c>
      <c r="C3" s="11">
        <f>K29*100</f>
        <v>119.3903077</v>
      </c>
      <c r="D3" s="11">
        <f>K39*100</f>
        <v>128.5715514</v>
      </c>
      <c r="E3" s="11">
        <f>K49*100</f>
        <v>129.7925199</v>
      </c>
      <c r="F3" s="11">
        <f>K59*100</f>
        <v>120.9351276</v>
      </c>
      <c r="G3" s="11">
        <f>K67*100</f>
        <v>129.7147601</v>
      </c>
      <c r="H3" s="11">
        <f>K76*100</f>
        <v>123.2235446</v>
      </c>
      <c r="I3" s="11">
        <f>K86*100</f>
        <v>127.1090708</v>
      </c>
      <c r="J3" s="11">
        <f>K96*100</f>
        <v>139.4554562</v>
      </c>
      <c r="K3" s="11">
        <f>K107*100</f>
        <v>146.5620136</v>
      </c>
      <c r="L3" s="11">
        <f>K116*100</f>
        <v>139.9396663</v>
      </c>
      <c r="M3" s="11">
        <f>K128*100</f>
        <v>136.3917976</v>
      </c>
      <c r="N3" s="11">
        <f>K139*100</f>
        <v>138.3704523</v>
      </c>
    </row>
    <row r="4">
      <c r="A4" s="11" t="s">
        <v>680</v>
      </c>
      <c r="B4" s="11">
        <f>L19</f>
        <v>4.695170875</v>
      </c>
      <c r="C4" s="11">
        <f>L29</f>
        <v>4.742922954</v>
      </c>
      <c r="D4" s="11">
        <f>L39</f>
        <v>4.682739471</v>
      </c>
      <c r="E4" s="11">
        <f>L49</f>
        <v>4.163691939</v>
      </c>
      <c r="F4" s="11">
        <f>L59</f>
        <v>3.683582406</v>
      </c>
      <c r="G4" s="11">
        <f>L67</f>
        <v>3.835919026</v>
      </c>
      <c r="H4" s="11">
        <f>L76</f>
        <v>3.902437229</v>
      </c>
      <c r="I4" s="11">
        <f>L86</f>
        <v>3.970538907</v>
      </c>
      <c r="J4" s="11">
        <f>L96</f>
        <v>3.971827322</v>
      </c>
      <c r="K4" s="11">
        <f>L107</f>
        <v>3.994769137</v>
      </c>
      <c r="L4" s="11">
        <f>L116</f>
        <v>3.997794464</v>
      </c>
      <c r="M4" s="11">
        <f>L128</f>
        <v>3.855132654</v>
      </c>
      <c r="N4" s="11">
        <f>L139</f>
        <v>3.980821477</v>
      </c>
    </row>
    <row r="5">
      <c r="A5" s="11" t="s">
        <v>681</v>
      </c>
      <c r="B5" s="11">
        <f>I19</f>
        <v>5.953586268</v>
      </c>
      <c r="C5" s="11">
        <f>I29</f>
        <v>6.936826031</v>
      </c>
      <c r="D5" s="11">
        <f>I39</f>
        <v>6.968454985</v>
      </c>
      <c r="E5" s="11">
        <f>I49</f>
        <v>6.461617137</v>
      </c>
      <c r="F5" s="11">
        <f>I59</f>
        <v>5.892933682</v>
      </c>
      <c r="G5" s="11">
        <f>I67</f>
        <v>6.133066627</v>
      </c>
      <c r="H5" s="11">
        <f>I76</f>
        <v>6.134672675</v>
      </c>
      <c r="I5" s="11">
        <f>I86</f>
        <v>6.241629616</v>
      </c>
      <c r="J5" s="11">
        <f>I96</f>
        <v>6.366381884</v>
      </c>
      <c r="K5" s="11">
        <f>I107</f>
        <v>6.460389273</v>
      </c>
      <c r="L5" s="11">
        <f>I116</f>
        <v>6.397191127</v>
      </c>
      <c r="M5" s="11">
        <f>I128</f>
        <v>6.21905063</v>
      </c>
      <c r="N5" s="11">
        <f>I139</f>
        <v>6.364525999</v>
      </c>
    </row>
    <row r="9">
      <c r="B9" s="4">
        <v>2005.0</v>
      </c>
    </row>
    <row r="13">
      <c r="B13" s="39" t="s">
        <v>42</v>
      </c>
      <c r="C13" s="39" t="s">
        <v>43</v>
      </c>
      <c r="D13" s="39" t="s">
        <v>44</v>
      </c>
      <c r="E13" s="39" t="s">
        <v>45</v>
      </c>
      <c r="F13" s="39" t="s">
        <v>46</v>
      </c>
      <c r="G13" s="49" t="s">
        <v>120</v>
      </c>
      <c r="H13" s="39" t="s">
        <v>37</v>
      </c>
      <c r="I13" s="49" t="s">
        <v>121</v>
      </c>
      <c r="J13" s="39" t="s">
        <v>36</v>
      </c>
      <c r="K13" s="39" t="s">
        <v>38</v>
      </c>
      <c r="L13" s="39" t="s">
        <v>49</v>
      </c>
      <c r="M13" s="49" t="s">
        <v>122</v>
      </c>
      <c r="N13" s="39" t="s">
        <v>51</v>
      </c>
      <c r="Q13" s="4" t="s">
        <v>682</v>
      </c>
    </row>
    <row r="14">
      <c r="A14" s="78" t="s">
        <v>157</v>
      </c>
      <c r="B14" s="23">
        <v>1.2361226E7</v>
      </c>
      <c r="C14" s="11">
        <f>1410896+0</f>
        <v>1410896</v>
      </c>
      <c r="D14" s="23">
        <v>101567.0</v>
      </c>
      <c r="E14" s="23">
        <v>1.1519879E7</v>
      </c>
      <c r="F14" s="25">
        <f t="shared" ref="F14:F19" si="1">B14+C14+D14</f>
        <v>13873689</v>
      </c>
      <c r="G14" s="23">
        <v>4.010938E7</v>
      </c>
      <c r="H14" s="25">
        <f t="shared" ref="H14:H19" si="2">G14-E14-F14-D14</f>
        <v>14614245</v>
      </c>
      <c r="I14" s="11">
        <f t="shared" ref="I14:I19" si="3">1+K14+L14</f>
        <v>3.25770438</v>
      </c>
      <c r="J14" s="11">
        <f t="shared" ref="J14:J19" si="4">H14/(E14+F14)</f>
        <v>0.5755097118</v>
      </c>
      <c r="K14" s="11">
        <f t="shared" ref="K14:K19" si="5">H14/F14</f>
        <v>1.053378449</v>
      </c>
      <c r="L14" s="11">
        <f t="shared" ref="L14:L19" si="6">F14/E14</f>
        <v>1.204325931</v>
      </c>
      <c r="M14" s="25">
        <f t="shared" ref="M14:M19" si="7">H14+F14+E14</f>
        <v>40007813</v>
      </c>
      <c r="N14" s="11">
        <f t="shared" ref="N14:N19" si="8">M14/G14</f>
        <v>0.9974677494</v>
      </c>
      <c r="P14" s="4">
        <v>2005.0</v>
      </c>
      <c r="S14" s="4" t="s">
        <v>682</v>
      </c>
    </row>
    <row r="15">
      <c r="A15" s="78" t="s">
        <v>158</v>
      </c>
      <c r="B15" s="23">
        <v>1.3531602E7</v>
      </c>
      <c r="C15" s="11">
        <f>673679</f>
        <v>673679</v>
      </c>
      <c r="D15" s="23">
        <v>14164.0</v>
      </c>
      <c r="E15" s="23">
        <v>1619626.0</v>
      </c>
      <c r="F15" s="25">
        <f t="shared" si="1"/>
        <v>14219445</v>
      </c>
      <c r="G15" s="23">
        <v>1.9749109E7</v>
      </c>
      <c r="H15" s="25">
        <f t="shared" si="2"/>
        <v>3895874</v>
      </c>
      <c r="I15" s="11">
        <f t="shared" si="3"/>
        <v>10.05344419</v>
      </c>
      <c r="J15" s="11">
        <f t="shared" si="4"/>
        <v>0.2459660671</v>
      </c>
      <c r="K15" s="11">
        <f t="shared" si="5"/>
        <v>0.2739821421</v>
      </c>
      <c r="L15" s="11">
        <f t="shared" si="6"/>
        <v>8.779462049</v>
      </c>
      <c r="M15" s="25">
        <f t="shared" si="7"/>
        <v>19734945</v>
      </c>
      <c r="N15" s="11">
        <f t="shared" si="8"/>
        <v>0.9992828031</v>
      </c>
      <c r="P15" s="4">
        <v>2006.0</v>
      </c>
      <c r="Q15" s="11">
        <f>pearson(J24:J28,K24:K28)</f>
        <v>0.08794589622</v>
      </c>
      <c r="R15" s="11">
        <f>pearson(J24:J29,K24:K29)</f>
        <v>0.1091532851</v>
      </c>
      <c r="S15" s="11">
        <f>pearson(R15:R27,PLUSVALIA_TOTAL!C23:O23)</f>
        <v>-0.1421051807</v>
      </c>
      <c r="T15" s="11">
        <f>pearson(R15:R27,PLUSVALIA_TOTAL!C22:O22)</f>
        <v>0.4784562211</v>
      </c>
    </row>
    <row r="16">
      <c r="A16" s="78" t="s">
        <v>159</v>
      </c>
      <c r="B16" s="23">
        <v>3.6085837E7</v>
      </c>
      <c r="C16" s="23">
        <v>931272.0</v>
      </c>
      <c r="D16" s="23">
        <v>85324.0</v>
      </c>
      <c r="E16" s="23">
        <v>4771653.0</v>
      </c>
      <c r="F16" s="25">
        <f t="shared" si="1"/>
        <v>37102433</v>
      </c>
      <c r="G16" s="23">
        <v>4.6058444E7</v>
      </c>
      <c r="H16" s="25">
        <f t="shared" si="2"/>
        <v>4099034</v>
      </c>
      <c r="I16" s="11">
        <f t="shared" si="3"/>
        <v>8.886072126</v>
      </c>
      <c r="J16" s="11">
        <f t="shared" si="4"/>
        <v>0.09788951573</v>
      </c>
      <c r="K16" s="11">
        <f t="shared" si="5"/>
        <v>0.1104788465</v>
      </c>
      <c r="L16" s="11">
        <f t="shared" si="6"/>
        <v>7.77559328</v>
      </c>
      <c r="M16" s="25">
        <f t="shared" si="7"/>
        <v>45973120</v>
      </c>
      <c r="N16" s="11">
        <f t="shared" si="8"/>
        <v>0.9981474841</v>
      </c>
      <c r="P16" s="4">
        <v>2007.0</v>
      </c>
      <c r="Q16" s="11">
        <f>pearson(J34:J38,K34:K38)</f>
        <v>0.02694219472</v>
      </c>
      <c r="R16" s="11">
        <f>pearson(J34:J39,K34:K39)</f>
        <v>0.04465816433</v>
      </c>
    </row>
    <row r="17">
      <c r="A17" s="78" t="s">
        <v>77</v>
      </c>
      <c r="B17" s="23">
        <v>7.33948352E8</v>
      </c>
      <c r="C17" s="23">
        <v>3.583524E7</v>
      </c>
      <c r="D17" s="23">
        <v>1.7206922E7</v>
      </c>
      <c r="E17" s="23">
        <v>1.25627529E8</v>
      </c>
      <c r="F17" s="25">
        <f t="shared" si="1"/>
        <v>786990514</v>
      </c>
      <c r="G17" s="23">
        <v>1.116414981E9</v>
      </c>
      <c r="H17" s="25">
        <f t="shared" si="2"/>
        <v>186590016</v>
      </c>
      <c r="I17" s="11">
        <f t="shared" si="3"/>
        <v>7.501568088</v>
      </c>
      <c r="J17" s="11">
        <f t="shared" si="4"/>
        <v>0.2044557605</v>
      </c>
      <c r="K17" s="11">
        <f t="shared" si="5"/>
        <v>0.2370930941</v>
      </c>
      <c r="L17" s="11">
        <f t="shared" si="6"/>
        <v>6.264474994</v>
      </c>
      <c r="M17" s="25">
        <f t="shared" si="7"/>
        <v>1099208059</v>
      </c>
      <c r="N17" s="11">
        <f t="shared" si="8"/>
        <v>0.9845873423</v>
      </c>
      <c r="P17" s="4">
        <v>2008.0</v>
      </c>
      <c r="Q17" s="11">
        <f>pearson(J44:J48,K44:K48)</f>
        <v>0.3195172951</v>
      </c>
      <c r="R17" s="11">
        <f>pearson(J44:J49,K44:K49)</f>
        <v>0.3019360936</v>
      </c>
    </row>
    <row r="18">
      <c r="A18" s="64" t="s">
        <v>160</v>
      </c>
      <c r="B18" s="23">
        <v>2.60118728E8</v>
      </c>
      <c r="C18" s="23">
        <v>1.3922608E7</v>
      </c>
      <c r="D18" s="23">
        <v>7398007.0</v>
      </c>
      <c r="E18" s="23">
        <v>9.790629E7</v>
      </c>
      <c r="F18" s="25">
        <f t="shared" si="1"/>
        <v>281439343</v>
      </c>
      <c r="G18" s="23">
        <v>4.7049073E8</v>
      </c>
      <c r="H18" s="25">
        <f t="shared" si="2"/>
        <v>83747090</v>
      </c>
      <c r="I18" s="11">
        <f t="shared" si="3"/>
        <v>4.172145876</v>
      </c>
      <c r="J18" s="11">
        <f t="shared" si="4"/>
        <v>0.2207672442</v>
      </c>
      <c r="K18" s="11">
        <f t="shared" si="5"/>
        <v>0.2975671031</v>
      </c>
      <c r="L18" s="11">
        <f t="shared" si="6"/>
        <v>2.874578773</v>
      </c>
      <c r="M18" s="25">
        <f t="shared" si="7"/>
        <v>463092723</v>
      </c>
      <c r="N18" s="11">
        <f t="shared" si="8"/>
        <v>0.9842759771</v>
      </c>
      <c r="P18" s="4">
        <v>2009.0</v>
      </c>
      <c r="Q18" s="11">
        <f>pearson(J54:J58,K54:K58)</f>
        <v>-0.0663009992</v>
      </c>
      <c r="R18" s="11">
        <f>pearson(J54:J59,K54:K59)</f>
        <v>-0.04947351051</v>
      </c>
    </row>
    <row r="19">
      <c r="A19" s="4" t="s">
        <v>161</v>
      </c>
      <c r="B19" s="25">
        <f t="shared" ref="B19:E19" si="9">SUM(B14:B18)</f>
        <v>1056045745</v>
      </c>
      <c r="C19" s="11">
        <f t="shared" si="9"/>
        <v>52773695</v>
      </c>
      <c r="D19" s="25">
        <f t="shared" si="9"/>
        <v>24805984</v>
      </c>
      <c r="E19" s="25">
        <f t="shared" si="9"/>
        <v>241444977</v>
      </c>
      <c r="F19" s="25">
        <f t="shared" si="1"/>
        <v>1133625424</v>
      </c>
      <c r="G19" s="25">
        <f>SUM(G14:G18)</f>
        <v>1692822644</v>
      </c>
      <c r="H19" s="25">
        <f t="shared" si="2"/>
        <v>292946259</v>
      </c>
      <c r="I19" s="11">
        <f t="shared" si="3"/>
        <v>5.953586268</v>
      </c>
      <c r="J19" s="11">
        <f t="shared" si="4"/>
        <v>0.2130409169</v>
      </c>
      <c r="K19" s="11">
        <f t="shared" si="5"/>
        <v>0.2584153926</v>
      </c>
      <c r="L19" s="11">
        <f t="shared" si="6"/>
        <v>4.695170875</v>
      </c>
      <c r="M19" s="25">
        <f t="shared" si="7"/>
        <v>1668016660</v>
      </c>
      <c r="N19" s="11">
        <f t="shared" si="8"/>
        <v>0.9853463775</v>
      </c>
      <c r="P19" s="4">
        <v>2010.0</v>
      </c>
      <c r="Q19" s="11">
        <f>pearson(J62:J66,K62:K66)</f>
        <v>-0.07077339477</v>
      </c>
      <c r="R19" s="11">
        <f>pearson(J62:J67,K62:K67)</f>
        <v>-0.059402311</v>
      </c>
    </row>
    <row r="20">
      <c r="P20" s="4">
        <v>2011.0</v>
      </c>
      <c r="Q20" s="11">
        <f>pearson(J71:J75,K71:K75)</f>
        <v>0.02681121885</v>
      </c>
      <c r="R20" s="11">
        <f>pearson(J71:J76,K71:K76)</f>
        <v>0.0361646903</v>
      </c>
    </row>
    <row r="21">
      <c r="B21" s="4">
        <v>2006.0</v>
      </c>
      <c r="P21" s="4">
        <v>2012.0</v>
      </c>
      <c r="Q21" s="11">
        <f>pearson(J81:J85,K81:K85)</f>
        <v>0.07700187778</v>
      </c>
      <c r="R21" s="11">
        <f>pearson(J81:J86,K81:K86)</f>
        <v>0.08320426227</v>
      </c>
    </row>
    <row r="22">
      <c r="P22" s="4">
        <v>2013.0</v>
      </c>
      <c r="Q22" s="11">
        <f>pearson(J91:J95,K91:K95)</f>
        <v>0.0841460003</v>
      </c>
      <c r="R22" s="11">
        <f>pearson(J91:J96,K91:K96)</f>
        <v>0.07734065978</v>
      </c>
    </row>
    <row r="23">
      <c r="B23" s="39" t="s">
        <v>42</v>
      </c>
      <c r="C23" s="39" t="s">
        <v>43</v>
      </c>
      <c r="D23" s="39" t="s">
        <v>44</v>
      </c>
      <c r="E23" s="39" t="s">
        <v>45</v>
      </c>
      <c r="F23" s="39" t="s">
        <v>46</v>
      </c>
      <c r="G23" s="49" t="s">
        <v>120</v>
      </c>
      <c r="H23" s="39" t="s">
        <v>37</v>
      </c>
      <c r="I23" s="49" t="s">
        <v>121</v>
      </c>
      <c r="J23" s="39" t="s">
        <v>36</v>
      </c>
      <c r="K23" s="39" t="s">
        <v>38</v>
      </c>
      <c r="L23" s="39" t="s">
        <v>49</v>
      </c>
      <c r="M23" s="49" t="s">
        <v>122</v>
      </c>
      <c r="N23" s="39" t="s">
        <v>51</v>
      </c>
      <c r="P23" s="4">
        <v>2014.0</v>
      </c>
      <c r="Q23" s="11">
        <f>pearson(K102:K106,L102:L106)</f>
        <v>0.1911489314</v>
      </c>
      <c r="R23" s="11">
        <f>pearson(J102:J107,K102:K107)</f>
        <v>0.07596720362</v>
      </c>
    </row>
    <row r="24">
      <c r="A24" s="78" t="s">
        <v>157</v>
      </c>
      <c r="B24" s="23">
        <v>1.3519154E7</v>
      </c>
      <c r="C24" s="23">
        <v>1508953.0</v>
      </c>
      <c r="D24" s="23">
        <v>44310.0</v>
      </c>
      <c r="E24" s="23">
        <v>1.28075E7</v>
      </c>
      <c r="F24" s="25">
        <f t="shared" ref="F24:F28" si="10">B24+C24+D24</f>
        <v>15072417</v>
      </c>
      <c r="G24" s="23">
        <v>4.4697891E7</v>
      </c>
      <c r="H24" s="25">
        <f t="shared" ref="H24:H29" si="11">G24-F24-E24-D24</f>
        <v>16773664</v>
      </c>
      <c r="I24" s="11">
        <f t="shared" ref="I24:I29" si="12">1+K24+L24</f>
        <v>3.486518134</v>
      </c>
      <c r="J24" s="11">
        <f t="shared" ref="J24:J29" si="13">H24/(E24+F24)</f>
        <v>0.6016396677</v>
      </c>
      <c r="K24" s="11">
        <f t="shared" ref="K24:K29" si="14">H24/E24</f>
        <v>1.309675112</v>
      </c>
      <c r="L24" s="11">
        <f t="shared" ref="L24:L29" si="15">F24/E24</f>
        <v>1.176843022</v>
      </c>
      <c r="M24" s="25">
        <f t="shared" ref="M24:M29" si="16">H24+F24+E24</f>
        <v>44653581</v>
      </c>
      <c r="N24" s="11">
        <f t="shared" ref="N24:N29" si="17">M24/G24</f>
        <v>0.9990086781</v>
      </c>
      <c r="P24" s="4">
        <v>2015.0</v>
      </c>
      <c r="Q24" s="11">
        <f>pearson(J111:J115,K111:K115)</f>
        <v>0.01622627744</v>
      </c>
      <c r="R24" s="11">
        <f>pearson(J111:J116,K111:K116)</f>
        <v>-0.0004285463156</v>
      </c>
    </row>
    <row r="25">
      <c r="A25" s="78" t="s">
        <v>158</v>
      </c>
      <c r="B25" s="23">
        <v>1.712307E7</v>
      </c>
      <c r="C25" s="23">
        <v>850780.0</v>
      </c>
      <c r="D25" s="23">
        <v>8064.0</v>
      </c>
      <c r="E25" s="23">
        <v>1859389.0</v>
      </c>
      <c r="F25" s="25">
        <f t="shared" si="10"/>
        <v>17981914</v>
      </c>
      <c r="G25" s="23">
        <v>2.4794609E7</v>
      </c>
      <c r="H25" s="25">
        <f t="shared" si="11"/>
        <v>4945242</v>
      </c>
      <c r="I25" s="11">
        <f t="shared" si="12"/>
        <v>13.33047845</v>
      </c>
      <c r="J25" s="11">
        <f t="shared" si="13"/>
        <v>0.2492397803</v>
      </c>
      <c r="K25" s="11">
        <f t="shared" si="14"/>
        <v>2.659605924</v>
      </c>
      <c r="L25" s="11">
        <f t="shared" si="15"/>
        <v>9.670872529</v>
      </c>
      <c r="M25" s="25">
        <f t="shared" si="16"/>
        <v>24786545</v>
      </c>
      <c r="N25" s="11">
        <f t="shared" si="17"/>
        <v>0.999674768</v>
      </c>
      <c r="P25" s="4">
        <v>2016.0</v>
      </c>
      <c r="Q25" s="11">
        <f>pearson(J123:J127,K123:K127)</f>
        <v>0.04031525336</v>
      </c>
      <c r="R25" s="11">
        <f>pearson(J123:J128,K123:K128)</f>
        <v>0.01688578154</v>
      </c>
    </row>
    <row r="26">
      <c r="A26" s="78" t="s">
        <v>159</v>
      </c>
      <c r="B26" s="23">
        <v>3.7909957E7</v>
      </c>
      <c r="C26" s="23">
        <v>965766.0</v>
      </c>
      <c r="D26" s="23">
        <v>102452.0</v>
      </c>
      <c r="E26" s="23">
        <v>5021450.0</v>
      </c>
      <c r="F26" s="25">
        <f t="shared" si="10"/>
        <v>38978175</v>
      </c>
      <c r="G26" s="23">
        <v>4.8609225E7</v>
      </c>
      <c r="H26" s="25">
        <f t="shared" si="11"/>
        <v>4507148</v>
      </c>
      <c r="I26" s="11">
        <f t="shared" si="12"/>
        <v>9.659913571</v>
      </c>
      <c r="J26" s="11">
        <f t="shared" si="13"/>
        <v>0.1024360549</v>
      </c>
      <c r="K26" s="11">
        <f t="shared" si="14"/>
        <v>0.8975789861</v>
      </c>
      <c r="L26" s="11">
        <f t="shared" si="15"/>
        <v>7.762334585</v>
      </c>
      <c r="M26" s="25">
        <f t="shared" si="16"/>
        <v>48506773</v>
      </c>
      <c r="N26" s="11">
        <f t="shared" si="17"/>
        <v>0.9978923342</v>
      </c>
      <c r="P26" s="4">
        <v>2017.0</v>
      </c>
      <c r="Q26" s="11">
        <f>pearson(J134:J138,K134:K138)</f>
        <v>0.123712855</v>
      </c>
      <c r="R26" s="11">
        <f>pearson(J134:J139,K134:K139)</f>
        <v>0.09718990767</v>
      </c>
    </row>
    <row r="27">
      <c r="A27" s="78" t="s">
        <v>77</v>
      </c>
      <c r="B27" s="23">
        <v>8.17756357E8</v>
      </c>
      <c r="C27" s="23">
        <v>3.8788282E7</v>
      </c>
      <c r="D27" s="23">
        <v>2.4641184E7</v>
      </c>
      <c r="E27" s="23">
        <v>1.37955292E8</v>
      </c>
      <c r="F27" s="25">
        <f t="shared" si="10"/>
        <v>881185823</v>
      </c>
      <c r="G27" s="23">
        <v>1.241443921E9</v>
      </c>
      <c r="H27" s="25">
        <f t="shared" si="11"/>
        <v>197661622</v>
      </c>
      <c r="I27" s="11">
        <f t="shared" si="12"/>
        <v>8.820268649</v>
      </c>
      <c r="J27" s="11">
        <f t="shared" si="13"/>
        <v>0.1939492177</v>
      </c>
      <c r="K27" s="11">
        <f t="shared" si="14"/>
        <v>1.432794778</v>
      </c>
      <c r="L27" s="11">
        <f t="shared" si="15"/>
        <v>6.387473871</v>
      </c>
      <c r="M27" s="25">
        <f t="shared" si="16"/>
        <v>1216802737</v>
      </c>
      <c r="N27" s="11">
        <f t="shared" si="17"/>
        <v>0.9801511904</v>
      </c>
      <c r="P27" s="4">
        <v>2018.0</v>
      </c>
      <c r="Q27" s="11">
        <f>'Replicación (controlada)'!C15</f>
        <v>0.08950001624</v>
      </c>
      <c r="R27" s="11">
        <f>'Replicación (controlada)'!C15</f>
        <v>0.08950001624</v>
      </c>
    </row>
    <row r="28">
      <c r="A28" s="64" t="s">
        <v>160</v>
      </c>
      <c r="B28" s="23">
        <v>2.8932866E8</v>
      </c>
      <c r="C28" s="23">
        <v>1.5386818E7</v>
      </c>
      <c r="D28" s="23">
        <v>9218927.0</v>
      </c>
      <c r="E28" s="23">
        <v>1.09523419E8</v>
      </c>
      <c r="F28" s="25">
        <f t="shared" si="10"/>
        <v>313934405</v>
      </c>
      <c r="G28" s="23">
        <v>5.27760638E8</v>
      </c>
      <c r="H28" s="25">
        <f t="shared" si="11"/>
        <v>95083887</v>
      </c>
      <c r="I28" s="11">
        <f t="shared" si="12"/>
        <v>4.734528156</v>
      </c>
      <c r="J28" s="11">
        <f t="shared" si="13"/>
        <v>0.2245415756</v>
      </c>
      <c r="K28" s="11">
        <f t="shared" si="14"/>
        <v>0.8681603247</v>
      </c>
      <c r="L28" s="11">
        <f t="shared" si="15"/>
        <v>2.866367831</v>
      </c>
      <c r="M28" s="25">
        <f t="shared" si="16"/>
        <v>518541711</v>
      </c>
      <c r="N28" s="11">
        <f t="shared" si="17"/>
        <v>0.9825319921</v>
      </c>
      <c r="Q28" s="11">
        <f t="shared" ref="Q28:R28" si="18">AVERAGE(Q14:Q27)</f>
        <v>0.07278410942</v>
      </c>
      <c r="R28" s="11">
        <f t="shared" si="18"/>
        <v>0.06328428436</v>
      </c>
    </row>
    <row r="29">
      <c r="A29" s="4" t="s">
        <v>161</v>
      </c>
      <c r="B29" s="25">
        <f t="shared" ref="B29:G29" si="19">SUM(B24:B28)</f>
        <v>1175637198</v>
      </c>
      <c r="C29" s="25">
        <f t="shared" si="19"/>
        <v>57500599</v>
      </c>
      <c r="D29" s="25">
        <f t="shared" si="19"/>
        <v>34014937</v>
      </c>
      <c r="E29" s="25">
        <f t="shared" si="19"/>
        <v>267167050</v>
      </c>
      <c r="F29" s="25">
        <f t="shared" si="19"/>
        <v>1267152734</v>
      </c>
      <c r="G29" s="25">
        <f t="shared" si="19"/>
        <v>1887306284</v>
      </c>
      <c r="H29" s="25">
        <f t="shared" si="11"/>
        <v>318971563</v>
      </c>
      <c r="I29" s="11">
        <f t="shared" si="12"/>
        <v>6.936826031</v>
      </c>
      <c r="J29" s="11">
        <f t="shared" si="13"/>
        <v>0.2078911882</v>
      </c>
      <c r="K29" s="11">
        <f t="shared" si="14"/>
        <v>1.193903077</v>
      </c>
      <c r="L29" s="11">
        <f t="shared" si="15"/>
        <v>4.742922954</v>
      </c>
      <c r="M29" s="25">
        <f t="shared" si="16"/>
        <v>1853291347</v>
      </c>
      <c r="N29" s="11">
        <f t="shared" si="17"/>
        <v>0.9819769916</v>
      </c>
    </row>
    <row r="32">
      <c r="B32" s="4">
        <v>2007.0</v>
      </c>
    </row>
    <row r="33">
      <c r="B33" s="39" t="s">
        <v>42</v>
      </c>
      <c r="C33" s="39" t="s">
        <v>43</v>
      </c>
      <c r="D33" s="39" t="s">
        <v>44</v>
      </c>
      <c r="E33" s="39" t="s">
        <v>45</v>
      </c>
      <c r="F33" s="39" t="s">
        <v>46</v>
      </c>
      <c r="G33" s="49" t="s">
        <v>120</v>
      </c>
      <c r="H33" s="39" t="s">
        <v>37</v>
      </c>
      <c r="I33" s="49" t="s">
        <v>121</v>
      </c>
      <c r="J33" s="39" t="s">
        <v>36</v>
      </c>
      <c r="K33" s="39" t="s">
        <v>38</v>
      </c>
      <c r="L33" s="39" t="s">
        <v>49</v>
      </c>
      <c r="M33" s="49" t="s">
        <v>122</v>
      </c>
      <c r="N33" s="39" t="s">
        <v>51</v>
      </c>
    </row>
    <row r="34">
      <c r="A34" s="78" t="s">
        <v>157</v>
      </c>
      <c r="B34" s="23">
        <v>1.3992263E7</v>
      </c>
      <c r="C34" s="23">
        <v>1689304.0</v>
      </c>
      <c r="D34" s="23">
        <v>413144.0</v>
      </c>
      <c r="E34" s="23">
        <v>1.3368029E7</v>
      </c>
      <c r="F34" s="25">
        <f t="shared" ref="F34:F38" si="20">B34+C34+D34</f>
        <v>16094711</v>
      </c>
      <c r="G34" s="23">
        <v>4.8489544E7</v>
      </c>
      <c r="H34" s="25">
        <f t="shared" ref="H34:H39" si="21">G34-D34-E34-F34</f>
        <v>18613660</v>
      </c>
      <c r="I34" s="11">
        <f t="shared" ref="I34:I39" si="22">1+K34+L34</f>
        <v>3.596371612</v>
      </c>
      <c r="J34" s="11">
        <f t="shared" ref="J34:J39" si="23">H34/(E34+F34)</f>
        <v>0.6317694824</v>
      </c>
      <c r="K34" s="11">
        <f t="shared" ref="K34:K39" si="24">H34/E34</f>
        <v>1.392401228</v>
      </c>
      <c r="L34" s="11">
        <f t="shared" ref="L34:L39" si="25">F34/E34</f>
        <v>1.203970383</v>
      </c>
      <c r="M34" s="25">
        <f t="shared" ref="M34:M39" si="26">H34+F34+E34</f>
        <v>48076400</v>
      </c>
      <c r="N34" s="11">
        <f t="shared" ref="N34:N39" si="27">M34/G34</f>
        <v>0.9914797301</v>
      </c>
    </row>
    <row r="35">
      <c r="A35" s="78" t="s">
        <v>158</v>
      </c>
      <c r="B35" s="23">
        <v>2.1750923E7</v>
      </c>
      <c r="C35" s="23">
        <v>784640.0</v>
      </c>
      <c r="D35" s="23">
        <v>8849.0</v>
      </c>
      <c r="E35" s="23">
        <v>2072491.0</v>
      </c>
      <c r="F35" s="25">
        <f t="shared" si="20"/>
        <v>22544412</v>
      </c>
      <c r="G35" s="23">
        <v>3.034026E7</v>
      </c>
      <c r="H35" s="25">
        <f t="shared" si="21"/>
        <v>5714508</v>
      </c>
      <c r="I35" s="11">
        <f t="shared" si="22"/>
        <v>14.63524377</v>
      </c>
      <c r="J35" s="11">
        <f t="shared" si="23"/>
        <v>0.2321375682</v>
      </c>
      <c r="K35" s="11">
        <f t="shared" si="24"/>
        <v>2.757313783</v>
      </c>
      <c r="L35" s="11">
        <f t="shared" si="25"/>
        <v>10.87792999</v>
      </c>
      <c r="M35" s="25">
        <f t="shared" si="26"/>
        <v>30331411</v>
      </c>
      <c r="N35" s="11">
        <f t="shared" si="27"/>
        <v>0.9997083413</v>
      </c>
    </row>
    <row r="36">
      <c r="A36" s="78" t="s">
        <v>159</v>
      </c>
      <c r="B36" s="23">
        <v>4.0952388E7</v>
      </c>
      <c r="C36" s="23">
        <v>1016437.0</v>
      </c>
      <c r="D36" s="23">
        <v>47428.0</v>
      </c>
      <c r="E36" s="23">
        <v>5289544.0</v>
      </c>
      <c r="F36" s="25">
        <f t="shared" si="20"/>
        <v>42016253</v>
      </c>
      <c r="G36" s="23">
        <v>5.2413504E7</v>
      </c>
      <c r="H36" s="25">
        <f t="shared" si="21"/>
        <v>5060279</v>
      </c>
      <c r="I36" s="11">
        <f t="shared" si="22"/>
        <v>9.899922564</v>
      </c>
      <c r="J36" s="11">
        <f t="shared" si="23"/>
        <v>0.1069695327</v>
      </c>
      <c r="K36" s="11">
        <f t="shared" si="24"/>
        <v>0.9566569443</v>
      </c>
      <c r="L36" s="11">
        <f t="shared" si="25"/>
        <v>7.94326562</v>
      </c>
      <c r="M36" s="25">
        <f t="shared" si="26"/>
        <v>52366076</v>
      </c>
      <c r="N36" s="11">
        <f t="shared" si="27"/>
        <v>0.9990951187</v>
      </c>
    </row>
    <row r="37">
      <c r="A37" s="78" t="s">
        <v>77</v>
      </c>
      <c r="B37" s="23">
        <v>9.14521847E8</v>
      </c>
      <c r="C37" s="23">
        <v>4.2842281E7</v>
      </c>
      <c r="D37" s="23">
        <v>2.0432921E7</v>
      </c>
      <c r="E37" s="23">
        <v>1.57614678E8</v>
      </c>
      <c r="F37" s="25">
        <f t="shared" si="20"/>
        <v>977797049</v>
      </c>
      <c r="G37" s="23">
        <v>1.400267238E9</v>
      </c>
      <c r="H37" s="25">
        <f t="shared" si="21"/>
        <v>244422590</v>
      </c>
      <c r="I37" s="11">
        <f t="shared" si="22"/>
        <v>8.754478545</v>
      </c>
      <c r="J37" s="11">
        <f t="shared" si="23"/>
        <v>0.2152722085</v>
      </c>
      <c r="K37" s="11">
        <f t="shared" si="24"/>
        <v>1.55076033</v>
      </c>
      <c r="L37" s="11">
        <f t="shared" si="25"/>
        <v>6.203718216</v>
      </c>
      <c r="M37" s="25">
        <f t="shared" si="26"/>
        <v>1379834317</v>
      </c>
      <c r="N37" s="11">
        <f t="shared" si="27"/>
        <v>0.9854078418</v>
      </c>
    </row>
    <row r="38">
      <c r="A38" s="64" t="s">
        <v>160</v>
      </c>
      <c r="B38" s="23">
        <v>3.02727308E8</v>
      </c>
      <c r="C38" s="23">
        <v>1.7192963E7</v>
      </c>
      <c r="D38" s="23">
        <v>8154394.0</v>
      </c>
      <c r="E38" s="23">
        <v>1.1774841E8</v>
      </c>
      <c r="F38" s="25">
        <f t="shared" si="20"/>
        <v>328074665</v>
      </c>
      <c r="G38" s="23">
        <v>5.60857991E8</v>
      </c>
      <c r="H38" s="25">
        <f t="shared" si="21"/>
        <v>106880522</v>
      </c>
      <c r="I38" s="11">
        <f t="shared" si="22"/>
        <v>4.693936818</v>
      </c>
      <c r="J38" s="11">
        <f t="shared" si="23"/>
        <v>0.2397375282</v>
      </c>
      <c r="K38" s="11">
        <f t="shared" si="24"/>
        <v>0.9077024649</v>
      </c>
      <c r="L38" s="11">
        <f t="shared" si="25"/>
        <v>2.786234353</v>
      </c>
      <c r="M38" s="25">
        <f t="shared" si="26"/>
        <v>552703597</v>
      </c>
      <c r="N38" s="11">
        <f t="shared" si="27"/>
        <v>0.985460858</v>
      </c>
    </row>
    <row r="39">
      <c r="A39" s="4" t="s">
        <v>161</v>
      </c>
      <c r="B39" s="25">
        <f t="shared" ref="B39:G39" si="28">SUM(B34:B38)</f>
        <v>1293944729</v>
      </c>
      <c r="C39" s="25">
        <f t="shared" si="28"/>
        <v>63525625</v>
      </c>
      <c r="D39" s="25">
        <f t="shared" si="28"/>
        <v>29056736</v>
      </c>
      <c r="E39" s="25">
        <f t="shared" si="28"/>
        <v>296093152</v>
      </c>
      <c r="F39" s="25">
        <f t="shared" si="28"/>
        <v>1386527090</v>
      </c>
      <c r="G39" s="25">
        <f t="shared" si="28"/>
        <v>2092368537</v>
      </c>
      <c r="H39" s="25">
        <f t="shared" si="21"/>
        <v>380691559</v>
      </c>
      <c r="I39" s="11">
        <f t="shared" si="22"/>
        <v>6.968454985</v>
      </c>
      <c r="J39" s="11">
        <f t="shared" si="23"/>
        <v>0.2262492448</v>
      </c>
      <c r="K39" s="11">
        <f t="shared" si="24"/>
        <v>1.285715514</v>
      </c>
      <c r="L39" s="11">
        <f t="shared" si="25"/>
        <v>4.682739471</v>
      </c>
      <c r="M39" s="25">
        <f t="shared" si="26"/>
        <v>2063311801</v>
      </c>
      <c r="N39" s="11">
        <f t="shared" si="27"/>
        <v>0.9861129932</v>
      </c>
    </row>
    <row r="41">
      <c r="B41" s="4">
        <v>2008.0</v>
      </c>
    </row>
    <row r="43">
      <c r="B43" s="39" t="s">
        <v>42</v>
      </c>
      <c r="C43" s="39" t="s">
        <v>43</v>
      </c>
      <c r="D43" s="39" t="s">
        <v>44</v>
      </c>
      <c r="E43" s="39" t="s">
        <v>45</v>
      </c>
      <c r="F43" s="39" t="s">
        <v>46</v>
      </c>
      <c r="G43" s="49" t="s">
        <v>120</v>
      </c>
      <c r="H43" s="39" t="s">
        <v>37</v>
      </c>
      <c r="I43" s="49" t="s">
        <v>121</v>
      </c>
      <c r="J43" s="39" t="s">
        <v>36</v>
      </c>
      <c r="K43" s="39" t="s">
        <v>38</v>
      </c>
      <c r="L43" s="39" t="s">
        <v>49</v>
      </c>
      <c r="M43" s="49" t="s">
        <v>122</v>
      </c>
      <c r="N43" s="39" t="s">
        <v>51</v>
      </c>
    </row>
    <row r="44">
      <c r="A44" s="78" t="s">
        <v>157</v>
      </c>
      <c r="B44" s="23">
        <v>6463096.0</v>
      </c>
      <c r="C44" s="11">
        <f>1836754+117432</f>
        <v>1954186</v>
      </c>
      <c r="D44" s="23">
        <v>57526.0</v>
      </c>
      <c r="E44" s="23">
        <v>1.5099298E7</v>
      </c>
      <c r="F44" s="25">
        <f t="shared" ref="F44:F48" si="29">B44+C44</f>
        <v>8417282</v>
      </c>
      <c r="G44" s="23">
        <v>4.3198987E7</v>
      </c>
      <c r="H44" s="25">
        <f t="shared" ref="H44:H49" si="30">G44-F44-E44-D44</f>
        <v>19624881</v>
      </c>
      <c r="I44" s="11">
        <f t="shared" ref="I44:I49" si="31">1+K44+L44</f>
        <v>2.857183228</v>
      </c>
      <c r="J44" s="11">
        <f t="shared" ref="J44:J49" si="32">F44/(E44+F44)</f>
        <v>0.357929682</v>
      </c>
      <c r="K44" s="11">
        <f t="shared" ref="K44:K49" si="33">H44/E44</f>
        <v>1.299721418</v>
      </c>
      <c r="L44" s="11">
        <f t="shared" ref="L44:L49" si="34">F44/E44</f>
        <v>0.5574618105</v>
      </c>
      <c r="M44" s="25">
        <f t="shared" ref="M44:M49" si="35">H44+F44+E44</f>
        <v>43141461</v>
      </c>
      <c r="N44" s="11">
        <f t="shared" ref="N44:N49" si="36">M44/G44</f>
        <v>0.9986683484</v>
      </c>
    </row>
    <row r="45">
      <c r="A45" s="78" t="s">
        <v>158</v>
      </c>
      <c r="B45" s="23">
        <v>2.2379395E7</v>
      </c>
      <c r="C45" s="11">
        <f>817909-15082</f>
        <v>802827</v>
      </c>
      <c r="D45" s="23">
        <v>25647.0</v>
      </c>
      <c r="E45" s="23">
        <v>2349230.0</v>
      </c>
      <c r="F45" s="25">
        <f t="shared" si="29"/>
        <v>23182222</v>
      </c>
      <c r="G45" s="23">
        <v>3.1761444E7</v>
      </c>
      <c r="H45" s="25">
        <f t="shared" si="30"/>
        <v>6204345</v>
      </c>
      <c r="I45" s="11">
        <f t="shared" si="31"/>
        <v>13.50902083</v>
      </c>
      <c r="J45" s="11">
        <f t="shared" si="32"/>
        <v>0.9079868235</v>
      </c>
      <c r="K45" s="11">
        <f t="shared" si="33"/>
        <v>2.641012161</v>
      </c>
      <c r="L45" s="11">
        <f t="shared" si="34"/>
        <v>9.868008667</v>
      </c>
      <c r="M45" s="25">
        <f t="shared" si="35"/>
        <v>31735797</v>
      </c>
      <c r="N45" s="11">
        <f t="shared" si="36"/>
        <v>0.9991925115</v>
      </c>
    </row>
    <row r="46">
      <c r="A46" s="78" t="s">
        <v>159</v>
      </c>
      <c r="B46" s="23">
        <v>3.9824087E7</v>
      </c>
      <c r="C46" s="11">
        <f>998154+273663</f>
        <v>1271817</v>
      </c>
      <c r="D46" s="23">
        <v>13089.0</v>
      </c>
      <c r="E46" s="23">
        <v>5489775.0</v>
      </c>
      <c r="F46" s="25">
        <f t="shared" si="29"/>
        <v>41095904</v>
      </c>
      <c r="G46" s="23">
        <v>5.1589551E7</v>
      </c>
      <c r="H46" s="25">
        <f t="shared" si="30"/>
        <v>4990783</v>
      </c>
      <c r="I46" s="11">
        <f t="shared" si="31"/>
        <v>9.395004713</v>
      </c>
      <c r="J46" s="11">
        <f t="shared" si="32"/>
        <v>0.8821574544</v>
      </c>
      <c r="K46" s="11">
        <f t="shared" si="33"/>
        <v>0.9091052001</v>
      </c>
      <c r="L46" s="11">
        <f t="shared" si="34"/>
        <v>7.485899513</v>
      </c>
      <c r="M46" s="25">
        <f t="shared" si="35"/>
        <v>51576462</v>
      </c>
      <c r="N46" s="11">
        <f t="shared" si="36"/>
        <v>0.9997462858</v>
      </c>
    </row>
    <row r="47">
      <c r="A47" s="78" t="s">
        <v>77</v>
      </c>
      <c r="B47" s="23">
        <v>8.70000796E8</v>
      </c>
      <c r="C47" s="11">
        <f>41483020-1623003</f>
        <v>39860017</v>
      </c>
      <c r="D47" s="23">
        <v>7333652.0</v>
      </c>
      <c r="E47" s="23">
        <v>1.66800706E8</v>
      </c>
      <c r="F47" s="25">
        <f t="shared" si="29"/>
        <v>909860813</v>
      </c>
      <c r="G47" s="23">
        <v>1.350232797E9</v>
      </c>
      <c r="H47" s="25">
        <f t="shared" si="30"/>
        <v>266237626</v>
      </c>
      <c r="I47" s="11">
        <f t="shared" si="31"/>
        <v>8.05092003</v>
      </c>
      <c r="J47" s="11">
        <f t="shared" si="32"/>
        <v>0.8450760029</v>
      </c>
      <c r="K47" s="11">
        <f t="shared" si="33"/>
        <v>1.596142081</v>
      </c>
      <c r="L47" s="11">
        <f t="shared" si="34"/>
        <v>5.454777949</v>
      </c>
      <c r="M47" s="25">
        <f t="shared" si="35"/>
        <v>1342899145</v>
      </c>
      <c r="N47" s="11">
        <f t="shared" si="36"/>
        <v>0.9945686018</v>
      </c>
    </row>
    <row r="48">
      <c r="A48" s="64" t="s">
        <v>160</v>
      </c>
      <c r="B48" s="23">
        <v>2.75234881E8</v>
      </c>
      <c r="C48" s="11">
        <f>16667449+2739016</f>
        <v>19406465</v>
      </c>
      <c r="D48" s="23">
        <v>3616948.0</v>
      </c>
      <c r="E48" s="23">
        <v>1.17007404E8</v>
      </c>
      <c r="F48" s="25">
        <f t="shared" si="29"/>
        <v>294641346</v>
      </c>
      <c r="G48" s="23">
        <v>5.16341962E8</v>
      </c>
      <c r="H48" s="25">
        <f t="shared" si="30"/>
        <v>101076264</v>
      </c>
      <c r="I48" s="11">
        <f t="shared" si="31"/>
        <v>4.381987776</v>
      </c>
      <c r="J48" s="11">
        <f t="shared" si="32"/>
        <v>0.7157591175</v>
      </c>
      <c r="K48" s="11">
        <f t="shared" si="33"/>
        <v>0.8638450264</v>
      </c>
      <c r="L48" s="11">
        <f t="shared" si="34"/>
        <v>2.518142749</v>
      </c>
      <c r="M48" s="25">
        <f t="shared" si="35"/>
        <v>512725014</v>
      </c>
      <c r="N48" s="11">
        <f t="shared" si="36"/>
        <v>0.9929950532</v>
      </c>
    </row>
    <row r="49">
      <c r="A49" s="4" t="s">
        <v>161</v>
      </c>
      <c r="B49" s="25">
        <f t="shared" ref="B49:G49" si="37">SUM(B44:B48)</f>
        <v>1213902255</v>
      </c>
      <c r="C49" s="11">
        <f t="shared" si="37"/>
        <v>63295312</v>
      </c>
      <c r="D49" s="25">
        <f t="shared" si="37"/>
        <v>11046862</v>
      </c>
      <c r="E49" s="25">
        <f t="shared" si="37"/>
        <v>306746413</v>
      </c>
      <c r="F49" s="25">
        <f t="shared" si="37"/>
        <v>1277197567</v>
      </c>
      <c r="G49" s="25">
        <f t="shared" si="37"/>
        <v>1993124741</v>
      </c>
      <c r="H49" s="25">
        <f t="shared" si="30"/>
        <v>398133899</v>
      </c>
      <c r="I49" s="11">
        <f t="shared" si="31"/>
        <v>6.461617137</v>
      </c>
      <c r="J49" s="11">
        <f t="shared" si="32"/>
        <v>0.8063401125</v>
      </c>
      <c r="K49" s="11">
        <f t="shared" si="33"/>
        <v>1.297925199</v>
      </c>
      <c r="L49" s="11">
        <f t="shared" si="34"/>
        <v>4.163691939</v>
      </c>
      <c r="M49" s="25">
        <f t="shared" si="35"/>
        <v>1982077879</v>
      </c>
      <c r="N49" s="11">
        <f t="shared" si="36"/>
        <v>0.994457516</v>
      </c>
    </row>
    <row r="52">
      <c r="B52" s="4">
        <v>2009.0</v>
      </c>
    </row>
    <row r="53">
      <c r="B53" s="39" t="s">
        <v>42</v>
      </c>
      <c r="C53" s="39" t="s">
        <v>43</v>
      </c>
      <c r="D53" s="39" t="s">
        <v>44</v>
      </c>
      <c r="E53" s="39" t="s">
        <v>45</v>
      </c>
      <c r="F53" s="39" t="s">
        <v>46</v>
      </c>
      <c r="G53" s="49" t="s">
        <v>120</v>
      </c>
      <c r="H53" s="39" t="s">
        <v>37</v>
      </c>
      <c r="I53" s="49" t="s">
        <v>121</v>
      </c>
      <c r="J53" s="39" t="s">
        <v>36</v>
      </c>
      <c r="K53" s="39" t="s">
        <v>38</v>
      </c>
      <c r="L53" s="39" t="s">
        <v>49</v>
      </c>
      <c r="M53" s="49" t="s">
        <v>122</v>
      </c>
      <c r="N53" s="39" t="s">
        <v>51</v>
      </c>
    </row>
    <row r="54">
      <c r="A54" s="78" t="s">
        <v>157</v>
      </c>
      <c r="B54" s="23">
        <v>6284474.0</v>
      </c>
      <c r="C54" s="11">
        <f>2054841+58424</f>
        <v>2113265</v>
      </c>
      <c r="D54" s="23">
        <v>36429.0</v>
      </c>
      <c r="E54" s="23">
        <v>1.6139941E7</v>
      </c>
      <c r="F54" s="25">
        <f t="shared" ref="F54:F58" si="38">B54+C54+D54</f>
        <v>8434168</v>
      </c>
      <c r="G54" s="23">
        <v>4.3087558E7</v>
      </c>
      <c r="H54" s="25">
        <f t="shared" ref="H54:H59" si="39">G54-F54-E54-D54</f>
        <v>18477020</v>
      </c>
      <c r="I54" s="11">
        <f t="shared" ref="I54:I59" si="40">1+L54+K54</f>
        <v>2.667365946</v>
      </c>
      <c r="J54" s="11">
        <f t="shared" ref="J54:J59" si="41">H54/(E54+F54)</f>
        <v>0.7518897226</v>
      </c>
      <c r="K54" s="11">
        <f t="shared" ref="K54:K59" si="42">H54/E54</f>
        <v>1.144800963</v>
      </c>
      <c r="L54" s="11">
        <f t="shared" ref="L54:L59" si="43">F54/E54</f>
        <v>0.5225649834</v>
      </c>
      <c r="M54" s="25">
        <f t="shared" ref="M54:M59" si="44">H54+F54+E54</f>
        <v>43051129</v>
      </c>
      <c r="N54" s="11">
        <f t="shared" ref="N54:N59" si="45">M54/G54</f>
        <v>0.9991545355</v>
      </c>
    </row>
    <row r="55">
      <c r="A55" s="78" t="s">
        <v>158</v>
      </c>
      <c r="B55" s="23">
        <v>2.2325039E7</v>
      </c>
      <c r="C55" s="11">
        <f>877842-25752</f>
        <v>852090</v>
      </c>
      <c r="D55" s="23">
        <v>22109.0</v>
      </c>
      <c r="E55" s="23">
        <v>2547510.0</v>
      </c>
      <c r="F55" s="25">
        <f t="shared" si="38"/>
        <v>23199238</v>
      </c>
      <c r="G55" s="23">
        <v>3.2669509E7</v>
      </c>
      <c r="H55" s="25">
        <f t="shared" si="39"/>
        <v>6900652</v>
      </c>
      <c r="I55" s="11">
        <f t="shared" si="40"/>
        <v>12.81541584</v>
      </c>
      <c r="J55" s="11">
        <f t="shared" si="41"/>
        <v>0.2680203341</v>
      </c>
      <c r="K55" s="11">
        <f t="shared" si="42"/>
        <v>2.708783086</v>
      </c>
      <c r="L55" s="11">
        <f t="shared" si="43"/>
        <v>9.106632751</v>
      </c>
      <c r="M55" s="25">
        <f t="shared" si="44"/>
        <v>32647400</v>
      </c>
      <c r="N55" s="11">
        <f t="shared" si="45"/>
        <v>0.9993232528</v>
      </c>
    </row>
    <row r="56">
      <c r="A56" s="78" t="s">
        <v>159</v>
      </c>
      <c r="B56" s="23">
        <v>3.6414994E7</v>
      </c>
      <c r="C56" s="11">
        <f>982700+51501</f>
        <v>1034201</v>
      </c>
      <c r="D56" s="23">
        <v>27079.0</v>
      </c>
      <c r="E56" s="23">
        <v>5244627.0</v>
      </c>
      <c r="F56" s="25">
        <f t="shared" si="38"/>
        <v>37476274</v>
      </c>
      <c r="G56" s="23">
        <v>4.7803764E7</v>
      </c>
      <c r="H56" s="25">
        <f t="shared" si="39"/>
        <v>5055784</v>
      </c>
      <c r="I56" s="11">
        <f t="shared" si="40"/>
        <v>9.109644022</v>
      </c>
      <c r="J56" s="11">
        <f t="shared" si="41"/>
        <v>0.1183445078</v>
      </c>
      <c r="K56" s="11">
        <f t="shared" si="42"/>
        <v>0.9639930542</v>
      </c>
      <c r="L56" s="11">
        <f t="shared" si="43"/>
        <v>7.145650968</v>
      </c>
      <c r="M56" s="25">
        <f t="shared" si="44"/>
        <v>47776685</v>
      </c>
      <c r="N56" s="11">
        <f t="shared" si="45"/>
        <v>0.9994335383</v>
      </c>
    </row>
    <row r="57">
      <c r="A57" s="78" t="s">
        <v>77</v>
      </c>
      <c r="B57" s="23">
        <v>6.99421662E8</v>
      </c>
      <c r="C57" s="11">
        <f>41589073+159934</f>
        <v>41749007</v>
      </c>
      <c r="D57" s="23">
        <v>8065931.0</v>
      </c>
      <c r="E57" s="23">
        <v>1.55796032E8</v>
      </c>
      <c r="F57" s="25">
        <f t="shared" si="38"/>
        <v>749236600</v>
      </c>
      <c r="G57" s="23">
        <v>1.144944219E9</v>
      </c>
      <c r="H57" s="25">
        <f t="shared" si="39"/>
        <v>231845656</v>
      </c>
      <c r="I57" s="11">
        <f t="shared" si="40"/>
        <v>7.297222358</v>
      </c>
      <c r="J57" s="11">
        <f t="shared" si="41"/>
        <v>0.2561738083</v>
      </c>
      <c r="K57" s="11">
        <f t="shared" si="42"/>
        <v>1.488135821</v>
      </c>
      <c r="L57" s="11">
        <f t="shared" si="43"/>
        <v>4.809086537</v>
      </c>
      <c r="M57" s="25">
        <f t="shared" si="44"/>
        <v>1136878288</v>
      </c>
      <c r="N57" s="11">
        <f t="shared" si="45"/>
        <v>0.9929551756</v>
      </c>
    </row>
    <row r="58">
      <c r="A58" s="64" t="s">
        <v>160</v>
      </c>
      <c r="B58" s="23">
        <v>2.09820787E8</v>
      </c>
      <c r="C58" s="11">
        <f>16331265+867198</f>
        <v>17198463</v>
      </c>
      <c r="D58" s="23">
        <v>2046555.0</v>
      </c>
      <c r="E58" s="23">
        <v>1.04617934E8</v>
      </c>
      <c r="F58" s="25">
        <f t="shared" si="38"/>
        <v>229065805</v>
      </c>
      <c r="G58" s="23">
        <v>4.17325433E8</v>
      </c>
      <c r="H58" s="25">
        <f t="shared" si="39"/>
        <v>81595139</v>
      </c>
      <c r="I58" s="11">
        <f t="shared" si="40"/>
        <v>3.969480778</v>
      </c>
      <c r="J58" s="11">
        <f t="shared" si="41"/>
        <v>0.2445283646</v>
      </c>
      <c r="K58" s="11">
        <f t="shared" si="42"/>
        <v>0.7799345282</v>
      </c>
      <c r="L58" s="11">
        <f t="shared" si="43"/>
        <v>2.189546249</v>
      </c>
      <c r="M58" s="25">
        <f t="shared" si="44"/>
        <v>415278878</v>
      </c>
      <c r="N58" s="11">
        <f t="shared" si="45"/>
        <v>0.9950960214</v>
      </c>
    </row>
    <row r="59">
      <c r="A59" s="4" t="s">
        <v>161</v>
      </c>
      <c r="B59" s="25">
        <f t="shared" ref="B59:G59" si="46">SUM(B54:B58)</f>
        <v>974266956</v>
      </c>
      <c r="C59" s="11">
        <f t="shared" si="46"/>
        <v>62947026</v>
      </c>
      <c r="D59" s="25">
        <f t="shared" si="46"/>
        <v>10198103</v>
      </c>
      <c r="E59" s="25">
        <f t="shared" si="46"/>
        <v>284346044</v>
      </c>
      <c r="F59" s="25">
        <f t="shared" si="46"/>
        <v>1047412085</v>
      </c>
      <c r="G59" s="25">
        <f t="shared" si="46"/>
        <v>1685830483</v>
      </c>
      <c r="H59" s="25">
        <f t="shared" si="39"/>
        <v>343874251</v>
      </c>
      <c r="I59" s="11">
        <f t="shared" si="40"/>
        <v>5.892933682</v>
      </c>
      <c r="J59" s="11">
        <f t="shared" si="41"/>
        <v>0.2582107393</v>
      </c>
      <c r="K59" s="11">
        <f t="shared" si="42"/>
        <v>1.209351276</v>
      </c>
      <c r="L59" s="11">
        <f t="shared" si="43"/>
        <v>3.683582406</v>
      </c>
      <c r="M59" s="25">
        <f t="shared" si="44"/>
        <v>1675632380</v>
      </c>
      <c r="N59" s="11">
        <f t="shared" si="45"/>
        <v>0.9939506949</v>
      </c>
    </row>
    <row r="60">
      <c r="A60" s="4">
        <v>2010.0</v>
      </c>
    </row>
    <row r="61">
      <c r="B61" s="39" t="s">
        <v>42</v>
      </c>
      <c r="C61" s="39" t="s">
        <v>43</v>
      </c>
      <c r="D61" s="39" t="s">
        <v>44</v>
      </c>
      <c r="E61" s="39" t="s">
        <v>45</v>
      </c>
      <c r="F61" s="39" t="s">
        <v>46</v>
      </c>
      <c r="G61" s="49" t="s">
        <v>120</v>
      </c>
      <c r="H61" s="39" t="s">
        <v>37</v>
      </c>
      <c r="I61" s="49" t="s">
        <v>121</v>
      </c>
      <c r="J61" s="39" t="s">
        <v>36</v>
      </c>
      <c r="K61" s="39" t="s">
        <v>38</v>
      </c>
      <c r="L61" s="39" t="s">
        <v>49</v>
      </c>
      <c r="M61" s="49" t="s">
        <v>122</v>
      </c>
      <c r="N61" s="39" t="s">
        <v>51</v>
      </c>
    </row>
    <row r="62">
      <c r="A62" s="78" t="s">
        <v>157</v>
      </c>
      <c r="B62" s="23">
        <v>5839620.0</v>
      </c>
      <c r="C62" s="11">
        <f>2166663-262047</f>
        <v>1904616</v>
      </c>
      <c r="D62" s="23">
        <v>3868.0</v>
      </c>
      <c r="E62" s="23">
        <v>1.6316908E7</v>
      </c>
      <c r="F62" s="25">
        <f t="shared" ref="F62:F66" si="47">B62+C62</f>
        <v>7744236</v>
      </c>
      <c r="G62" s="23">
        <v>4.3241359E7</v>
      </c>
      <c r="H62" s="25">
        <f t="shared" ref="H62:H67" si="48">G62-F62-E62-D62</f>
        <v>19176347</v>
      </c>
      <c r="I62" s="11">
        <f t="shared" ref="I62:I67" si="49">1+K62+L62</f>
        <v>2.64985811</v>
      </c>
      <c r="J62" s="11">
        <f t="shared" ref="J62:J67" si="50">H62/(E62+F62)</f>
        <v>0.7969840087</v>
      </c>
      <c r="K62" s="11">
        <f t="shared" ref="K62:K67" si="51">H62/E62</f>
        <v>1.175243925</v>
      </c>
      <c r="L62" s="11">
        <f t="shared" ref="L62:L67" si="52">F62/E62</f>
        <v>0.4746141855</v>
      </c>
      <c r="M62" s="25">
        <f t="shared" ref="M62:M67" si="53">H62+F62+E62</f>
        <v>43237491</v>
      </c>
      <c r="N62" s="11">
        <f t="shared" ref="N62:N67" si="54">M62/G62</f>
        <v>0.9999105486</v>
      </c>
    </row>
    <row r="63">
      <c r="A63" s="78" t="s">
        <v>158</v>
      </c>
      <c r="B63" s="23">
        <v>2.0889609E7</v>
      </c>
      <c r="C63" s="11">
        <f>906285+121693</f>
        <v>1027978</v>
      </c>
      <c r="D63" s="23">
        <v>30490.0</v>
      </c>
      <c r="E63" s="23">
        <v>2480882.0</v>
      </c>
      <c r="F63" s="25">
        <f t="shared" si="47"/>
        <v>21917587</v>
      </c>
      <c r="G63" s="23">
        <v>3.0930676E7</v>
      </c>
      <c r="H63" s="25">
        <f t="shared" si="48"/>
        <v>6501717</v>
      </c>
      <c r="I63" s="11">
        <f t="shared" si="49"/>
        <v>12.45532274</v>
      </c>
      <c r="J63" s="11">
        <f t="shared" si="50"/>
        <v>0.266480532</v>
      </c>
      <c r="K63" s="11">
        <f t="shared" si="51"/>
        <v>2.620728031</v>
      </c>
      <c r="L63" s="11">
        <f t="shared" si="52"/>
        <v>8.834594713</v>
      </c>
      <c r="M63" s="25">
        <f t="shared" si="53"/>
        <v>30900186</v>
      </c>
      <c r="N63" s="11">
        <f t="shared" si="54"/>
        <v>0.9990142472</v>
      </c>
    </row>
    <row r="64">
      <c r="A64" s="78" t="s">
        <v>159</v>
      </c>
      <c r="B64" s="23">
        <v>3.7414091E7</v>
      </c>
      <c r="C64" s="11">
        <f>955379+126300</f>
        <v>1081679</v>
      </c>
      <c r="D64" s="23">
        <v>39593.0</v>
      </c>
      <c r="E64" s="23">
        <v>5266813.0</v>
      </c>
      <c r="F64" s="25">
        <f t="shared" si="47"/>
        <v>38495770</v>
      </c>
      <c r="G64" s="23">
        <v>4.887102E7</v>
      </c>
      <c r="H64" s="25">
        <f t="shared" si="48"/>
        <v>5068844</v>
      </c>
      <c r="I64" s="11">
        <f t="shared" si="49"/>
        <v>9.271532329</v>
      </c>
      <c r="J64" s="11">
        <f t="shared" si="50"/>
        <v>0.1158259786</v>
      </c>
      <c r="K64" s="11">
        <f t="shared" si="51"/>
        <v>0.9624119937</v>
      </c>
      <c r="L64" s="11">
        <f t="shared" si="52"/>
        <v>7.309120335</v>
      </c>
      <c r="M64" s="25">
        <f t="shared" si="53"/>
        <v>48831427</v>
      </c>
      <c r="N64" s="11">
        <f t="shared" si="54"/>
        <v>0.9991898471</v>
      </c>
    </row>
    <row r="65">
      <c r="A65" s="78" t="s">
        <v>77</v>
      </c>
      <c r="B65" s="23">
        <v>7.29851228E8</v>
      </c>
      <c r="C65" s="11">
        <f>41494838-5231807</f>
        <v>36263031</v>
      </c>
      <c r="D65" s="23">
        <v>9661386.0</v>
      </c>
      <c r="E65" s="23">
        <v>1.51760568E8</v>
      </c>
      <c r="F65" s="25">
        <f t="shared" si="47"/>
        <v>766114259</v>
      </c>
      <c r="G65" s="23">
        <v>1.174450421E9</v>
      </c>
      <c r="H65" s="25">
        <f t="shared" si="48"/>
        <v>246914208</v>
      </c>
      <c r="I65" s="11">
        <f t="shared" si="49"/>
        <v>7.675175774</v>
      </c>
      <c r="J65" s="11">
        <f t="shared" si="50"/>
        <v>0.2690064056</v>
      </c>
      <c r="K65" s="11">
        <f t="shared" si="51"/>
        <v>1.626998444</v>
      </c>
      <c r="L65" s="11">
        <f t="shared" si="52"/>
        <v>5.04817733</v>
      </c>
      <c r="M65" s="25">
        <f t="shared" si="53"/>
        <v>1164789035</v>
      </c>
      <c r="N65" s="11">
        <f t="shared" si="54"/>
        <v>0.9917736962</v>
      </c>
    </row>
    <row r="66">
      <c r="A66" s="64" t="s">
        <v>160</v>
      </c>
      <c r="B66" s="23">
        <v>2.0528643E8</v>
      </c>
      <c r="C66" s="11">
        <f>15662725+849228</f>
        <v>16511953</v>
      </c>
      <c r="D66" s="23">
        <v>1969446.0</v>
      </c>
      <c r="E66" s="23">
        <v>9.9485707E7</v>
      </c>
      <c r="F66" s="25">
        <f t="shared" si="47"/>
        <v>221798383</v>
      </c>
      <c r="G66" s="23">
        <v>4.02711265E8</v>
      </c>
      <c r="H66" s="25">
        <f t="shared" si="48"/>
        <v>79457729</v>
      </c>
      <c r="I66" s="11">
        <f t="shared" si="49"/>
        <v>4.028134604</v>
      </c>
      <c r="J66" s="11">
        <f t="shared" si="50"/>
        <v>0.2473129902</v>
      </c>
      <c r="K66" s="11">
        <f t="shared" si="51"/>
        <v>0.7986848704</v>
      </c>
      <c r="L66" s="11">
        <f t="shared" si="52"/>
        <v>2.229449734</v>
      </c>
      <c r="M66" s="25">
        <f t="shared" si="53"/>
        <v>400741819</v>
      </c>
      <c r="N66" s="11">
        <f t="shared" si="54"/>
        <v>0.9951095334</v>
      </c>
    </row>
    <row r="67">
      <c r="A67" s="4" t="s">
        <v>161</v>
      </c>
      <c r="B67" s="25">
        <f t="shared" ref="B67:G67" si="55">SUM(B62:B66)</f>
        <v>999280978</v>
      </c>
      <c r="C67" s="11">
        <f t="shared" si="55"/>
        <v>56789257</v>
      </c>
      <c r="D67" s="25">
        <f t="shared" si="55"/>
        <v>11704783</v>
      </c>
      <c r="E67" s="25">
        <f t="shared" si="55"/>
        <v>275310878</v>
      </c>
      <c r="F67" s="25">
        <f t="shared" si="55"/>
        <v>1056070235</v>
      </c>
      <c r="G67" s="25">
        <f t="shared" si="55"/>
        <v>1700204741</v>
      </c>
      <c r="H67" s="25">
        <f t="shared" si="48"/>
        <v>357118845</v>
      </c>
      <c r="I67" s="11">
        <f t="shared" si="49"/>
        <v>6.133066627</v>
      </c>
      <c r="J67" s="11">
        <f t="shared" si="50"/>
        <v>0.2682318695</v>
      </c>
      <c r="K67" s="11">
        <f t="shared" si="51"/>
        <v>1.297147601</v>
      </c>
      <c r="L67" s="11">
        <f t="shared" si="52"/>
        <v>3.835919026</v>
      </c>
      <c r="M67" s="25">
        <f t="shared" si="53"/>
        <v>1688499958</v>
      </c>
      <c r="N67" s="11">
        <f t="shared" si="54"/>
        <v>0.9931156627</v>
      </c>
    </row>
    <row r="69">
      <c r="A69" s="4">
        <v>2011.0</v>
      </c>
    </row>
    <row r="70">
      <c r="B70" s="39" t="s">
        <v>42</v>
      </c>
      <c r="C70" s="39" t="s">
        <v>43</v>
      </c>
      <c r="D70" s="39" t="s">
        <v>44</v>
      </c>
      <c r="E70" s="39" t="s">
        <v>45</v>
      </c>
      <c r="F70" s="39" t="s">
        <v>46</v>
      </c>
      <c r="G70" s="49" t="s">
        <v>120</v>
      </c>
      <c r="H70" s="39" t="s">
        <v>37</v>
      </c>
      <c r="I70" s="49" t="s">
        <v>121</v>
      </c>
      <c r="J70" s="39" t="s">
        <v>36</v>
      </c>
      <c r="K70" s="39" t="s">
        <v>38</v>
      </c>
      <c r="L70" s="39" t="s">
        <v>49</v>
      </c>
      <c r="M70" s="49" t="s">
        <v>122</v>
      </c>
      <c r="N70" s="39" t="s">
        <v>51</v>
      </c>
    </row>
    <row r="71">
      <c r="A71" s="78" t="s">
        <v>157</v>
      </c>
      <c r="B71" s="23">
        <v>5890457.0</v>
      </c>
      <c r="C71" s="11">
        <f>2322663+2028</f>
        <v>2324691</v>
      </c>
      <c r="D71" s="23">
        <v>35573.0</v>
      </c>
      <c r="E71" s="23">
        <v>1.6591574E7</v>
      </c>
      <c r="F71" s="25">
        <f t="shared" ref="F71:F75" si="56">B71+C71</f>
        <v>8215148</v>
      </c>
      <c r="G71" s="23">
        <v>4.2918183E7</v>
      </c>
      <c r="H71" s="25">
        <f t="shared" ref="H71:H76" si="57">G71-F71-E71-D71</f>
        <v>18075888</v>
      </c>
      <c r="I71" s="11">
        <f t="shared" ref="I71:I76" si="58">1+K71+L71</f>
        <v>2.584601678</v>
      </c>
      <c r="J71" s="11">
        <f t="shared" ref="J71:J76" si="59">H71/(F71+E71)</f>
        <v>0.7286689471</v>
      </c>
      <c r="K71" s="11">
        <f t="shared" ref="K71:K76" si="60">H71/E71</f>
        <v>1.089461916</v>
      </c>
      <c r="L71" s="11">
        <f t="shared" ref="L71:L76" si="61">F71/E71</f>
        <v>0.4951397619</v>
      </c>
      <c r="M71" s="25">
        <f t="shared" ref="M71:M76" si="62">H71+F71+E71</f>
        <v>42882610</v>
      </c>
      <c r="N71" s="11">
        <f t="shared" ref="N71:N76" si="63">M71/G71</f>
        <v>0.9991711438</v>
      </c>
    </row>
    <row r="72">
      <c r="A72" s="78" t="s">
        <v>158</v>
      </c>
      <c r="B72" s="23">
        <v>1.7377331E7</v>
      </c>
      <c r="C72" s="11">
        <f>821044+15016</f>
        <v>836060</v>
      </c>
      <c r="D72" s="23">
        <v>42315.0</v>
      </c>
      <c r="E72" s="23">
        <v>2672777.0</v>
      </c>
      <c r="F72" s="25">
        <f t="shared" si="56"/>
        <v>18213391</v>
      </c>
      <c r="G72" s="23">
        <v>2.7319934E7</v>
      </c>
      <c r="H72" s="25">
        <f t="shared" si="57"/>
        <v>6391451</v>
      </c>
      <c r="I72" s="11">
        <f t="shared" si="58"/>
        <v>10.20572199</v>
      </c>
      <c r="J72" s="11">
        <f t="shared" si="59"/>
        <v>0.306013578</v>
      </c>
      <c r="K72" s="11">
        <f t="shared" si="60"/>
        <v>2.391314726</v>
      </c>
      <c r="L72" s="11">
        <f t="shared" si="61"/>
        <v>6.814407263</v>
      </c>
      <c r="M72" s="25">
        <f t="shared" si="62"/>
        <v>27277619</v>
      </c>
      <c r="N72" s="11">
        <f t="shared" si="63"/>
        <v>0.998451131</v>
      </c>
    </row>
    <row r="73">
      <c r="A73" s="78" t="s">
        <v>159</v>
      </c>
      <c r="B73" s="23">
        <v>3.8705059E7</v>
      </c>
      <c r="C73" s="11">
        <f>928185+63876</f>
        <v>992061</v>
      </c>
      <c r="D73" s="23">
        <v>34243.0</v>
      </c>
      <c r="E73" s="23">
        <v>5273179.0</v>
      </c>
      <c r="F73" s="25">
        <f t="shared" si="56"/>
        <v>39697120</v>
      </c>
      <c r="G73" s="23">
        <v>4.962036E7</v>
      </c>
      <c r="H73" s="25">
        <f t="shared" si="57"/>
        <v>4615818</v>
      </c>
      <c r="I73" s="11">
        <f t="shared" si="58"/>
        <v>9.403457952</v>
      </c>
      <c r="J73" s="11">
        <f t="shared" si="59"/>
        <v>0.102641479</v>
      </c>
      <c r="K73" s="11">
        <f t="shared" si="60"/>
        <v>0.8753387662</v>
      </c>
      <c r="L73" s="11">
        <f t="shared" si="61"/>
        <v>7.528119186</v>
      </c>
      <c r="M73" s="25">
        <f t="shared" si="62"/>
        <v>49586117</v>
      </c>
      <c r="N73" s="11">
        <f t="shared" si="63"/>
        <v>0.9993099002</v>
      </c>
    </row>
    <row r="74">
      <c r="A74" s="78" t="s">
        <v>77</v>
      </c>
      <c r="B74" s="23">
        <v>7.60054447E8</v>
      </c>
      <c r="C74" s="11">
        <f>41393964 - 3359213</f>
        <v>38034751</v>
      </c>
      <c r="D74" s="23">
        <v>8779100.0</v>
      </c>
      <c r="E74" s="23">
        <v>1.54005979E8</v>
      </c>
      <c r="F74" s="25">
        <f t="shared" si="56"/>
        <v>798089198</v>
      </c>
      <c r="G74" s="23">
        <v>1.198207641E9</v>
      </c>
      <c r="H74" s="25">
        <f t="shared" si="57"/>
        <v>237333364</v>
      </c>
      <c r="I74" s="11">
        <f t="shared" si="58"/>
        <v>7.723262101</v>
      </c>
      <c r="J74" s="11">
        <f t="shared" si="59"/>
        <v>0.2492748306</v>
      </c>
      <c r="K74" s="11">
        <f t="shared" si="60"/>
        <v>1.541065909</v>
      </c>
      <c r="L74" s="11">
        <f t="shared" si="61"/>
        <v>5.182196193</v>
      </c>
      <c r="M74" s="25">
        <f t="shared" si="62"/>
        <v>1189428541</v>
      </c>
      <c r="N74" s="11">
        <f t="shared" si="63"/>
        <v>0.9926731397</v>
      </c>
    </row>
    <row r="75">
      <c r="A75" s="64" t="s">
        <v>160</v>
      </c>
      <c r="B75" s="23">
        <v>2.06815789E8</v>
      </c>
      <c r="C75" s="11">
        <f>15283515-157084</f>
        <v>15126431</v>
      </c>
      <c r="D75" s="23">
        <v>1205778.0</v>
      </c>
      <c r="E75" s="23">
        <v>9.978437E7</v>
      </c>
      <c r="F75" s="25">
        <f t="shared" si="56"/>
        <v>221942220</v>
      </c>
      <c r="G75" s="23">
        <v>3.99481325E8</v>
      </c>
      <c r="H75" s="25">
        <f t="shared" si="57"/>
        <v>76548957</v>
      </c>
      <c r="I75" s="11">
        <f t="shared" si="58"/>
        <v>3.991362044</v>
      </c>
      <c r="J75" s="11">
        <f t="shared" si="59"/>
        <v>0.2379317078</v>
      </c>
      <c r="K75" s="11">
        <f t="shared" si="60"/>
        <v>0.7671437621</v>
      </c>
      <c r="L75" s="11">
        <f t="shared" si="61"/>
        <v>2.224218282</v>
      </c>
      <c r="M75" s="25">
        <f t="shared" si="62"/>
        <v>398275547</v>
      </c>
      <c r="N75" s="11">
        <f t="shared" si="63"/>
        <v>0.9969816411</v>
      </c>
    </row>
    <row r="76">
      <c r="A76" s="4" t="s">
        <v>161</v>
      </c>
      <c r="B76" s="25">
        <f t="shared" ref="B76:G76" si="64">SUM(B71:B75)</f>
        <v>1028843083</v>
      </c>
      <c r="C76" s="11">
        <f t="shared" si="64"/>
        <v>57313994</v>
      </c>
      <c r="D76" s="25">
        <f t="shared" si="64"/>
        <v>10097009</v>
      </c>
      <c r="E76" s="25">
        <f t="shared" si="64"/>
        <v>278327879</v>
      </c>
      <c r="F76" s="25">
        <f t="shared" si="64"/>
        <v>1086157077</v>
      </c>
      <c r="G76" s="25">
        <f t="shared" si="64"/>
        <v>1717547443</v>
      </c>
      <c r="H76" s="25">
        <f t="shared" si="57"/>
        <v>342965478</v>
      </c>
      <c r="I76" s="11">
        <f t="shared" si="58"/>
        <v>6.134672675</v>
      </c>
      <c r="J76" s="11">
        <f t="shared" si="59"/>
        <v>0.2513516008</v>
      </c>
      <c r="K76" s="11">
        <f t="shared" si="60"/>
        <v>1.232235446</v>
      </c>
      <c r="L76" s="11">
        <f t="shared" si="61"/>
        <v>3.902437229</v>
      </c>
      <c r="M76" s="25">
        <f t="shared" si="62"/>
        <v>1707450434</v>
      </c>
      <c r="N76" s="11">
        <f t="shared" si="63"/>
        <v>0.9941212634</v>
      </c>
    </row>
    <row r="79">
      <c r="A79" s="4">
        <v>2012.0</v>
      </c>
    </row>
    <row r="80">
      <c r="B80" s="39" t="s">
        <v>42</v>
      </c>
      <c r="C80" s="39" t="s">
        <v>43</v>
      </c>
      <c r="D80" s="39" t="s">
        <v>44</v>
      </c>
      <c r="E80" s="39" t="s">
        <v>45</v>
      </c>
      <c r="F80" s="39" t="s">
        <v>46</v>
      </c>
      <c r="G80" s="49" t="s">
        <v>120</v>
      </c>
      <c r="H80" s="39" t="s">
        <v>37</v>
      </c>
      <c r="I80" s="49" t="s">
        <v>121</v>
      </c>
      <c r="J80" s="39" t="s">
        <v>36</v>
      </c>
      <c r="K80" s="39" t="s">
        <v>38</v>
      </c>
      <c r="L80" s="39" t="s">
        <v>49</v>
      </c>
      <c r="M80" s="49" t="s">
        <v>122</v>
      </c>
      <c r="N80" s="39" t="s">
        <v>51</v>
      </c>
      <c r="O80" s="39" t="s">
        <v>51</v>
      </c>
    </row>
    <row r="81">
      <c r="A81" s="78" t="s">
        <v>157</v>
      </c>
      <c r="B81" s="23">
        <v>5002663.0</v>
      </c>
      <c r="C81" s="11">
        <f>2343183-2289</f>
        <v>2340894</v>
      </c>
      <c r="D81" s="23">
        <v>50321.0</v>
      </c>
      <c r="E81" s="23">
        <v>1.5988162E7</v>
      </c>
      <c r="F81" s="25">
        <f t="shared" ref="F81:F85" si="65">B81+C81</f>
        <v>7343557</v>
      </c>
      <c r="G81" s="23">
        <v>4.0298516E7</v>
      </c>
      <c r="H81" s="25">
        <f t="shared" ref="H81:H86" si="66">G81-F81-E81-D81</f>
        <v>16916476</v>
      </c>
      <c r="I81" s="11">
        <f t="shared" ref="I81:I86" si="67">1+L81+K81</f>
        <v>2.51737473</v>
      </c>
      <c r="J81" s="11">
        <f t="shared" ref="J81:J86" si="68">H81/(F81+E81)</f>
        <v>0.7250419911</v>
      </c>
      <c r="K81" s="11">
        <f t="shared" ref="K81:K86" si="69">H81/E81</f>
        <v>1.058062584</v>
      </c>
      <c r="L81" s="11">
        <f t="shared" ref="L81:L86" si="70">F81/E81</f>
        <v>0.4593121461</v>
      </c>
      <c r="M81" s="25">
        <f t="shared" ref="M81:M86" si="71">H81+F81+E81</f>
        <v>40248195</v>
      </c>
      <c r="N81" s="11">
        <f t="shared" ref="N81:N86" si="72">M81/G81</f>
        <v>0.998751294</v>
      </c>
      <c r="O81" s="11">
        <f t="shared" ref="O81:O86" si="73">N81/G81</f>
        <v>0.00000002478382316</v>
      </c>
    </row>
    <row r="82">
      <c r="A82" s="78" t="s">
        <v>158</v>
      </c>
      <c r="B82" s="23">
        <v>1.3244867E7</v>
      </c>
      <c r="C82" s="11">
        <f>704028+9258</f>
        <v>713286</v>
      </c>
      <c r="D82" s="23">
        <v>56882.0</v>
      </c>
      <c r="E82" s="23">
        <v>2578279.0</v>
      </c>
      <c r="F82" s="25">
        <f t="shared" si="65"/>
        <v>13958153</v>
      </c>
      <c r="G82" s="23">
        <v>2.258546E7</v>
      </c>
      <c r="H82" s="25">
        <f t="shared" si="66"/>
        <v>5992146</v>
      </c>
      <c r="I82" s="11">
        <f t="shared" si="67"/>
        <v>8.737835587</v>
      </c>
      <c r="J82" s="11">
        <f t="shared" si="68"/>
        <v>0.3623602722</v>
      </c>
      <c r="K82" s="11">
        <f t="shared" si="69"/>
        <v>2.324087502</v>
      </c>
      <c r="L82" s="11">
        <f t="shared" si="70"/>
        <v>5.413748085</v>
      </c>
      <c r="M82" s="25">
        <f t="shared" si="71"/>
        <v>22528578</v>
      </c>
      <c r="N82" s="11">
        <f t="shared" si="72"/>
        <v>0.997481477</v>
      </c>
      <c r="O82" s="11">
        <f t="shared" si="73"/>
        <v>0.00000004416476251</v>
      </c>
    </row>
    <row r="83">
      <c r="A83" s="78" t="s">
        <v>159</v>
      </c>
      <c r="B83" s="23">
        <v>3.8944496E7</v>
      </c>
      <c r="C83" s="11">
        <f>897637-59762</f>
        <v>837875</v>
      </c>
      <c r="D83" s="23">
        <v>38583.0</v>
      </c>
      <c r="E83" s="23">
        <v>5159089.0</v>
      </c>
      <c r="F83" s="25">
        <f t="shared" si="65"/>
        <v>39782371</v>
      </c>
      <c r="G83" s="23">
        <v>4.9750478E7</v>
      </c>
      <c r="H83" s="25">
        <f t="shared" si="66"/>
        <v>4770435</v>
      </c>
      <c r="I83" s="11">
        <f t="shared" si="67"/>
        <v>9.635789381</v>
      </c>
      <c r="J83" s="11">
        <f t="shared" si="68"/>
        <v>0.1061477531</v>
      </c>
      <c r="K83" s="11">
        <f t="shared" si="69"/>
        <v>0.9246661571</v>
      </c>
      <c r="L83" s="11">
        <f t="shared" si="70"/>
        <v>7.711123223</v>
      </c>
      <c r="M83" s="25">
        <f t="shared" si="71"/>
        <v>49711895</v>
      </c>
      <c r="N83" s="11">
        <f t="shared" si="72"/>
        <v>0.9992244698</v>
      </c>
      <c r="O83" s="11">
        <f t="shared" si="73"/>
        <v>0.00000002008472099</v>
      </c>
    </row>
    <row r="84">
      <c r="A84" s="78" t="s">
        <v>77</v>
      </c>
      <c r="B84" s="23">
        <v>7.53179624E8</v>
      </c>
      <c r="C84" s="11">
        <f>40619293-12584197</f>
        <v>28035096</v>
      </c>
      <c r="D84" s="23">
        <v>5073540.0</v>
      </c>
      <c r="E84" s="23">
        <v>1.47141912E8</v>
      </c>
      <c r="F84" s="25">
        <f t="shared" si="65"/>
        <v>781214720</v>
      </c>
      <c r="G84" s="23">
        <v>1.169917543E9</v>
      </c>
      <c r="H84" s="25">
        <f t="shared" si="66"/>
        <v>236487371</v>
      </c>
      <c r="I84" s="11">
        <f t="shared" si="67"/>
        <v>7.916466404</v>
      </c>
      <c r="J84" s="11">
        <f t="shared" si="68"/>
        <v>0.254737633</v>
      </c>
      <c r="K84" s="11">
        <f t="shared" si="69"/>
        <v>1.607206049</v>
      </c>
      <c r="L84" s="11">
        <f t="shared" si="70"/>
        <v>5.309260355</v>
      </c>
      <c r="M84" s="25">
        <f t="shared" si="71"/>
        <v>1164844003</v>
      </c>
      <c r="N84" s="11">
        <f t="shared" si="72"/>
        <v>0.9956633354</v>
      </c>
      <c r="O84" s="11">
        <f t="shared" si="73"/>
        <v>0.0000000008510542827</v>
      </c>
    </row>
    <row r="85">
      <c r="A85" s="64" t="s">
        <v>160</v>
      </c>
      <c r="B85" s="23">
        <v>1.90886495E8</v>
      </c>
      <c r="C85" s="11">
        <f>14097042-934808</f>
        <v>13162234</v>
      </c>
      <c r="D85" s="23">
        <v>1065343.0</v>
      </c>
      <c r="E85" s="23">
        <v>9.2660395E7</v>
      </c>
      <c r="F85" s="25">
        <f t="shared" si="65"/>
        <v>204048729</v>
      </c>
      <c r="G85" s="23">
        <v>3.68575824E8</v>
      </c>
      <c r="H85" s="25">
        <f t="shared" si="66"/>
        <v>70801357</v>
      </c>
      <c r="I85" s="11">
        <f t="shared" si="67"/>
        <v>3.966208875</v>
      </c>
      <c r="J85" s="11">
        <f t="shared" si="68"/>
        <v>0.2386221092</v>
      </c>
      <c r="K85" s="11">
        <f t="shared" si="69"/>
        <v>0.7640951347</v>
      </c>
      <c r="L85" s="11">
        <f t="shared" si="70"/>
        <v>2.20211374</v>
      </c>
      <c r="M85" s="25">
        <f t="shared" si="71"/>
        <v>367510481</v>
      </c>
      <c r="N85" s="11">
        <f t="shared" si="72"/>
        <v>0.997109569</v>
      </c>
      <c r="O85" s="11">
        <f t="shared" si="73"/>
        <v>0.000000002705303778</v>
      </c>
    </row>
    <row r="86">
      <c r="A86" s="4" t="s">
        <v>161</v>
      </c>
      <c r="B86" s="25">
        <f t="shared" ref="B86:G86" si="74">SUM(B81:B85)</f>
        <v>1001258145</v>
      </c>
      <c r="C86" s="11">
        <f t="shared" si="74"/>
        <v>45089385</v>
      </c>
      <c r="D86" s="25">
        <f t="shared" si="74"/>
        <v>6284669</v>
      </c>
      <c r="E86" s="25">
        <f t="shared" si="74"/>
        <v>263527837</v>
      </c>
      <c r="F86" s="25">
        <f t="shared" si="74"/>
        <v>1046347530</v>
      </c>
      <c r="G86" s="25">
        <f t="shared" si="74"/>
        <v>1651127821</v>
      </c>
      <c r="H86" s="25">
        <f t="shared" si="66"/>
        <v>334967785</v>
      </c>
      <c r="I86" s="11">
        <f t="shared" si="67"/>
        <v>6.241629616</v>
      </c>
      <c r="J86" s="11">
        <f t="shared" si="68"/>
        <v>0.2557249288</v>
      </c>
      <c r="K86" s="11">
        <f t="shared" si="69"/>
        <v>1.271090708</v>
      </c>
      <c r="L86" s="11">
        <f t="shared" si="70"/>
        <v>3.970538907</v>
      </c>
      <c r="M86" s="25">
        <f t="shared" si="71"/>
        <v>1644843152</v>
      </c>
      <c r="N86" s="11">
        <f t="shared" si="72"/>
        <v>0.9961937114</v>
      </c>
      <c r="O86" s="11">
        <f t="shared" si="73"/>
        <v>0.0000000006033413638</v>
      </c>
    </row>
    <row r="88">
      <c r="A88" s="4">
        <v>2013.0</v>
      </c>
    </row>
    <row r="90">
      <c r="B90" s="39" t="s">
        <v>42</v>
      </c>
      <c r="C90" s="39" t="s">
        <v>43</v>
      </c>
      <c r="D90" s="39" t="s">
        <v>44</v>
      </c>
      <c r="E90" s="39" t="s">
        <v>45</v>
      </c>
      <c r="F90" s="39" t="s">
        <v>46</v>
      </c>
      <c r="G90" s="49" t="s">
        <v>120</v>
      </c>
      <c r="H90" s="39" t="s">
        <v>37</v>
      </c>
      <c r="I90" s="49" t="s">
        <v>121</v>
      </c>
      <c r="J90" s="39" t="s">
        <v>36</v>
      </c>
      <c r="K90" s="39" t="s">
        <v>38</v>
      </c>
      <c r="L90" s="39" t="s">
        <v>49</v>
      </c>
      <c r="M90" s="49" t="s">
        <v>122</v>
      </c>
      <c r="N90" s="39" t="s">
        <v>51</v>
      </c>
      <c r="O90" s="39"/>
    </row>
    <row r="91">
      <c r="A91" s="78" t="s">
        <v>157</v>
      </c>
      <c r="B91" s="23">
        <v>4585389.0</v>
      </c>
      <c r="C91" s="11">
        <f>2305647+28752</f>
        <v>2334399</v>
      </c>
      <c r="D91" s="23">
        <v>40950.0</v>
      </c>
      <c r="E91" s="23">
        <v>1.574146E7</v>
      </c>
      <c r="F91" s="25">
        <f t="shared" ref="F91:F95" si="75">B91+C91</f>
        <v>6919788</v>
      </c>
      <c r="G91" s="23">
        <v>3.8785414E7</v>
      </c>
      <c r="H91" s="25">
        <f t="shared" ref="H91:H96" si="76">G91-F91-E91-D91</f>
        <v>16083216</v>
      </c>
      <c r="I91" s="11">
        <f t="shared" ref="I91:I96" si="77">1+K91+L91</f>
        <v>2.46130054</v>
      </c>
      <c r="J91" s="11">
        <f t="shared" ref="J91:J96" si="78">H91/(F91+E91)</f>
        <v>0.7097233127</v>
      </c>
      <c r="K91" s="11">
        <f t="shared" ref="K91:K96" si="79">H91/E91</f>
        <v>1.021710566</v>
      </c>
      <c r="L91" s="11">
        <f t="shared" ref="L91:L96" si="80">F91/E91</f>
        <v>0.4395899745</v>
      </c>
      <c r="M91" s="25">
        <f t="shared" ref="M91:M96" si="81">H91+F91+E91</f>
        <v>38744464</v>
      </c>
      <c r="N91" s="11">
        <f t="shared" ref="N91:N96" si="82">M91/G91</f>
        <v>0.9989441907</v>
      </c>
    </row>
    <row r="92">
      <c r="A92" s="78" t="s">
        <v>158</v>
      </c>
      <c r="B92" s="23">
        <v>1.0751182E7</v>
      </c>
      <c r="C92" s="11">
        <f>650830+51280</f>
        <v>702110</v>
      </c>
      <c r="D92" s="23">
        <v>44162.0</v>
      </c>
      <c r="E92" s="23">
        <v>2531888.0</v>
      </c>
      <c r="F92" s="25">
        <f t="shared" si="75"/>
        <v>11453292</v>
      </c>
      <c r="G92" s="23">
        <v>1.9447238E7</v>
      </c>
      <c r="H92" s="25">
        <f t="shared" si="76"/>
        <v>5417896</v>
      </c>
      <c r="I92" s="11">
        <f t="shared" si="77"/>
        <v>7.663481165</v>
      </c>
      <c r="J92" s="11">
        <f t="shared" si="78"/>
        <v>0.3874026648</v>
      </c>
      <c r="K92" s="11">
        <f t="shared" si="79"/>
        <v>2.139864007</v>
      </c>
      <c r="L92" s="11">
        <f t="shared" si="80"/>
        <v>4.523617158</v>
      </c>
      <c r="M92" s="25">
        <f t="shared" si="81"/>
        <v>19403076</v>
      </c>
      <c r="N92" s="11">
        <f t="shared" si="82"/>
        <v>0.9977291377</v>
      </c>
    </row>
    <row r="93">
      <c r="A93" s="78" t="s">
        <v>159</v>
      </c>
      <c r="B93" s="23">
        <v>3.8338588E7</v>
      </c>
      <c r="C93" s="11">
        <f>868477-7375</f>
        <v>861102</v>
      </c>
      <c r="D93" s="23">
        <v>31118.0</v>
      </c>
      <c r="E93" s="23">
        <v>5058249.0</v>
      </c>
      <c r="F93" s="25">
        <f t="shared" si="75"/>
        <v>39199690</v>
      </c>
      <c r="G93" s="23">
        <v>4.891955E7</v>
      </c>
      <c r="H93" s="25">
        <f t="shared" si="76"/>
        <v>4630493</v>
      </c>
      <c r="I93" s="11">
        <f t="shared" si="77"/>
        <v>9.665090034</v>
      </c>
      <c r="J93" s="11">
        <f t="shared" si="78"/>
        <v>0.1046251386</v>
      </c>
      <c r="K93" s="11">
        <f t="shared" si="79"/>
        <v>0.9154339773</v>
      </c>
      <c r="L93" s="11">
        <f t="shared" si="80"/>
        <v>7.749656057</v>
      </c>
      <c r="M93" s="25">
        <f t="shared" si="81"/>
        <v>48888432</v>
      </c>
      <c r="N93" s="11">
        <f t="shared" si="82"/>
        <v>0.9993638944</v>
      </c>
    </row>
    <row r="94">
      <c r="A94" s="78" t="s">
        <v>77</v>
      </c>
      <c r="B94" s="23">
        <v>7.37260595E8</v>
      </c>
      <c r="C94" s="11">
        <f>40227170-15873900</f>
        <v>24353270</v>
      </c>
      <c r="D94" s="23">
        <v>5151598.0</v>
      </c>
      <c r="E94" s="23">
        <v>1.44219782E8</v>
      </c>
      <c r="F94" s="25">
        <f t="shared" si="75"/>
        <v>761613865</v>
      </c>
      <c r="G94" s="23">
        <v>1.170930242E9</v>
      </c>
      <c r="H94" s="25">
        <f t="shared" si="76"/>
        <v>259944997</v>
      </c>
      <c r="I94" s="11">
        <f t="shared" si="77"/>
        <v>8.083347706</v>
      </c>
      <c r="J94" s="11">
        <f t="shared" si="78"/>
        <v>0.2869676986</v>
      </c>
      <c r="K94" s="11">
        <f t="shared" si="79"/>
        <v>1.802422618</v>
      </c>
      <c r="L94" s="11">
        <f t="shared" si="80"/>
        <v>5.280925088</v>
      </c>
      <c r="M94" s="25">
        <f t="shared" si="81"/>
        <v>1165778644</v>
      </c>
      <c r="N94" s="11">
        <f t="shared" si="82"/>
        <v>0.9956004228</v>
      </c>
    </row>
    <row r="95">
      <c r="A95" s="64" t="s">
        <v>160</v>
      </c>
      <c r="B95" s="23">
        <v>1.84632252E8</v>
      </c>
      <c r="C95" s="11">
        <f>13243972-1253266</f>
        <v>11990706</v>
      </c>
      <c r="D95" s="23">
        <v>1716142.0</v>
      </c>
      <c r="E95" s="23">
        <v>8.8202336E7</v>
      </c>
      <c r="F95" s="25">
        <f t="shared" si="75"/>
        <v>196622958</v>
      </c>
      <c r="G95" s="23">
        <v>3.57127344E8</v>
      </c>
      <c r="H95" s="25">
        <f t="shared" si="76"/>
        <v>70585908</v>
      </c>
      <c r="I95" s="11">
        <f t="shared" si="77"/>
        <v>4.029498743</v>
      </c>
      <c r="J95" s="11">
        <f t="shared" si="78"/>
        <v>0.2478217682</v>
      </c>
      <c r="K95" s="11">
        <f t="shared" si="79"/>
        <v>0.8002725461</v>
      </c>
      <c r="L95" s="11">
        <f t="shared" si="80"/>
        <v>2.229226196</v>
      </c>
      <c r="M95" s="25">
        <f t="shared" si="81"/>
        <v>355411202</v>
      </c>
      <c r="N95" s="11">
        <f t="shared" si="82"/>
        <v>0.9951945937</v>
      </c>
    </row>
    <row r="96">
      <c r="A96" s="4" t="s">
        <v>161</v>
      </c>
      <c r="B96" s="25">
        <f t="shared" ref="B96:G96" si="83">SUM(B91:B95)</f>
        <v>975568006</v>
      </c>
      <c r="C96" s="11">
        <f t="shared" si="83"/>
        <v>40241587</v>
      </c>
      <c r="D96" s="25">
        <f t="shared" si="83"/>
        <v>6983970</v>
      </c>
      <c r="E96" s="25">
        <f t="shared" si="83"/>
        <v>255753715</v>
      </c>
      <c r="F96" s="25">
        <f t="shared" si="83"/>
        <v>1015809593</v>
      </c>
      <c r="G96" s="25">
        <f t="shared" si="83"/>
        <v>1635209788</v>
      </c>
      <c r="H96" s="25">
        <f t="shared" si="76"/>
        <v>356662510</v>
      </c>
      <c r="I96" s="11">
        <f t="shared" si="77"/>
        <v>6.366381884</v>
      </c>
      <c r="J96" s="11">
        <f t="shared" si="78"/>
        <v>0.2804913509</v>
      </c>
      <c r="K96" s="11">
        <f t="shared" si="79"/>
        <v>1.394554562</v>
      </c>
      <c r="L96" s="11">
        <f t="shared" si="80"/>
        <v>3.971827322</v>
      </c>
      <c r="M96" s="25">
        <f t="shared" si="81"/>
        <v>1628225818</v>
      </c>
      <c r="N96" s="11">
        <f t="shared" si="82"/>
        <v>0.9957290067</v>
      </c>
    </row>
    <row r="99">
      <c r="A99" s="4">
        <v>2014.0</v>
      </c>
    </row>
    <row r="101">
      <c r="B101" s="39" t="s">
        <v>42</v>
      </c>
      <c r="C101" s="39" t="s">
        <v>43</v>
      </c>
      <c r="D101" s="39" t="s">
        <v>44</v>
      </c>
      <c r="E101" s="39" t="s">
        <v>45</v>
      </c>
      <c r="F101" s="39" t="s">
        <v>46</v>
      </c>
      <c r="G101" s="49" t="s">
        <v>120</v>
      </c>
      <c r="H101" s="39" t="s">
        <v>37</v>
      </c>
      <c r="I101" s="49" t="s">
        <v>121</v>
      </c>
      <c r="J101" s="39" t="s">
        <v>36</v>
      </c>
      <c r="K101" s="39" t="s">
        <v>38</v>
      </c>
      <c r="L101" s="39" t="s">
        <v>49</v>
      </c>
      <c r="M101" s="49" t="s">
        <v>122</v>
      </c>
      <c r="N101" s="39" t="s">
        <v>51</v>
      </c>
    </row>
    <row r="102">
      <c r="A102" s="78" t="s">
        <v>157</v>
      </c>
      <c r="B102" s="23">
        <v>4977962.0</v>
      </c>
      <c r="C102" s="11">
        <f>2450732+64650</f>
        <v>2515382</v>
      </c>
      <c r="D102" s="23">
        <v>21533.0</v>
      </c>
      <c r="E102" s="23">
        <v>1.6289978E7</v>
      </c>
      <c r="F102" s="25">
        <f t="shared" ref="F102:F106" si="84">B102+C102</f>
        <v>7493344</v>
      </c>
      <c r="G102" s="23">
        <v>4.0358585E7</v>
      </c>
      <c r="H102" s="25">
        <f t="shared" ref="H102:H107" si="85">G102-F102-E102-D102</f>
        <v>16553730</v>
      </c>
      <c r="I102" s="11">
        <f t="shared" ref="I102:I107" si="86">1+K102+L102</f>
        <v>2.476188243</v>
      </c>
      <c r="J102" s="11">
        <f t="shared" ref="J102:J107" si="87">H102/(F102+E102)</f>
        <v>0.6960226162</v>
      </c>
      <c r="K102" s="11">
        <f t="shared" ref="K102:K107" si="88">H102/E102</f>
        <v>1.016191059</v>
      </c>
      <c r="L102" s="11">
        <f t="shared" ref="L102:L107" si="89">F102/E102</f>
        <v>0.4599971835</v>
      </c>
      <c r="M102" s="25">
        <f t="shared" ref="M102:M107" si="90">H102+F102+E102</f>
        <v>40337052</v>
      </c>
      <c r="N102" s="11">
        <f t="shared" ref="N102:N107" si="91">M102/G102</f>
        <v>0.999466458</v>
      </c>
    </row>
    <row r="103">
      <c r="A103" s="78" t="s">
        <v>158</v>
      </c>
      <c r="B103" s="23">
        <v>1.1159541E7</v>
      </c>
      <c r="C103" s="11">
        <f>556652-2768</f>
        <v>553884</v>
      </c>
      <c r="D103" s="23">
        <v>39883.0</v>
      </c>
      <c r="E103" s="23">
        <v>2684578.0</v>
      </c>
      <c r="F103" s="25">
        <f t="shared" si="84"/>
        <v>11713425</v>
      </c>
      <c r="G103" s="23">
        <v>1.9936066E7</v>
      </c>
      <c r="H103" s="25">
        <f t="shared" si="85"/>
        <v>5498180</v>
      </c>
      <c r="I103" s="11">
        <f t="shared" si="86"/>
        <v>7.411288851</v>
      </c>
      <c r="J103" s="11">
        <f t="shared" si="87"/>
        <v>0.3818710136</v>
      </c>
      <c r="K103" s="11">
        <f t="shared" si="88"/>
        <v>2.048061185</v>
      </c>
      <c r="L103" s="11">
        <f t="shared" si="89"/>
        <v>4.363227666</v>
      </c>
      <c r="M103" s="25">
        <f t="shared" si="90"/>
        <v>19896183</v>
      </c>
      <c r="N103" s="11">
        <f t="shared" si="91"/>
        <v>0.9979994549</v>
      </c>
    </row>
    <row r="104">
      <c r="A104" s="78" t="s">
        <v>159</v>
      </c>
      <c r="B104" s="23">
        <v>3.9841889E7</v>
      </c>
      <c r="C104" s="11">
        <f>869463+20565</f>
        <v>890028</v>
      </c>
      <c r="D104" s="23">
        <v>48412.0</v>
      </c>
      <c r="E104" s="23">
        <v>5336189.0</v>
      </c>
      <c r="F104" s="25">
        <f t="shared" si="84"/>
        <v>40731917</v>
      </c>
      <c r="G104" s="23">
        <v>5.0755627E7</v>
      </c>
      <c r="H104" s="25">
        <f t="shared" si="85"/>
        <v>4639109</v>
      </c>
      <c r="I104" s="11">
        <f t="shared" si="86"/>
        <v>9.50251481</v>
      </c>
      <c r="J104" s="11">
        <f t="shared" si="87"/>
        <v>0.1007011011</v>
      </c>
      <c r="K104" s="11">
        <f t="shared" si="88"/>
        <v>0.8693674456</v>
      </c>
      <c r="L104" s="11">
        <f t="shared" si="89"/>
        <v>7.633147364</v>
      </c>
      <c r="M104" s="25">
        <f t="shared" si="90"/>
        <v>50707215</v>
      </c>
      <c r="N104" s="11">
        <f t="shared" si="91"/>
        <v>0.9990461747</v>
      </c>
    </row>
    <row r="105">
      <c r="A105" s="78" t="s">
        <v>77</v>
      </c>
      <c r="B105" s="23">
        <v>7.53086964E8</v>
      </c>
      <c r="C105" s="11">
        <f>39954797-16235493</f>
        <v>23719304</v>
      </c>
      <c r="D105" s="23">
        <v>4751357.0</v>
      </c>
      <c r="E105" s="23">
        <v>1.46999972E8</v>
      </c>
      <c r="F105" s="25">
        <f t="shared" si="84"/>
        <v>776806268</v>
      </c>
      <c r="G105" s="23">
        <v>1.208007507E9</v>
      </c>
      <c r="H105" s="25">
        <f t="shared" si="85"/>
        <v>279449910</v>
      </c>
      <c r="I105" s="11">
        <f t="shared" si="86"/>
        <v>8.185417546</v>
      </c>
      <c r="J105" s="11">
        <f t="shared" si="87"/>
        <v>0.3024984005</v>
      </c>
      <c r="K105" s="11">
        <f t="shared" si="88"/>
        <v>1.901020158</v>
      </c>
      <c r="L105" s="11">
        <f t="shared" si="89"/>
        <v>5.284397388</v>
      </c>
      <c r="M105" s="25">
        <f t="shared" si="90"/>
        <v>1203256150</v>
      </c>
      <c r="N105" s="11">
        <f t="shared" si="91"/>
        <v>0.9960667819</v>
      </c>
    </row>
    <row r="106">
      <c r="A106" s="64" t="s">
        <v>160</v>
      </c>
      <c r="B106" s="23">
        <v>1.95866635E8</v>
      </c>
      <c r="C106" s="11">
        <f>12859565-959347</f>
        <v>11900218</v>
      </c>
      <c r="D106" s="23">
        <v>2813134.0</v>
      </c>
      <c r="E106" s="23">
        <v>9.0159163E7</v>
      </c>
      <c r="F106" s="25">
        <f t="shared" si="84"/>
        <v>207766853</v>
      </c>
      <c r="G106" s="23">
        <v>3.77813742E8</v>
      </c>
      <c r="H106" s="25">
        <f t="shared" si="85"/>
        <v>77074592</v>
      </c>
      <c r="I106" s="11">
        <f t="shared" si="86"/>
        <v>4.159317761</v>
      </c>
      <c r="J106" s="11">
        <f t="shared" si="87"/>
        <v>0.2587037985</v>
      </c>
      <c r="K106" s="11">
        <f t="shared" si="88"/>
        <v>0.8548725325</v>
      </c>
      <c r="L106" s="11">
        <f t="shared" si="89"/>
        <v>2.304445229</v>
      </c>
      <c r="M106" s="25">
        <f t="shared" si="90"/>
        <v>375000608</v>
      </c>
      <c r="N106" s="11">
        <f t="shared" si="91"/>
        <v>0.9925541777</v>
      </c>
    </row>
    <row r="107">
      <c r="A107" s="4" t="s">
        <v>161</v>
      </c>
      <c r="B107" s="25">
        <f t="shared" ref="B107:G107" si="92">SUM(B102:B106)</f>
        <v>1004932991</v>
      </c>
      <c r="C107" s="11">
        <f t="shared" si="92"/>
        <v>39578816</v>
      </c>
      <c r="D107" s="25">
        <f t="shared" si="92"/>
        <v>7674319</v>
      </c>
      <c r="E107" s="25">
        <f t="shared" si="92"/>
        <v>261469880</v>
      </c>
      <c r="F107" s="25">
        <f t="shared" si="92"/>
        <v>1044511807</v>
      </c>
      <c r="G107" s="25">
        <f t="shared" si="92"/>
        <v>1696871527</v>
      </c>
      <c r="H107" s="25">
        <f t="shared" si="85"/>
        <v>383215521</v>
      </c>
      <c r="I107" s="11">
        <f t="shared" si="86"/>
        <v>6.460389273</v>
      </c>
      <c r="J107" s="11">
        <f t="shared" si="87"/>
        <v>0.2934310066</v>
      </c>
      <c r="K107" s="11">
        <f t="shared" si="88"/>
        <v>1.465620136</v>
      </c>
      <c r="L107" s="11">
        <f t="shared" si="89"/>
        <v>3.994769137</v>
      </c>
      <c r="M107" s="25">
        <f t="shared" si="90"/>
        <v>1689197208</v>
      </c>
      <c r="N107" s="11">
        <f t="shared" si="91"/>
        <v>0.9954773718</v>
      </c>
    </row>
    <row r="109">
      <c r="A109" s="4">
        <v>2015.0</v>
      </c>
    </row>
    <row r="110">
      <c r="B110" s="39" t="s">
        <v>42</v>
      </c>
      <c r="C110" s="39" t="s">
        <v>43</v>
      </c>
      <c r="D110" s="39" t="s">
        <v>44</v>
      </c>
      <c r="E110" s="39" t="s">
        <v>45</v>
      </c>
      <c r="F110" s="39" t="s">
        <v>46</v>
      </c>
      <c r="G110" s="49" t="s">
        <v>120</v>
      </c>
      <c r="H110" s="39" t="s">
        <v>37</v>
      </c>
      <c r="I110" s="49" t="s">
        <v>121</v>
      </c>
      <c r="J110" s="39" t="s">
        <v>36</v>
      </c>
      <c r="K110" s="39" t="s">
        <v>38</v>
      </c>
      <c r="L110" s="39" t="s">
        <v>49</v>
      </c>
      <c r="M110" s="49" t="s">
        <v>122</v>
      </c>
      <c r="N110" s="39" t="s">
        <v>51</v>
      </c>
    </row>
    <row r="111">
      <c r="A111" s="78" t="s">
        <v>157</v>
      </c>
      <c r="B111" s="23">
        <v>6415581.0</v>
      </c>
      <c r="C111" s="11">
        <f>2350252+135145</f>
        <v>2485397</v>
      </c>
      <c r="D111" s="23">
        <v>47356.0</v>
      </c>
      <c r="E111" s="23">
        <v>1.6996063E7</v>
      </c>
      <c r="F111" s="25">
        <f t="shared" ref="F111:F115" si="93">B111+C111</f>
        <v>8900978</v>
      </c>
      <c r="G111" s="23">
        <v>4.3209569E7</v>
      </c>
      <c r="H111" s="25">
        <f t="shared" ref="H111:H116" si="94">G111-F111-E111-D111</f>
        <v>17265172</v>
      </c>
      <c r="I111" s="11">
        <f t="shared" ref="I111:I116" si="95">1+L111+K111</f>
        <v>2.539541834</v>
      </c>
      <c r="J111" s="11">
        <f t="shared" ref="J111:J116" si="96">H111/(E111+F111)</f>
        <v>0.6666851244</v>
      </c>
      <c r="K111" s="11">
        <f t="shared" ref="K111:K116" si="97">H111/E111</f>
        <v>1.015833608</v>
      </c>
      <c r="L111" s="11">
        <f t="shared" ref="L111:L116" si="98">F111/E111</f>
        <v>0.5237082258</v>
      </c>
      <c r="M111" s="25">
        <f t="shared" ref="M111:M116" si="99">H111+F111+E111</f>
        <v>43162213</v>
      </c>
      <c r="N111" s="11">
        <f t="shared" ref="N111:N116" si="100">M111/G111</f>
        <v>0.9989040391</v>
      </c>
    </row>
    <row r="112">
      <c r="A112" s="78" t="s">
        <v>158</v>
      </c>
      <c r="B112" s="23">
        <v>1.1466444E7</v>
      </c>
      <c r="C112" s="11">
        <f>584685+78208</f>
        <v>662893</v>
      </c>
      <c r="D112" s="23">
        <v>44851.0</v>
      </c>
      <c r="E112" s="23">
        <v>2837564.0</v>
      </c>
      <c r="F112" s="25">
        <f t="shared" si="93"/>
        <v>12129337</v>
      </c>
      <c r="G112" s="23">
        <v>1.9914783E7</v>
      </c>
      <c r="H112" s="25">
        <f t="shared" si="94"/>
        <v>4903031</v>
      </c>
      <c r="I112" s="11">
        <f t="shared" si="95"/>
        <v>7.002461266</v>
      </c>
      <c r="J112" s="11">
        <f t="shared" si="96"/>
        <v>0.327591597</v>
      </c>
      <c r="K112" s="11">
        <f t="shared" si="97"/>
        <v>1.727901468</v>
      </c>
      <c r="L112" s="11">
        <f t="shared" si="98"/>
        <v>4.274559798</v>
      </c>
      <c r="M112" s="25">
        <f t="shared" si="99"/>
        <v>19869932</v>
      </c>
      <c r="N112" s="11">
        <f t="shared" si="100"/>
        <v>0.9977478539</v>
      </c>
    </row>
    <row r="113">
      <c r="A113" s="78" t="s">
        <v>159</v>
      </c>
      <c r="B113" s="23">
        <v>4.0458967E7</v>
      </c>
      <c r="C113" s="11">
        <f>879122-1449</f>
        <v>877673</v>
      </c>
      <c r="D113" s="23">
        <v>69803.0</v>
      </c>
      <c r="E113" s="23">
        <v>5426678.0</v>
      </c>
      <c r="F113" s="25">
        <f t="shared" si="93"/>
        <v>41336640</v>
      </c>
      <c r="G113" s="23">
        <v>5.1518706E7</v>
      </c>
      <c r="H113" s="25">
        <f t="shared" si="94"/>
        <v>4685585</v>
      </c>
      <c r="I113" s="11">
        <f t="shared" si="95"/>
        <v>9.480736281</v>
      </c>
      <c r="J113" s="11">
        <f t="shared" si="96"/>
        <v>0.100197873</v>
      </c>
      <c r="K113" s="11">
        <f t="shared" si="97"/>
        <v>0.8634352361</v>
      </c>
      <c r="L113" s="11">
        <f t="shared" si="98"/>
        <v>7.617301045</v>
      </c>
      <c r="M113" s="25">
        <f t="shared" si="99"/>
        <v>51448903</v>
      </c>
      <c r="N113" s="11">
        <f t="shared" si="100"/>
        <v>0.9986450941</v>
      </c>
    </row>
    <row r="114">
      <c r="A114" s="78" t="s">
        <v>77</v>
      </c>
      <c r="B114" s="23">
        <v>7.77309128E8</v>
      </c>
      <c r="C114" s="11">
        <f>40835201-8641215</f>
        <v>32193986</v>
      </c>
      <c r="D114" s="23">
        <v>6745421.0</v>
      </c>
      <c r="E114" s="23">
        <v>1.57214782E8</v>
      </c>
      <c r="F114" s="25">
        <f t="shared" si="93"/>
        <v>809503114</v>
      </c>
      <c r="G114" s="23">
        <v>1.245194757E9</v>
      </c>
      <c r="H114" s="25">
        <f t="shared" si="94"/>
        <v>271731440</v>
      </c>
      <c r="I114" s="11">
        <f t="shared" si="95"/>
        <v>7.877435698</v>
      </c>
      <c r="J114" s="11">
        <f t="shared" si="96"/>
        <v>0.2810865932</v>
      </c>
      <c r="K114" s="11">
        <f t="shared" si="97"/>
        <v>1.728408974</v>
      </c>
      <c r="L114" s="11">
        <f t="shared" si="98"/>
        <v>5.149026724</v>
      </c>
      <c r="M114" s="25">
        <f t="shared" si="99"/>
        <v>1238449336</v>
      </c>
      <c r="N114" s="11">
        <f t="shared" si="100"/>
        <v>0.9945828386</v>
      </c>
    </row>
    <row r="115">
      <c r="A115" s="64" t="s">
        <v>160</v>
      </c>
      <c r="B115" s="23">
        <v>2.01728044E8</v>
      </c>
      <c r="C115" s="11">
        <f>12056548+409870</f>
        <v>12466418</v>
      </c>
      <c r="D115" s="23">
        <v>3870408.0</v>
      </c>
      <c r="E115" s="23">
        <v>8.9190838E7</v>
      </c>
      <c r="F115" s="25">
        <f t="shared" si="93"/>
        <v>214194462</v>
      </c>
      <c r="G115" s="23">
        <v>3.88838869E8</v>
      </c>
      <c r="H115" s="25">
        <f t="shared" si="94"/>
        <v>81583161</v>
      </c>
      <c r="I115" s="11">
        <f t="shared" si="95"/>
        <v>4.316233255</v>
      </c>
      <c r="J115" s="11">
        <f t="shared" si="96"/>
        <v>0.2689094066</v>
      </c>
      <c r="K115" s="11">
        <f t="shared" si="97"/>
        <v>0.9147033802</v>
      </c>
      <c r="L115" s="11">
        <f t="shared" si="98"/>
        <v>2.401529875</v>
      </c>
      <c r="M115" s="25">
        <f t="shared" si="99"/>
        <v>384968461</v>
      </c>
      <c r="N115" s="11">
        <f t="shared" si="100"/>
        <v>0.990046242</v>
      </c>
    </row>
    <row r="116">
      <c r="A116" s="4" t="s">
        <v>161</v>
      </c>
      <c r="B116" s="25">
        <f t="shared" ref="B116:G116" si="101">SUM(B111:B115)</f>
        <v>1037378164</v>
      </c>
      <c r="C116" s="11">
        <f t="shared" si="101"/>
        <v>48686367</v>
      </c>
      <c r="D116" s="25">
        <f t="shared" si="101"/>
        <v>10777839</v>
      </c>
      <c r="E116" s="25">
        <f t="shared" si="101"/>
        <v>271665925</v>
      </c>
      <c r="F116" s="25">
        <f t="shared" si="101"/>
        <v>1086064531</v>
      </c>
      <c r="G116" s="25">
        <f t="shared" si="101"/>
        <v>1748676684</v>
      </c>
      <c r="H116" s="25">
        <f t="shared" si="94"/>
        <v>380168389</v>
      </c>
      <c r="I116" s="11">
        <f t="shared" si="95"/>
        <v>6.397191127</v>
      </c>
      <c r="J116" s="11">
        <f t="shared" si="96"/>
        <v>0.280002844</v>
      </c>
      <c r="K116" s="11">
        <f t="shared" si="97"/>
        <v>1.399396663</v>
      </c>
      <c r="L116" s="11">
        <f t="shared" si="98"/>
        <v>3.997794464</v>
      </c>
      <c r="M116" s="25">
        <f t="shared" si="99"/>
        <v>1737898845</v>
      </c>
      <c r="N116" s="11">
        <f t="shared" si="100"/>
        <v>0.9938365742</v>
      </c>
    </row>
    <row r="120">
      <c r="A120" s="4">
        <v>2016.0</v>
      </c>
    </row>
    <row r="122">
      <c r="B122" s="39" t="s">
        <v>42</v>
      </c>
      <c r="C122" s="39" t="s">
        <v>43</v>
      </c>
      <c r="D122" s="39" t="s">
        <v>44</v>
      </c>
      <c r="E122" s="39" t="s">
        <v>45</v>
      </c>
      <c r="F122" s="39" t="s">
        <v>46</v>
      </c>
      <c r="G122" s="49" t="s">
        <v>120</v>
      </c>
      <c r="H122" s="39" t="s">
        <v>37</v>
      </c>
      <c r="I122" s="49" t="s">
        <v>121</v>
      </c>
      <c r="J122" s="39" t="s">
        <v>36</v>
      </c>
      <c r="K122" s="39" t="s">
        <v>38</v>
      </c>
      <c r="L122" s="39" t="s">
        <v>49</v>
      </c>
      <c r="M122" s="49" t="s">
        <v>122</v>
      </c>
      <c r="N122" s="39" t="s">
        <v>51</v>
      </c>
    </row>
    <row r="123">
      <c r="A123" s="78" t="s">
        <v>157</v>
      </c>
      <c r="B123" s="23">
        <v>7097677.0</v>
      </c>
      <c r="C123" s="11">
        <f>2385496+151640</f>
        <v>2537136</v>
      </c>
      <c r="D123" s="23">
        <v>43781.0</v>
      </c>
      <c r="E123" s="23">
        <v>1.7709262E7</v>
      </c>
      <c r="F123" s="25">
        <f t="shared" ref="F123:F127" si="102">B123+C123</f>
        <v>9634813</v>
      </c>
      <c r="G123" s="23">
        <v>4.4986504E7</v>
      </c>
      <c r="H123" s="25">
        <f t="shared" ref="H123:H128" si="103">G123-F123-E123-D123</f>
        <v>17598648</v>
      </c>
      <c r="I123" s="11">
        <f t="shared" ref="I123:I128" si="104">1+L123+K123</f>
        <v>2.537808916</v>
      </c>
      <c r="J123" s="11">
        <f t="shared" ref="J123:J128" si="105">H123/(E123+F123)</f>
        <v>0.6436000486</v>
      </c>
      <c r="K123" s="11">
        <f t="shared" ref="K123:K128" si="106">H123/E123</f>
        <v>0.9937538899</v>
      </c>
      <c r="L123" s="11">
        <f t="shared" ref="L123:L128" si="107">F123/E123</f>
        <v>0.5440550261</v>
      </c>
      <c r="M123" s="25">
        <f t="shared" ref="M123:M128" si="108">H123+F123+E123</f>
        <v>44942723</v>
      </c>
      <c r="N123" s="11">
        <f t="shared" ref="N123:N128" si="109">M123/G123</f>
        <v>0.999026797</v>
      </c>
    </row>
    <row r="124">
      <c r="A124" s="78" t="s">
        <v>158</v>
      </c>
      <c r="B124" s="23">
        <v>9371235.0</v>
      </c>
      <c r="C124" s="11">
        <f>576246+35085</f>
        <v>611331</v>
      </c>
      <c r="D124" s="23">
        <v>45940.0</v>
      </c>
      <c r="E124" s="23">
        <v>2919251.0</v>
      </c>
      <c r="F124" s="25">
        <f t="shared" si="102"/>
        <v>9982566</v>
      </c>
      <c r="G124" s="23">
        <v>1.6807894E7</v>
      </c>
      <c r="H124" s="25">
        <f t="shared" si="103"/>
        <v>3860137</v>
      </c>
      <c r="I124" s="11">
        <f t="shared" si="104"/>
        <v>5.741868034</v>
      </c>
      <c r="J124" s="11">
        <f t="shared" si="105"/>
        <v>0.2991932842</v>
      </c>
      <c r="K124" s="11">
        <f t="shared" si="106"/>
        <v>1.322303906</v>
      </c>
      <c r="L124" s="11">
        <f t="shared" si="107"/>
        <v>3.419564128</v>
      </c>
      <c r="M124" s="25">
        <f t="shared" si="108"/>
        <v>16761954</v>
      </c>
      <c r="N124" s="11">
        <f t="shared" si="109"/>
        <v>0.9972667605</v>
      </c>
    </row>
    <row r="125">
      <c r="A125" s="78" t="s">
        <v>159</v>
      </c>
      <c r="B125" s="23">
        <v>4.2159552E7</v>
      </c>
      <c r="C125" s="11">
        <f>904856+5969</f>
        <v>910825</v>
      </c>
      <c r="D125" s="23">
        <v>98877.0</v>
      </c>
      <c r="E125" s="23">
        <v>5817334.0</v>
      </c>
      <c r="F125" s="25">
        <f t="shared" si="102"/>
        <v>43070377</v>
      </c>
      <c r="G125" s="23">
        <v>5.3769379E7</v>
      </c>
      <c r="H125" s="25">
        <f t="shared" si="103"/>
        <v>4782791</v>
      </c>
      <c r="I125" s="11">
        <f t="shared" si="104"/>
        <v>9.225961927</v>
      </c>
      <c r="J125" s="11">
        <f t="shared" si="105"/>
        <v>0.097832173</v>
      </c>
      <c r="K125" s="11">
        <f t="shared" si="106"/>
        <v>0.8221620075</v>
      </c>
      <c r="L125" s="11">
        <f t="shared" si="107"/>
        <v>7.403799919</v>
      </c>
      <c r="M125" s="25">
        <f t="shared" si="108"/>
        <v>53670502</v>
      </c>
      <c r="N125" s="11">
        <f t="shared" si="109"/>
        <v>0.9981610909</v>
      </c>
    </row>
    <row r="126">
      <c r="A126" s="78" t="s">
        <v>77</v>
      </c>
      <c r="B126" s="23">
        <v>7.843791E8</v>
      </c>
      <c r="C126" s="11">
        <f>43737772-7193786</f>
        <v>36543986</v>
      </c>
      <c r="D126" s="23">
        <v>1.7162504E7</v>
      </c>
      <c r="E126" s="23">
        <v>1.62673233E8</v>
      </c>
      <c r="F126" s="25">
        <f t="shared" si="102"/>
        <v>820923086</v>
      </c>
      <c r="G126" s="23">
        <v>1.280182342E9</v>
      </c>
      <c r="H126" s="25">
        <f t="shared" si="103"/>
        <v>279423519</v>
      </c>
      <c r="I126" s="11">
        <f t="shared" si="104"/>
        <v>7.764152803</v>
      </c>
      <c r="J126" s="11">
        <f t="shared" si="105"/>
        <v>0.2840835347</v>
      </c>
      <c r="K126" s="11">
        <f t="shared" si="106"/>
        <v>1.717698197</v>
      </c>
      <c r="L126" s="11">
        <f t="shared" si="107"/>
        <v>5.046454606</v>
      </c>
      <c r="M126" s="25">
        <f t="shared" si="108"/>
        <v>1263019838</v>
      </c>
      <c r="N126" s="11">
        <f t="shared" si="109"/>
        <v>0.9865937035</v>
      </c>
    </row>
    <row r="127">
      <c r="A127" s="64" t="s">
        <v>160</v>
      </c>
      <c r="B127" s="23">
        <v>2.18008314E8</v>
      </c>
      <c r="C127" s="11">
        <f>13058184+923989</f>
        <v>13982173</v>
      </c>
      <c r="D127" s="23">
        <v>4854517.0</v>
      </c>
      <c r="E127" s="23">
        <v>1.00261709E8</v>
      </c>
      <c r="F127" s="25">
        <f t="shared" si="102"/>
        <v>231990487</v>
      </c>
      <c r="G127" s="23">
        <v>4.26133278E8</v>
      </c>
      <c r="H127" s="25">
        <f t="shared" si="103"/>
        <v>89026565</v>
      </c>
      <c r="I127" s="11">
        <f t="shared" si="104"/>
        <v>4.201791144</v>
      </c>
      <c r="J127" s="11">
        <f t="shared" si="105"/>
        <v>0.2679487632</v>
      </c>
      <c r="K127" s="11">
        <f t="shared" si="106"/>
        <v>0.8879418263</v>
      </c>
      <c r="L127" s="11">
        <f t="shared" si="107"/>
        <v>2.313849318</v>
      </c>
      <c r="M127" s="25">
        <f t="shared" si="108"/>
        <v>421278761</v>
      </c>
      <c r="N127" s="11">
        <f t="shared" si="109"/>
        <v>0.9886079843</v>
      </c>
    </row>
    <row r="128">
      <c r="A128" s="4" t="s">
        <v>161</v>
      </c>
      <c r="B128" s="25">
        <f t="shared" ref="B128:G128" si="110">SUM(B123:B127)</f>
        <v>1061015878</v>
      </c>
      <c r="C128" s="11">
        <f t="shared" si="110"/>
        <v>54585451</v>
      </c>
      <c r="D128" s="25">
        <f t="shared" si="110"/>
        <v>22205619</v>
      </c>
      <c r="E128" s="25">
        <f t="shared" si="110"/>
        <v>289380789</v>
      </c>
      <c r="F128" s="25">
        <f t="shared" si="110"/>
        <v>1115601329</v>
      </c>
      <c r="G128" s="25">
        <f t="shared" si="110"/>
        <v>1821879397</v>
      </c>
      <c r="H128" s="25">
        <f t="shared" si="103"/>
        <v>394691660</v>
      </c>
      <c r="I128" s="11">
        <f t="shared" si="104"/>
        <v>6.21905063</v>
      </c>
      <c r="J128" s="11">
        <f t="shared" si="105"/>
        <v>0.2809229064</v>
      </c>
      <c r="K128" s="11">
        <f t="shared" si="106"/>
        <v>1.363917976</v>
      </c>
      <c r="L128" s="11">
        <f t="shared" si="107"/>
        <v>3.855132654</v>
      </c>
      <c r="M128" s="25">
        <f t="shared" si="108"/>
        <v>1799673778</v>
      </c>
      <c r="N128" s="11">
        <f t="shared" si="109"/>
        <v>0.9878116965</v>
      </c>
    </row>
    <row r="131">
      <c r="A131" s="4">
        <v>2017.0</v>
      </c>
    </row>
    <row r="133">
      <c r="B133" s="39" t="s">
        <v>42</v>
      </c>
      <c r="C133" s="39" t="s">
        <v>43</v>
      </c>
      <c r="D133" s="39" t="s">
        <v>44</v>
      </c>
      <c r="E133" s="39" t="s">
        <v>45</v>
      </c>
      <c r="F133" s="39" t="s">
        <v>46</v>
      </c>
      <c r="G133" s="49" t="s">
        <v>120</v>
      </c>
      <c r="H133" s="39" t="s">
        <v>37</v>
      </c>
      <c r="I133" s="49" t="s">
        <v>121</v>
      </c>
      <c r="J133" s="39" t="s">
        <v>36</v>
      </c>
      <c r="K133" s="39" t="s">
        <v>38</v>
      </c>
      <c r="L133" s="39" t="s">
        <v>49</v>
      </c>
      <c r="M133" s="49" t="s">
        <v>122</v>
      </c>
      <c r="N133" s="39" t="s">
        <v>51</v>
      </c>
    </row>
    <row r="134">
      <c r="A134" s="78" t="s">
        <v>157</v>
      </c>
      <c r="B134" s="23">
        <v>7348244.0</v>
      </c>
      <c r="C134" s="11">
        <f>2483748+377679</f>
        <v>2861427</v>
      </c>
      <c r="D134" s="23">
        <v>50455.0</v>
      </c>
      <c r="E134" s="23">
        <v>1.8856747E7</v>
      </c>
      <c r="F134" s="25">
        <f t="shared" ref="F134:F138" si="111">B134+C134</f>
        <v>10209671</v>
      </c>
      <c r="G134" s="23">
        <v>4.8189657E7</v>
      </c>
      <c r="H134" s="25">
        <f t="shared" ref="H134:H139" si="112">G134-F134-E134-D134</f>
        <v>19072784</v>
      </c>
      <c r="I134" s="11">
        <f t="shared" ref="I134:I139" si="113">1+L134+K134</f>
        <v>2.552890061</v>
      </c>
      <c r="J134" s="11">
        <f t="shared" ref="J134:J139" si="114">H134/(E134+F134)</f>
        <v>0.6561793751</v>
      </c>
      <c r="K134" s="11">
        <f t="shared" ref="K134:K139" si="115">H134/E134</f>
        <v>1.011456748</v>
      </c>
      <c r="L134" s="11">
        <f t="shared" ref="L134:L139" si="116">F134/E134</f>
        <v>0.541433313</v>
      </c>
      <c r="M134" s="25">
        <f t="shared" ref="M134:M139" si="117">H134+F134+E134</f>
        <v>48139202</v>
      </c>
      <c r="N134" s="11">
        <f t="shared" ref="N134:N139" si="118">M134/G134</f>
        <v>0.9989529911</v>
      </c>
    </row>
    <row r="135">
      <c r="A135" s="78" t="s">
        <v>158</v>
      </c>
      <c r="B135" s="23">
        <v>8627301.0</v>
      </c>
      <c r="C135" s="11">
        <f>604869-40573</f>
        <v>564296</v>
      </c>
      <c r="D135" s="23">
        <v>36842.0</v>
      </c>
      <c r="E135" s="23">
        <v>3040515.0</v>
      </c>
      <c r="F135" s="25">
        <f t="shared" si="111"/>
        <v>9191597</v>
      </c>
      <c r="G135" s="23">
        <v>1.7187069E7</v>
      </c>
      <c r="H135" s="25">
        <f t="shared" si="112"/>
        <v>4918115</v>
      </c>
      <c r="I135" s="11">
        <f t="shared" si="113"/>
        <v>5.640566483</v>
      </c>
      <c r="J135" s="11">
        <f t="shared" si="114"/>
        <v>0.4020658902</v>
      </c>
      <c r="K135" s="11">
        <f t="shared" si="115"/>
        <v>1.617526965</v>
      </c>
      <c r="L135" s="11">
        <f t="shared" si="116"/>
        <v>3.023039518</v>
      </c>
      <c r="M135" s="25">
        <f t="shared" si="117"/>
        <v>17150227</v>
      </c>
      <c r="N135" s="11">
        <f t="shared" si="118"/>
        <v>0.9978564117</v>
      </c>
    </row>
    <row r="136">
      <c r="A136" s="78" t="s">
        <v>159</v>
      </c>
      <c r="B136" s="23">
        <v>4.6319341E7</v>
      </c>
      <c r="C136" s="11">
        <f>945935+31432</f>
        <v>977367</v>
      </c>
      <c r="D136" s="23">
        <v>102632.0</v>
      </c>
      <c r="E136" s="23">
        <v>6151719.0</v>
      </c>
      <c r="F136" s="25">
        <f t="shared" si="111"/>
        <v>47296708</v>
      </c>
      <c r="G136" s="23">
        <v>5.8617859E7</v>
      </c>
      <c r="H136" s="25">
        <f t="shared" si="112"/>
        <v>5066800</v>
      </c>
      <c r="I136" s="11">
        <f t="shared" si="113"/>
        <v>9.512012333</v>
      </c>
      <c r="J136" s="11">
        <f t="shared" si="114"/>
        <v>0.09479792548</v>
      </c>
      <c r="K136" s="11">
        <f t="shared" si="115"/>
        <v>0.8236397014</v>
      </c>
      <c r="L136" s="11">
        <f t="shared" si="116"/>
        <v>7.688372632</v>
      </c>
      <c r="M136" s="25">
        <f t="shared" si="117"/>
        <v>58515227</v>
      </c>
      <c r="N136" s="11">
        <f t="shared" si="118"/>
        <v>0.9982491343</v>
      </c>
    </row>
    <row r="137">
      <c r="A137" s="78" t="s">
        <v>77</v>
      </c>
      <c r="B137" s="23">
        <v>8.66863762E8</v>
      </c>
      <c r="C137" s="11">
        <f>46995633-2152434</f>
        <v>44843199</v>
      </c>
      <c r="D137" s="23">
        <v>1.4696042E7</v>
      </c>
      <c r="E137" s="23">
        <v>1.71854909E8</v>
      </c>
      <c r="F137" s="25">
        <f t="shared" si="111"/>
        <v>911706961</v>
      </c>
      <c r="G137" s="23">
        <v>1.398156293E9</v>
      </c>
      <c r="H137" s="25">
        <f t="shared" si="112"/>
        <v>299898381</v>
      </c>
      <c r="I137" s="11">
        <f t="shared" si="113"/>
        <v>8.050164287</v>
      </c>
      <c r="J137" s="11">
        <f t="shared" si="114"/>
        <v>0.276770888</v>
      </c>
      <c r="K137" s="11">
        <f t="shared" si="115"/>
        <v>1.745067294</v>
      </c>
      <c r="L137" s="11">
        <f t="shared" si="116"/>
        <v>5.305096993</v>
      </c>
      <c r="M137" s="25">
        <f t="shared" si="117"/>
        <v>1383460251</v>
      </c>
      <c r="N137" s="11">
        <f t="shared" si="118"/>
        <v>0.9894889848</v>
      </c>
    </row>
    <row r="138">
      <c r="A138" s="64" t="s">
        <v>160</v>
      </c>
      <c r="B138" s="23">
        <v>2.33003861E8</v>
      </c>
      <c r="C138" s="11">
        <f>13443597+1557951</f>
        <v>15001548</v>
      </c>
      <c r="D138" s="23">
        <v>5564894.0</v>
      </c>
      <c r="E138" s="23">
        <v>1.08175825E8</v>
      </c>
      <c r="F138" s="25">
        <f t="shared" si="111"/>
        <v>248005409</v>
      </c>
      <c r="G138" s="23">
        <v>4.59081343E8</v>
      </c>
      <c r="H138" s="25">
        <f t="shared" si="112"/>
        <v>97335215</v>
      </c>
      <c r="I138" s="11">
        <f t="shared" si="113"/>
        <v>4.192401112</v>
      </c>
      <c r="J138" s="11">
        <f t="shared" si="114"/>
        <v>0.2732744056</v>
      </c>
      <c r="K138" s="11">
        <f t="shared" si="115"/>
        <v>0.899787129</v>
      </c>
      <c r="L138" s="11">
        <f t="shared" si="116"/>
        <v>2.292613983</v>
      </c>
      <c r="M138" s="25">
        <f t="shared" si="117"/>
        <v>453516449</v>
      </c>
      <c r="N138" s="11">
        <f t="shared" si="118"/>
        <v>0.9878781961</v>
      </c>
    </row>
    <row r="139">
      <c r="A139" s="4" t="s">
        <v>161</v>
      </c>
      <c r="B139" s="25">
        <f t="shared" ref="B139:G139" si="119">SUM(B134:B138)</f>
        <v>1162162509</v>
      </c>
      <c r="C139" s="11">
        <f t="shared" si="119"/>
        <v>64247837</v>
      </c>
      <c r="D139" s="25">
        <f t="shared" si="119"/>
        <v>20450865</v>
      </c>
      <c r="E139" s="25">
        <f t="shared" si="119"/>
        <v>308079715</v>
      </c>
      <c r="F139" s="25">
        <f t="shared" si="119"/>
        <v>1226410346</v>
      </c>
      <c r="G139" s="25">
        <f t="shared" si="119"/>
        <v>1981232221</v>
      </c>
      <c r="H139" s="25">
        <f t="shared" si="112"/>
        <v>426291295</v>
      </c>
      <c r="I139" s="11">
        <f t="shared" si="113"/>
        <v>6.364525999</v>
      </c>
      <c r="J139" s="11">
        <f t="shared" si="114"/>
        <v>0.2778064882</v>
      </c>
      <c r="K139" s="11">
        <f t="shared" si="115"/>
        <v>1.383704523</v>
      </c>
      <c r="L139" s="11">
        <f t="shared" si="116"/>
        <v>3.980821477</v>
      </c>
      <c r="M139" s="25">
        <f t="shared" si="117"/>
        <v>1960781356</v>
      </c>
      <c r="N139" s="11">
        <f t="shared" si="118"/>
        <v>0.9896777042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tr">
        <f>IFERROR(__xludf.DUMMYFUNCTION("IMPORTRANGE(""https://docs.google.com/spreadsheets/d/1cFCRO5RF9zbsHAjsCocdF1ARHryeleGI-f9zUkHVPSU/edit#gid=0"",""PLUSVALIASF!A:R"")"),"")</f>
        <v/>
      </c>
      <c r="B1" s="11">
        <f>IFERROR(__xludf.DUMMYFUNCTION("""COMPUTED_VALUE"""),2002.0)</f>
        <v>2002</v>
      </c>
      <c r="C1" s="11">
        <f>IFERROR(__xludf.DUMMYFUNCTION("""COMPUTED_VALUE"""),2003.0)</f>
        <v>2003</v>
      </c>
      <c r="D1" s="11">
        <f>IFERROR(__xludf.DUMMYFUNCTION("""COMPUTED_VALUE"""),2004.0)</f>
        <v>2004</v>
      </c>
      <c r="E1" s="11">
        <f>IFERROR(__xludf.DUMMYFUNCTION("""COMPUTED_VALUE"""),2005.0)</f>
        <v>2005</v>
      </c>
      <c r="F1" s="11">
        <f>IFERROR(__xludf.DUMMYFUNCTION("""COMPUTED_VALUE"""),2006.0)</f>
        <v>2006</v>
      </c>
      <c r="G1" s="11">
        <f>IFERROR(__xludf.DUMMYFUNCTION("""COMPUTED_VALUE"""),2007.0)</f>
        <v>2007</v>
      </c>
      <c r="H1" s="11">
        <f>IFERROR(__xludf.DUMMYFUNCTION("""COMPUTED_VALUE"""),2008.0)</f>
        <v>2008</v>
      </c>
      <c r="I1" s="11">
        <f>IFERROR(__xludf.DUMMYFUNCTION("""COMPUTED_VALUE"""),2009.0)</f>
        <v>2009</v>
      </c>
      <c r="J1" s="11">
        <f>IFERROR(__xludf.DUMMYFUNCTION("""COMPUTED_VALUE"""),2010.0)</f>
        <v>2010</v>
      </c>
      <c r="K1" s="11">
        <f>IFERROR(__xludf.DUMMYFUNCTION("""COMPUTED_VALUE"""),2011.0)</f>
        <v>2011</v>
      </c>
      <c r="L1" s="11">
        <f>IFERROR(__xludf.DUMMYFUNCTION("""COMPUTED_VALUE"""),2012.0)</f>
        <v>2012</v>
      </c>
      <c r="M1" s="11">
        <f>IFERROR(__xludf.DUMMYFUNCTION("""COMPUTED_VALUE"""),2013.0)</f>
        <v>2013</v>
      </c>
      <c r="N1" s="11">
        <f>IFERROR(__xludf.DUMMYFUNCTION("""COMPUTED_VALUE"""),2014.0)</f>
        <v>2014</v>
      </c>
      <c r="O1" s="11">
        <f>IFERROR(__xludf.DUMMYFUNCTION("""COMPUTED_VALUE"""),2015.0)</f>
        <v>2015</v>
      </c>
      <c r="P1" s="11">
        <f>IFERROR(__xludf.DUMMYFUNCTION("""COMPUTED_VALUE"""),2016.0)</f>
        <v>2016</v>
      </c>
      <c r="Q1" s="11">
        <f>IFERROR(__xludf.DUMMYFUNCTION("""COMPUTED_VALUE"""),2017.0)</f>
        <v>2017</v>
      </c>
      <c r="R1" s="11">
        <f>IFERROR(__xludf.DUMMYFUNCTION("""COMPUTED_VALUE"""),2018.0)</f>
        <v>2018</v>
      </c>
    </row>
    <row r="2">
      <c r="A2" s="11" t="str">
        <f>IFERROR(__xludf.DUMMYFUNCTION("""COMPUTED_VALUE"""),"Tasa Ganancia")</f>
        <v>Tasa Ganancia</v>
      </c>
      <c r="B2" s="11">
        <f>IFERROR(__xludf.DUMMYFUNCTION("""COMPUTED_VALUE"""),37.55)</f>
        <v>37.55</v>
      </c>
      <c r="C2" s="11">
        <f>IFERROR(__xludf.DUMMYFUNCTION("""COMPUTED_VALUE"""),36.18)</f>
        <v>36.18</v>
      </c>
      <c r="D2" s="11">
        <f>IFERROR(__xludf.DUMMYFUNCTION("""COMPUTED_VALUE"""),34.9)</f>
        <v>34.9</v>
      </c>
      <c r="E2" s="11">
        <f>IFERROR(__xludf.DUMMYFUNCTION("""COMPUTED_VALUE"""),34.27)</f>
        <v>34.27</v>
      </c>
      <c r="F2" s="11">
        <f>IFERROR(__xludf.DUMMYFUNCTION("""COMPUTED_VALUE"""),32.99)</f>
        <v>32.99</v>
      </c>
      <c r="G2" s="11">
        <f>IFERROR(__xludf.DUMMYFUNCTION("""COMPUTED_VALUE"""),35.0)</f>
        <v>35</v>
      </c>
      <c r="H2" s="11">
        <f>IFERROR(__xludf.DUMMYFUNCTION("""COMPUTED_VALUE"""),47.99)</f>
        <v>47.99</v>
      </c>
      <c r="I2" s="11">
        <f>IFERROR(__xludf.DUMMYFUNCTION("""COMPUTED_VALUE"""),55.82)</f>
        <v>55.82</v>
      </c>
      <c r="J2" s="11">
        <f>IFERROR(__xludf.DUMMYFUNCTION("""COMPUTED_VALUE"""),53.13)</f>
        <v>53.13</v>
      </c>
      <c r="K2" s="11">
        <f>IFERROR(__xludf.DUMMYFUNCTION("""COMPUTED_VALUE"""),50.32)</f>
        <v>50.32</v>
      </c>
      <c r="L2" s="11">
        <f>IFERROR(__xludf.DUMMYFUNCTION("""COMPUTED_VALUE"""),47.46)</f>
        <v>47.46</v>
      </c>
      <c r="M2" s="11">
        <f>IFERROR(__xludf.DUMMYFUNCTION("""COMPUTED_VALUE"""),49.32)</f>
        <v>49.32</v>
      </c>
      <c r="N2" s="11">
        <f>IFERROR(__xludf.DUMMYFUNCTION("""COMPUTED_VALUE"""),51.02)</f>
        <v>51.02</v>
      </c>
      <c r="O2" s="11">
        <f>IFERROR(__xludf.DUMMYFUNCTION("""COMPUTED_VALUE"""),54.54)</f>
        <v>54.54</v>
      </c>
      <c r="P2" s="11">
        <f>IFERROR(__xludf.DUMMYFUNCTION("""COMPUTED_VALUE"""),54.88)</f>
        <v>54.88</v>
      </c>
      <c r="Q2" s="11">
        <f>IFERROR(__xludf.DUMMYFUNCTION("""COMPUTED_VALUE"""),55.07)</f>
        <v>55.07</v>
      </c>
      <c r="R2" s="11">
        <f>IFERROR(__xludf.DUMMYFUNCTION("""COMPUTED_VALUE"""),54.97)</f>
        <v>54.97</v>
      </c>
    </row>
    <row r="3">
      <c r="A3" s="11" t="str">
        <f>IFERROR(__xludf.DUMMYFUNCTION("""COMPUTED_VALUE"""),"Tasa Plusvalia")</f>
        <v>Tasa Plusvalia</v>
      </c>
      <c r="B3" s="11">
        <f>IFERROR(__xludf.DUMMYFUNCTION("""COMPUTED_VALUE"""),174.83)</f>
        <v>174.83</v>
      </c>
      <c r="C3" s="11">
        <f>IFERROR(__xludf.DUMMYFUNCTION("""COMPUTED_VALUE"""),167.0)</f>
        <v>167</v>
      </c>
      <c r="D3" s="11">
        <f>IFERROR(__xludf.DUMMYFUNCTION("""COMPUTED_VALUE"""),167.0)</f>
        <v>167</v>
      </c>
      <c r="E3" s="11">
        <f>IFERROR(__xludf.DUMMYFUNCTION("""COMPUTED_VALUE"""),167.0)</f>
        <v>167</v>
      </c>
      <c r="F3" s="11">
        <f>IFERROR(__xludf.DUMMYFUNCTION("""COMPUTED_VALUE"""),163.29)</f>
        <v>163.29</v>
      </c>
      <c r="G3" s="11">
        <f>IFERROR(__xludf.DUMMYFUNCTION("""COMPUTED_VALUE"""),170.28)</f>
        <v>170.28</v>
      </c>
      <c r="H3" s="11">
        <f>IFERROR(__xludf.DUMMYFUNCTION("""COMPUTED_VALUE"""),197.22)</f>
        <v>197.22</v>
      </c>
      <c r="I3" s="11">
        <f>IFERROR(__xludf.DUMMYFUNCTION("""COMPUTED_VALUE"""),200.54)</f>
        <v>200.54</v>
      </c>
      <c r="J3" s="11">
        <f>IFERROR(__xludf.DUMMYFUNCTION("""COMPUTED_VALUE"""),202.48)</f>
        <v>202.48</v>
      </c>
      <c r="K3" s="11">
        <f>IFERROR(__xludf.DUMMYFUNCTION("""COMPUTED_VALUE"""),195.24)</f>
        <v>195.24</v>
      </c>
      <c r="L3" s="11">
        <f>IFERROR(__xludf.DUMMYFUNCTION("""COMPUTED_VALUE"""),193.15)</f>
        <v>193.15</v>
      </c>
      <c r="M3" s="11">
        <f>IFERROR(__xludf.DUMMYFUNCTION("""COMPUTED_VALUE"""),201.95)</f>
        <v>201.95</v>
      </c>
      <c r="N3" s="11">
        <f>IFERROR(__xludf.DUMMYFUNCTION("""COMPUTED_VALUE"""),210.94)</f>
        <v>210.94</v>
      </c>
      <c r="O3" s="11">
        <f>IFERROR(__xludf.DUMMYFUNCTION("""COMPUTED_VALUE"""),216.83)</f>
        <v>216.83</v>
      </c>
      <c r="P3" s="11">
        <f>IFERROR(__xludf.DUMMYFUNCTION("""COMPUTED_VALUE"""),210.87)</f>
        <v>210.87</v>
      </c>
      <c r="Q3" s="11">
        <f>IFERROR(__xludf.DUMMYFUNCTION("""COMPUTED_VALUE"""),215.32)</f>
        <v>215.32</v>
      </c>
      <c r="R3" s="11">
        <f>IFERROR(__xludf.DUMMYFUNCTION("""COMPUTED_VALUE"""),215.87)</f>
        <v>215.87</v>
      </c>
    </row>
    <row r="4">
      <c r="A4" s="11" t="str">
        <f>IFERROR(__xludf.DUMMYFUNCTION("""COMPUTED_VALUE"""),"Acumulación de Capital")</f>
        <v>Acumulación de Capital</v>
      </c>
      <c r="B4" s="11">
        <f>IFERROR(__xludf.DUMMYFUNCTION("""COMPUTED_VALUE"""),3.65)</f>
        <v>3.65</v>
      </c>
      <c r="C4" s="11">
        <f>IFERROR(__xludf.DUMMYFUNCTION("""COMPUTED_VALUE"""),3.62)</f>
        <v>3.62</v>
      </c>
      <c r="D4" s="11">
        <f>IFERROR(__xludf.DUMMYFUNCTION("""COMPUTED_VALUE"""),3.8)</f>
        <v>3.8</v>
      </c>
      <c r="E4" s="11">
        <f>IFERROR(__xludf.DUMMYFUNCTION("""COMPUTED_VALUE"""),3.88)</f>
        <v>3.88</v>
      </c>
      <c r="F4" s="11">
        <f>IFERROR(__xludf.DUMMYFUNCTION("""COMPUTED_VALUE"""),3.94)</f>
        <v>3.94</v>
      </c>
      <c r="G4" s="11">
        <f>IFERROR(__xludf.DUMMYFUNCTION("""COMPUTED_VALUE"""),3.86)</f>
        <v>3.86</v>
      </c>
      <c r="H4" s="11">
        <f>IFERROR(__xludf.DUMMYFUNCTION("""COMPUTED_VALUE"""),3.1)</f>
        <v>3.1</v>
      </c>
      <c r="I4" s="11">
        <f>IFERROR(__xludf.DUMMYFUNCTION("""COMPUTED_VALUE"""),2.59)</f>
        <v>2.59</v>
      </c>
      <c r="J4" s="11">
        <f>IFERROR(__xludf.DUMMYFUNCTION("""COMPUTED_VALUE"""),2.81)</f>
        <v>2.81</v>
      </c>
      <c r="K4" s="11">
        <f>IFERROR(__xludf.DUMMYFUNCTION("""COMPUTED_VALUE"""),2.87)</f>
        <v>2.87</v>
      </c>
      <c r="L4" s="11">
        <f>IFERROR(__xludf.DUMMYFUNCTION("""COMPUTED_VALUE"""),3.069)</f>
        <v>3.069</v>
      </c>
      <c r="M4" s="11">
        <f>IFERROR(__xludf.DUMMYFUNCTION("""COMPUTED_VALUE"""),3.09)</f>
        <v>3.09</v>
      </c>
      <c r="N4" s="11">
        <f>IFERROR(__xludf.DUMMYFUNCTION("""COMPUTED_VALUE"""),3.13)</f>
        <v>3.13</v>
      </c>
      <c r="O4" s="11">
        <f>IFERROR(__xludf.DUMMYFUNCTION("""COMPUTED_VALUE"""),2.97)</f>
        <v>2.97</v>
      </c>
      <c r="P4" s="11">
        <f>IFERROR(__xludf.DUMMYFUNCTION("""COMPUTED_VALUE"""),2.84)</f>
        <v>2.84</v>
      </c>
      <c r="Q4" s="11">
        <f>IFERROR(__xludf.DUMMYFUNCTION("""COMPUTED_VALUE"""),2.9)</f>
        <v>2.9</v>
      </c>
      <c r="R4" s="11">
        <f>IFERROR(__xludf.DUMMYFUNCTION("""COMPUTED_VALUE"""),2.92)</f>
        <v>2.92</v>
      </c>
    </row>
    <row r="5">
      <c r="A5" s="11" t="str">
        <f>IFERROR(__xludf.DUMMYFUNCTION("""COMPUTED_VALUE"""),"Ciclos del Capital")</f>
        <v>Ciclos del Capital</v>
      </c>
      <c r="B5" s="11">
        <f>IFERROR(__xludf.DUMMYFUNCTION("""COMPUTED_VALUE"""),6.4)</f>
        <v>6.4</v>
      </c>
      <c r="C5" s="11">
        <f>IFERROR(__xludf.DUMMYFUNCTION("""COMPUTED_VALUE"""),6.3)</f>
        <v>6.3</v>
      </c>
      <c r="D5" s="11">
        <f>IFERROR(__xludf.DUMMYFUNCTION("""COMPUTED_VALUE"""),6.47)</f>
        <v>6.47</v>
      </c>
      <c r="E5" s="11">
        <f>IFERROR(__xludf.DUMMYFUNCTION("""COMPUTED_VALUE"""),6.56)</f>
        <v>6.56</v>
      </c>
      <c r="F5" s="11">
        <f>IFERROR(__xludf.DUMMYFUNCTION("""COMPUTED_VALUE"""),6.58)</f>
        <v>6.58</v>
      </c>
      <c r="G5" s="11">
        <f>IFERROR(__xludf.DUMMYFUNCTION("""COMPUTED_VALUE"""),6.56)</f>
        <v>6.56</v>
      </c>
      <c r="H5" s="11">
        <f>IFERROR(__xludf.DUMMYFUNCTION("""COMPUTED_VALUE"""),6.08)</f>
        <v>6.08</v>
      </c>
      <c r="I5" s="11">
        <f>IFERROR(__xludf.DUMMYFUNCTION("""COMPUTED_VALUE"""),5.59)</f>
        <v>5.59</v>
      </c>
      <c r="J5" s="11">
        <f>IFERROR(__xludf.DUMMYFUNCTION("""COMPUTED_VALUE"""),5.83)</f>
        <v>5.83</v>
      </c>
      <c r="K5" s="11">
        <f>IFERROR(__xludf.DUMMYFUNCTION("""COMPUTED_VALUE"""),5.83)</f>
        <v>5.83</v>
      </c>
      <c r="L5" s="11">
        <f>IFERROR(__xludf.DUMMYFUNCTION("""COMPUTED_VALUE"""),6.0)</f>
        <v>6</v>
      </c>
      <c r="M5" s="11">
        <f>IFERROR(__xludf.DUMMYFUNCTION("""COMPUTED_VALUE"""),6.11)</f>
        <v>6.11</v>
      </c>
      <c r="N5" s="11">
        <f>IFERROR(__xludf.DUMMYFUNCTION("""COMPUTED_VALUE"""),6.24)</f>
        <v>6.24</v>
      </c>
      <c r="O5" s="11">
        <f>IFERROR(__xludf.DUMMYFUNCTION("""COMPUTED_VALUE"""),6.14)</f>
        <v>6.14</v>
      </c>
      <c r="P5" s="11">
        <f>IFERROR(__xludf.DUMMYFUNCTION("""COMPUTED_VALUE"""),5.95)</f>
        <v>5.95</v>
      </c>
      <c r="Q5" s="11">
        <f>IFERROR(__xludf.DUMMYFUNCTION("""COMPUTED_VALUE"""),6.06)</f>
        <v>6.06</v>
      </c>
      <c r="R5" s="11">
        <f>IFERROR(__xludf.DUMMYFUNCTION("""COMPUTED_VALUE"""),6.08)</f>
        <v>6.08</v>
      </c>
    </row>
    <row r="6">
      <c r="A6" s="11"/>
      <c r="B6" s="11">
        <f>IFERROR(__xludf.DUMMYFUNCTION("""COMPUTED_VALUE"""),100.0)</f>
        <v>100</v>
      </c>
      <c r="C6" s="11">
        <f>IFERROR(__xludf.DUMMYFUNCTION("""COMPUTED_VALUE"""),100.0)</f>
        <v>100</v>
      </c>
      <c r="D6" s="11">
        <f>IFERROR(__xludf.DUMMYFUNCTION("""COMPUTED_VALUE"""),100.0)</f>
        <v>100</v>
      </c>
      <c r="E6" s="11">
        <f>IFERROR(__xludf.DUMMYFUNCTION("""COMPUTED_VALUE"""),100.0)</f>
        <v>100</v>
      </c>
      <c r="F6" s="11">
        <f>IFERROR(__xludf.DUMMYFUNCTION("""COMPUTED_VALUE"""),100.0)</f>
        <v>100</v>
      </c>
      <c r="G6" s="11">
        <f>IFERROR(__xludf.DUMMYFUNCTION("""COMPUTED_VALUE"""),100.0)</f>
        <v>100</v>
      </c>
      <c r="H6" s="11">
        <f>IFERROR(__xludf.DUMMYFUNCTION("""COMPUTED_VALUE"""),100.0)</f>
        <v>100</v>
      </c>
      <c r="I6" s="11">
        <f>IFERROR(__xludf.DUMMYFUNCTION("""COMPUTED_VALUE"""),100.0)</f>
        <v>100</v>
      </c>
      <c r="J6" s="11">
        <f>IFERROR(__xludf.DUMMYFUNCTION("""COMPUTED_VALUE"""),100.0)</f>
        <v>100</v>
      </c>
      <c r="K6" s="11">
        <f>IFERROR(__xludf.DUMMYFUNCTION("""COMPUTED_VALUE"""),100.0)</f>
        <v>100</v>
      </c>
      <c r="L6" s="11">
        <f>IFERROR(__xludf.DUMMYFUNCTION("""COMPUTED_VALUE"""),100.0)</f>
        <v>100</v>
      </c>
      <c r="M6" s="11">
        <f>IFERROR(__xludf.DUMMYFUNCTION("""COMPUTED_VALUE"""),100.0)</f>
        <v>100</v>
      </c>
      <c r="N6" s="11">
        <f>IFERROR(__xludf.DUMMYFUNCTION("""COMPUTED_VALUE"""),100.0)</f>
        <v>100</v>
      </c>
      <c r="O6" s="11">
        <f>IFERROR(__xludf.DUMMYFUNCTION("""COMPUTED_VALUE"""),100.0)</f>
        <v>100</v>
      </c>
      <c r="P6" s="11">
        <f>IFERROR(__xludf.DUMMYFUNCTION("""COMPUTED_VALUE"""),100.0)</f>
        <v>100</v>
      </c>
      <c r="Q6" s="11">
        <f>IFERROR(__xludf.DUMMYFUNCTION("""COMPUTED_VALUE"""),100.0)</f>
        <v>100</v>
      </c>
      <c r="R6" s="11">
        <f>IFERROR(__xludf.DUMMYFUNCTION("""COMPUTED_VALUE"""),100.0)</f>
        <v>100</v>
      </c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>IFERROR(__xludf.DUMMYFUNCTION("""COMPUTED_VALUE"""),16.0)</f>
        <v>16</v>
      </c>
      <c r="Q10" s="11"/>
      <c r="R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>
      <c r="A12" s="11"/>
      <c r="B12" s="11" t="str">
        <f>IFERROR(__xludf.DUMMYFUNCTION("""COMPUTED_VALUE"""),"Aprovisionamientos")</f>
        <v>Aprovisionamientos</v>
      </c>
      <c r="C12" s="11" t="str">
        <f>IFERROR(__xludf.DUMMYFUNCTION("""COMPUTED_VALUE"""),"Amortizaciones y deterioros")</f>
        <v>Amortizaciones y deterioros</v>
      </c>
      <c r="D12" s="11" t="str">
        <f>IFERROR(__xludf.DUMMYFUNCTION("""COMPUTED_VALUE"""),"T")</f>
        <v>T</v>
      </c>
      <c r="E12" s="11" t="str">
        <f>IFERROR(__xludf.DUMMYFUNCTION("""COMPUTED_VALUE"""),"Kv")</f>
        <v>Kv</v>
      </c>
      <c r="F12" s="11" t="str">
        <f>IFERROR(__xludf.DUMMYFUNCTION("""COMPUTED_VALUE"""),"Kc")</f>
        <v>Kc</v>
      </c>
      <c r="G12" s="11" t="str">
        <f>IFERROR(__xludf.DUMMYFUNCTION("""COMPUTED_VALUE"""),"M")</f>
        <v>M</v>
      </c>
      <c r="H12" s="11" t="str">
        <f>IFERROR(__xludf.DUMMYFUNCTION("""COMPUTED_VALUE"""),"Pv")</f>
        <v>Pv</v>
      </c>
      <c r="I12" s="11" t="str">
        <f>IFERROR(__xludf.DUMMYFUNCTION("""COMPUTED_VALUE"""),"R")</f>
        <v>R</v>
      </c>
      <c r="J12" s="11" t="str">
        <f>IFERROR(__xludf.DUMMYFUNCTION("""COMPUTED_VALUE"""),"Tg")</f>
        <v>Tg</v>
      </c>
      <c r="K12" s="11" t="str">
        <f>IFERROR(__xludf.DUMMYFUNCTION("""COMPUTED_VALUE"""),"Tp")</f>
        <v>Tp</v>
      </c>
      <c r="L12" s="11" t="str">
        <f>IFERROR(__xludf.DUMMYFUNCTION("""COMPUTED_VALUE"""),"Ak")</f>
        <v>Ak</v>
      </c>
      <c r="M12" s="11" t="str">
        <f>IFERROR(__xludf.DUMMYFUNCTION("""COMPUTED_VALUE"""),"Marx")</f>
        <v>Marx</v>
      </c>
      <c r="N12" s="11" t="str">
        <f>IFERROR(__xludf.DUMMYFUNCTION("""COMPUTED_VALUE"""),"Tasa acierto")</f>
        <v>Tasa acierto</v>
      </c>
      <c r="O12" s="11"/>
      <c r="P12" s="11"/>
      <c r="Q12" s="11"/>
      <c r="R12" s="11"/>
    </row>
    <row r="13">
      <c r="A13" s="11" t="str">
        <f>IFERROR(__xludf.DUMMYFUNCTION("""COMPUTED_VALUE"""),"Reducida dimensión")</f>
        <v>Reducida dimensión</v>
      </c>
      <c r="B13" s="11"/>
      <c r="C13" s="11"/>
      <c r="D13" s="11"/>
      <c r="E13" s="11"/>
      <c r="F13" s="11">
        <f>IFERROR(__xludf.DUMMYFUNCTION("""COMPUTED_VALUE"""),0.0)</f>
        <v>0</v>
      </c>
      <c r="G13" s="11"/>
      <c r="H13" s="11">
        <f>IFERROR(__xludf.DUMMYFUNCTION("""COMPUTED_VALUE"""),0.0)</f>
        <v>0</v>
      </c>
      <c r="I13" s="11" t="str">
        <f>IFERROR(__xludf.DUMMYFUNCTION("""COMPUTED_VALUE"""),"#DIV/0!")</f>
        <v>#DIV/0!</v>
      </c>
      <c r="J13" s="11" t="str">
        <f>IFERROR(__xludf.DUMMYFUNCTION("""COMPUTED_VALUE"""),"#DIV/0!")</f>
        <v>#DIV/0!</v>
      </c>
      <c r="K13" s="11" t="str">
        <f>IFERROR(__xludf.DUMMYFUNCTION("""COMPUTED_VALUE"""),"#DIV/0!")</f>
        <v>#DIV/0!</v>
      </c>
      <c r="L13" s="11" t="str">
        <f>IFERROR(__xludf.DUMMYFUNCTION("""COMPUTED_VALUE"""),"#DIV/0!")</f>
        <v>#DIV/0!</v>
      </c>
      <c r="M13" s="11"/>
      <c r="N13" s="11"/>
      <c r="O13" s="11"/>
      <c r="P13" s="11"/>
      <c r="Q13" s="11"/>
      <c r="R13" s="11"/>
    </row>
    <row r="14">
      <c r="A14" s="11" t="str">
        <f>IFERROR(__xludf.DUMMYFUNCTION("""COMPUTED_VALUE"""),"Cooperativas")</f>
        <v>Cooperativas</v>
      </c>
      <c r="B14" s="11"/>
      <c r="C14" s="11"/>
      <c r="D14" s="11"/>
      <c r="E14" s="11"/>
      <c r="F14" s="11">
        <f>IFERROR(__xludf.DUMMYFUNCTION("""COMPUTED_VALUE"""),0.0)</f>
        <v>0</v>
      </c>
      <c r="G14" s="11"/>
      <c r="H14" s="11">
        <f>IFERROR(__xludf.DUMMYFUNCTION("""COMPUTED_VALUE"""),0.0)</f>
        <v>0</v>
      </c>
      <c r="I14" s="11" t="str">
        <f>IFERROR(__xludf.DUMMYFUNCTION("""COMPUTED_VALUE"""),"#DIV/0!")</f>
        <v>#DIV/0!</v>
      </c>
      <c r="J14" s="11" t="str">
        <f>IFERROR(__xludf.DUMMYFUNCTION("""COMPUTED_VALUE"""),"#DIV/0!")</f>
        <v>#DIV/0!</v>
      </c>
      <c r="K14" s="11" t="str">
        <f>IFERROR(__xludf.DUMMYFUNCTION("""COMPUTED_VALUE"""),"#DIV/0!")</f>
        <v>#DIV/0!</v>
      </c>
      <c r="L14" s="11" t="str">
        <f>IFERROR(__xludf.DUMMYFUNCTION("""COMPUTED_VALUE"""),"#DIV/0!")</f>
        <v>#DIV/0!</v>
      </c>
      <c r="M14" s="11"/>
      <c r="N14" s="11"/>
      <c r="O14" s="11"/>
      <c r="P14" s="11"/>
      <c r="Q14" s="11"/>
      <c r="R14" s="11"/>
    </row>
    <row r="15">
      <c r="A15" s="11" t="str">
        <f>IFERROR(__xludf.DUMMYFUNCTION("""COMPUTED_VALUE"""),"Grandes")</f>
        <v>Grandes</v>
      </c>
      <c r="B15" s="11"/>
      <c r="C15" s="11"/>
      <c r="D15" s="11"/>
      <c r="E15" s="11"/>
      <c r="F15" s="11">
        <f>IFERROR(__xludf.DUMMYFUNCTION("""COMPUTED_VALUE"""),0.0)</f>
        <v>0</v>
      </c>
      <c r="G15" s="11"/>
      <c r="H15" s="11">
        <f>IFERROR(__xludf.DUMMYFUNCTION("""COMPUTED_VALUE"""),0.0)</f>
        <v>0</v>
      </c>
      <c r="I15" s="11" t="str">
        <f>IFERROR(__xludf.DUMMYFUNCTION("""COMPUTED_VALUE"""),"#DIV/0!")</f>
        <v>#DIV/0!</v>
      </c>
      <c r="J15" s="11" t="str">
        <f>IFERROR(__xludf.DUMMYFUNCTION("""COMPUTED_VALUE"""),"#DIV/0!")</f>
        <v>#DIV/0!</v>
      </c>
      <c r="K15" s="11" t="str">
        <f>IFERROR(__xludf.DUMMYFUNCTION("""COMPUTED_VALUE"""),"#DIV/0!")</f>
        <v>#DIV/0!</v>
      </c>
      <c r="L15" s="11" t="str">
        <f>IFERROR(__xludf.DUMMYFUNCTION("""COMPUTED_VALUE"""),"#DIV/0!")</f>
        <v>#DIV/0!</v>
      </c>
      <c r="M15" s="11"/>
      <c r="N15" s="11"/>
      <c r="O15" s="11"/>
      <c r="P15" s="11"/>
      <c r="Q15" s="11"/>
      <c r="R15" s="11"/>
    </row>
    <row r="16">
      <c r="A16" s="11" t="str">
        <f>IFERROR(__xludf.DUMMYFUNCTION("""COMPUTED_VALUE"""),"TOTAL")</f>
        <v>TOTAL</v>
      </c>
      <c r="B16" s="25">
        <f>IFERROR(__xludf.DUMMYFUNCTION("""COMPUTED_VALUE"""),1.263166015E9)</f>
        <v>1263166015</v>
      </c>
      <c r="C16" s="25">
        <f>IFERROR(__xludf.DUMMYFUNCTION("""COMPUTED_VALUE"""),7.9019529E7)</f>
        <v>79019529</v>
      </c>
      <c r="D16" s="25">
        <f>IFERROR(__xludf.DUMMYFUNCTION("""COMPUTED_VALUE"""),2.4398228E7)</f>
        <v>24398228</v>
      </c>
      <c r="E16" s="25">
        <f>IFERROR(__xludf.DUMMYFUNCTION("""COMPUTED_VALUE"""),3.4191723E8)</f>
        <v>341917230</v>
      </c>
      <c r="F16" s="25">
        <f>IFERROR(__xludf.DUMMYFUNCTION("""COMPUTED_VALUE"""),1.000268314E9)</f>
        <v>1000268314</v>
      </c>
      <c r="G16" s="25">
        <f>IFERROR(__xludf.DUMMYFUNCTION("""COMPUTED_VALUE"""),2.104399966E9)</f>
        <v>2104399966</v>
      </c>
      <c r="H16" s="25">
        <f>IFERROR(__xludf.DUMMYFUNCTION("""COMPUTED_VALUE"""),7.37816194E8)</f>
        <v>737816194</v>
      </c>
      <c r="I16" s="11">
        <f>IFERROR(__xludf.DUMMYFUNCTION("""COMPUTED_VALUE"""),6.083348704012372)</f>
        <v>6.083348704</v>
      </c>
      <c r="J16" s="11">
        <f>IFERROR(__xludf.DUMMYFUNCTION("""COMPUTED_VALUE"""),0.549712517243443)</f>
        <v>0.5497125172</v>
      </c>
      <c r="K16" s="11">
        <f>IFERROR(__xludf.DUMMYFUNCTION("""COMPUTED_VALUE"""),2.1578795371031756)</f>
        <v>2.157879537</v>
      </c>
      <c r="L16" s="11">
        <f>IFERROR(__xludf.DUMMYFUNCTION("""COMPUTED_VALUE"""),2.9254691669091963)</f>
        <v>2.925469167</v>
      </c>
      <c r="M16" s="25">
        <f>IFERROR(__xludf.DUMMYFUNCTION("""COMPUTED_VALUE"""),2.104399966E9)</f>
        <v>2104399966</v>
      </c>
      <c r="N16" s="21">
        <f>IFERROR(__xludf.DUMMYFUNCTION("""COMPUTED_VALUE"""),1.0)</f>
        <v>1</v>
      </c>
      <c r="O16" s="11"/>
      <c r="P16" s="11"/>
      <c r="Q16" s="11"/>
      <c r="R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 t="str">
        <f>IFERROR(__xludf.DUMMYFUNCTION("""COMPUTED_VALUE"""),"Ciclos Capital")</f>
        <v>Ciclos Capital</v>
      </c>
      <c r="Q18" s="11" t="str">
        <f>IFERROR(__xludf.DUMMYFUNCTION("""COMPUTED_VALUE"""),"Tasa ganancia")</f>
        <v>Tasa ganancia</v>
      </c>
      <c r="R18" s="11" t="str">
        <f>IFERROR(__xludf.DUMMYFUNCTION("""COMPUTED_VALUE"""),"Tasa Plusvalía")</f>
        <v>Tasa Plusvalía</v>
      </c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>
        <f>IFERROR(__xludf.DUMMYFUNCTION("""COMPUTED_VALUE"""),-0.8569714434263973)</f>
        <v>-0.8569714434</v>
      </c>
      <c r="M19" s="11"/>
      <c r="N19" s="11"/>
      <c r="O19" s="11" t="str">
        <f>IFERROR(__xludf.DUMMYFUNCTION("""COMPUTED_VALUE"""),"Ciclos Capital")</f>
        <v>Ciclos Capital</v>
      </c>
      <c r="P19" s="11">
        <f>IFERROR(__xludf.DUMMYFUNCTION("""COMPUTED_VALUE"""),0.9999999999999982)</f>
        <v>1</v>
      </c>
      <c r="Q19" s="11"/>
      <c r="R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tr">
        <f>IFERROR(__xludf.DUMMYFUNCTION("""COMPUTED_VALUE"""),"Tasa ganancia")</f>
        <v>Tasa ganancia</v>
      </c>
      <c r="P20" s="11">
        <f>IFERROR(__xludf.DUMMYFUNCTION("""COMPUTED_VALUE"""),-0.8569714434263973)</f>
        <v>-0.8569714434</v>
      </c>
      <c r="Q20" s="11">
        <f>IFERROR(__xludf.DUMMYFUNCTION("""COMPUTED_VALUE"""),0.9999999999999998)</f>
        <v>1</v>
      </c>
      <c r="R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 t="str">
        <f>IFERROR(__xludf.DUMMYFUNCTION("""COMPUTED_VALUE"""),"Tasa Plusvalía")</f>
        <v>Tasa Plusvalía</v>
      </c>
      <c r="P21" s="11">
        <f>IFERROR(__xludf.DUMMYFUNCTION("""COMPUTED_VALUE"""),-0.7053669538524535)</f>
        <v>-0.7053669539</v>
      </c>
      <c r="Q21" s="11">
        <f>IFERROR(__xludf.DUMMYFUNCTION("""COMPUTED_VALUE"""),0.9676970558952999)</f>
        <v>0.9676970559</v>
      </c>
      <c r="R21" s="11">
        <f>IFERROR(__xludf.DUMMYFUNCTION("""COMPUTED_VALUE"""),0.9999999999999996)</f>
        <v>1</v>
      </c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 t="str">
        <f>IFERROR(__xludf.DUMMYFUNCTION("""COMPUTED_VALUE"""),"Acumulación Capital")</f>
        <v>Acumulación Capital</v>
      </c>
      <c r="P22" s="11">
        <f>IFERROR(__xludf.DUMMYFUNCTION("""COMPUTED_VALUE"""),0.9497756344361922)</f>
        <v>0.9497756344</v>
      </c>
      <c r="Q22" s="11">
        <f>IFERROR(__xludf.DUMMYFUNCTION("""COMPUTED_VALUE"""),-0.9741041248990425)</f>
        <v>-0.9741041249</v>
      </c>
      <c r="R22" s="11">
        <f>IFERROR(__xludf.DUMMYFUNCTION("""COMPUTED_VALUE"""),-0.8916435212995439)</f>
        <v>-0.8916435213</v>
      </c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 t="str">
        <f>IFERROR(__xludf.DUMMYFUNCTION("""COMPUTED_VALUE"""),"Ciclos Capital")</f>
        <v>Ciclos Capital</v>
      </c>
      <c r="Q26" s="11" t="str">
        <f>IFERROR(__xludf.DUMMYFUNCTION("""COMPUTED_VALUE"""),"Tasa ganancia")</f>
        <v>Tasa ganancia</v>
      </c>
      <c r="R26" s="11" t="str">
        <f>IFERROR(__xludf.DUMMYFUNCTION("""COMPUTED_VALUE"""),"Tasa Plusvalía")</f>
        <v>Tasa Plusvalía</v>
      </c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 t="str">
        <f>IFERROR(__xludf.DUMMYFUNCTION("""COMPUTED_VALUE"""),"Ciclos Capital")</f>
        <v>Ciclos Capital</v>
      </c>
      <c r="P27" s="11"/>
      <c r="Q27" s="11"/>
      <c r="R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 t="str">
        <f>IFERROR(__xludf.DUMMYFUNCTION("""COMPUTED_VALUE"""),"Tasa ganancia")</f>
        <v>Tasa ganancia</v>
      </c>
      <c r="P28" s="11">
        <f>IFERROR(__xludf.DUMMYFUNCTION("""COMPUTED_VALUE"""),3.31)</f>
        <v>3.31</v>
      </c>
      <c r="Q28" s="11"/>
      <c r="R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 t="str">
        <f>IFERROR(__xludf.DUMMYFUNCTION("""COMPUTED_VALUE"""),"Tasa Plusvalía")</f>
        <v>Tasa Plusvalía</v>
      </c>
      <c r="P29" s="11">
        <f>IFERROR(__xludf.DUMMYFUNCTION("""COMPUTED_VALUE"""),1.98)</f>
        <v>1.98</v>
      </c>
      <c r="Q29" s="11">
        <f>IFERROR(__xludf.DUMMYFUNCTION("""COMPUTED_VALUE"""),6.85)</f>
        <v>6.85</v>
      </c>
      <c r="R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 t="str">
        <f>IFERROR(__xludf.DUMMYFUNCTION("""COMPUTED_VALUE"""),"Acumulación Capital")</f>
        <v>Acumulación Capital</v>
      </c>
      <c r="P30" s="11">
        <f>IFERROR(__xludf.DUMMYFUNCTION("""COMPUTED_VALUE"""),5.51)</f>
        <v>5.51</v>
      </c>
      <c r="Q30" s="11">
        <f>IFERROR(__xludf.DUMMYFUNCTION("""COMPUTED_VALUE"""),8.59)</f>
        <v>8.59</v>
      </c>
      <c r="R30" s="11">
        <f>IFERROR(__xludf.DUMMYFUNCTION("""COMPUTED_VALUE"""),3.92)</f>
        <v>3.92</v>
      </c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 t="str">
        <f>IFERROR(__xludf.DUMMYFUNCTION("""COMPUTED_VALUE"""),"Cockshott")</f>
        <v>Cockshott</v>
      </c>
      <c r="P33" s="11"/>
      <c r="Q33" s="11"/>
      <c r="R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 t="str">
        <f>IFERROR(__xludf.DUMMYFUNCTION("""COMPUTED_VALUE"""),"Ciclos Capital")</f>
        <v>Ciclos Capital</v>
      </c>
      <c r="Q35" s="11" t="str">
        <f>IFERROR(__xludf.DUMMYFUNCTION("""COMPUTED_VALUE"""),"Tasa ganancia")</f>
        <v>Tasa ganancia</v>
      </c>
      <c r="R35" s="11" t="str">
        <f>IFERROR(__xludf.DUMMYFUNCTION("""COMPUTED_VALUE"""),"Tasa Plusvalía")</f>
        <v>Tasa Plusvalía</v>
      </c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 t="str">
        <f>IFERROR(__xludf.DUMMYFUNCTION("""COMPUTED_VALUE"""),"Ciclos Capital")</f>
        <v>Ciclos Capital</v>
      </c>
      <c r="P36" s="11">
        <f>IFERROR(__xludf.DUMMYFUNCTION("""COMPUTED_VALUE"""),1.0)</f>
        <v>1</v>
      </c>
      <c r="Q36" s="11"/>
      <c r="R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 t="str">
        <f>IFERROR(__xludf.DUMMYFUNCTION("""COMPUTED_VALUE"""),"Tasa ganancia")</f>
        <v>Tasa ganancia</v>
      </c>
      <c r="P37" s="11">
        <f>IFERROR(__xludf.DUMMYFUNCTION("""COMPUTED_VALUE"""),-0.288)</f>
        <v>-0.288</v>
      </c>
      <c r="Q37" s="11">
        <f>IFERROR(__xludf.DUMMYFUNCTION("""COMPUTED_VALUE"""),1.0)</f>
        <v>1</v>
      </c>
      <c r="R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 t="str">
        <f>IFERROR(__xludf.DUMMYFUNCTION("""COMPUTED_VALUE"""),"Tasa Plusvalía")</f>
        <v>Tasa Plusvalía</v>
      </c>
      <c r="P38" s="11">
        <f>IFERROR(__xludf.DUMMYFUNCTION("""COMPUTED_VALUE"""),0.369)</f>
        <v>0.369</v>
      </c>
      <c r="Q38" s="11">
        <f>IFERROR(__xludf.DUMMYFUNCTION("""COMPUTED_VALUE"""),0.517)</f>
        <v>0.517</v>
      </c>
      <c r="R38" s="11">
        <f>IFERROR(__xludf.DUMMYFUNCTION("""COMPUTED_VALUE"""),1.0)</f>
        <v>1</v>
      </c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 t="str">
        <f>IFERROR(__xludf.DUMMYFUNCTION("""COMPUTED_VALUE"""),"Ciclos Capital")</f>
        <v>Ciclos Capital</v>
      </c>
      <c r="Q41" s="11" t="str">
        <f>IFERROR(__xludf.DUMMYFUNCTION("""COMPUTED_VALUE"""),"Tasa ganancia")</f>
        <v>Tasa ganancia</v>
      </c>
      <c r="R41" s="11" t="str">
        <f>IFERROR(__xludf.DUMMYFUNCTION("""COMPUTED_VALUE"""),"Tasa Plusvalía")</f>
        <v>Tasa Plusvalía</v>
      </c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 t="str">
        <f>IFERROR(__xludf.DUMMYFUNCTION("""COMPUTED_VALUE"""),"Ciclos Capital")</f>
        <v>Ciclos Capital</v>
      </c>
      <c r="P42" s="11"/>
      <c r="Q42" s="11"/>
      <c r="R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 t="str">
        <f>IFERROR(__xludf.DUMMYFUNCTION("""COMPUTED_VALUE"""),"Tasa ganancia")</f>
        <v>Tasa ganancia</v>
      </c>
      <c r="P43" s="11">
        <f>IFERROR(__xludf.DUMMYFUNCTION("""COMPUTED_VALUE"""),0.601)</f>
        <v>0.601</v>
      </c>
      <c r="Q43" s="11"/>
      <c r="R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 t="str">
        <f>IFERROR(__xludf.DUMMYFUNCTION("""COMPUTED_VALUE"""),"Tasa Plusvalía")</f>
        <v>Tasa Plusvalía</v>
      </c>
      <c r="P44" s="11">
        <f>IFERROR(__xludf.DUMMYFUNCTION("""COMPUTED_VALUE"""),0.794)</f>
        <v>0.794</v>
      </c>
      <c r="Q44" s="11">
        <f>IFERROR(__xludf.DUMMYFUNCTION("""COMPUTED_VALUE"""),1.208)</f>
        <v>1.208</v>
      </c>
      <c r="R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 t="str">
        <f>IFERROR(__xludf.DUMMYFUNCTION("""COMPUTED_VALUE"""),"sí (P=0,92)")</f>
        <v>sí (P=0,92)</v>
      </c>
      <c r="Q45" s="11" t="str">
        <f>IFERROR(__xludf.DUMMYFUNCTION("""COMPUTED_VALUE"""),"Sí(P=0,998)")</f>
        <v>Sí(P=0,998)</v>
      </c>
      <c r="R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221" t="str">
        <f>IFERROR(__xludf.DUMMYFUNCTION("""COMPUTED_VALUE"""),"https://sci-hub.mksa.top/10.1093/cje/27.5.749")</f>
        <v>https://sci-hub.mksa.top/10.1093/cje/27.5.749</v>
      </c>
      <c r="P48" s="11"/>
      <c r="Q48" s="11"/>
      <c r="R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</sheetData>
  <hyperlinks>
    <hyperlink r:id="rId1" ref="O48"/>
  </hyperlin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5"/>
  </cols>
  <sheetData>
    <row r="1">
      <c r="B1" s="222">
        <v>2002.0</v>
      </c>
      <c r="C1" s="222">
        <v>2003.0</v>
      </c>
      <c r="D1" s="222">
        <v>2004.0</v>
      </c>
      <c r="E1" s="223">
        <v>2005.0</v>
      </c>
      <c r="F1" s="223">
        <v>2006.0</v>
      </c>
      <c r="G1" s="223">
        <v>2007.0</v>
      </c>
      <c r="H1" s="223">
        <v>2008.0</v>
      </c>
      <c r="I1" s="223">
        <v>2009.0</v>
      </c>
      <c r="J1" s="223">
        <v>2010.0</v>
      </c>
      <c r="K1" s="223">
        <v>2011.0</v>
      </c>
      <c r="L1" s="223">
        <v>2012.0</v>
      </c>
      <c r="M1" s="223">
        <v>2013.0</v>
      </c>
      <c r="N1" s="223">
        <v>2014.0</v>
      </c>
      <c r="O1" s="223">
        <v>2015.0</v>
      </c>
      <c r="P1" s="223">
        <v>2016.0</v>
      </c>
      <c r="Q1" s="223">
        <v>2017.0</v>
      </c>
      <c r="R1" s="223">
        <v>2018.0</v>
      </c>
    </row>
    <row r="2">
      <c r="A2" s="224" t="s">
        <v>678</v>
      </c>
      <c r="B2" s="222">
        <v>37.55</v>
      </c>
      <c r="C2" s="222">
        <v>36.18</v>
      </c>
      <c r="D2" s="222">
        <v>34.9</v>
      </c>
      <c r="E2" s="12">
        <f>AVERAGE(PLUSVALIASF!E2,PLUSVALIA_RESTO!B2)</f>
        <v>27.78704584</v>
      </c>
      <c r="F2" s="12">
        <f>AVERAGE(PLUSVALIASF!F2,PLUSVALIA_RESTO!C2)</f>
        <v>26.88955941</v>
      </c>
      <c r="G2" s="12">
        <f>AVERAGE(PLUSVALIASF!G2,PLUSVALIA_RESTO!D2)</f>
        <v>28.81246224</v>
      </c>
      <c r="H2" s="12">
        <f>AVERAGE(PLUSVALIASF!H2,PLUSVALIA_RESTO!E2)</f>
        <v>64.31200562</v>
      </c>
      <c r="I2" s="12">
        <f>AVERAGE(PLUSVALIASF!I2,PLUSVALIA_RESTO!F2)</f>
        <v>40.82053696</v>
      </c>
      <c r="J2" s="12">
        <f>AVERAGE(PLUSVALIASF!J2,PLUSVALIA_RESTO!G2)</f>
        <v>39.97659348</v>
      </c>
      <c r="K2" s="12">
        <f>AVERAGE(PLUSVALIASF!K2,PLUSVALIA_RESTO!H2)</f>
        <v>37.72758004</v>
      </c>
      <c r="L2" s="12">
        <f>AVERAGE(PLUSVALIASF!L2,PLUSVALIA_RESTO!I2)</f>
        <v>36.51624644</v>
      </c>
      <c r="M2" s="12">
        <f>AVERAGE(PLUSVALIASF!M2,PLUSVALIA_RESTO!J2)</f>
        <v>38.68456754</v>
      </c>
      <c r="N2" s="12">
        <f>AVERAGE(PLUSVALIASF!N2,PLUSVALIA_RESTO!K2)</f>
        <v>40.18155033</v>
      </c>
      <c r="O2" s="12">
        <f>AVERAGE(PLUSVALIASF!O2,PLUSVALIA_RESTO!L2)</f>
        <v>41.2701422</v>
      </c>
      <c r="P2" s="12">
        <f>AVERAGE(PLUSVALIASF!P2,PLUSVALIA_RESTO!M2)</f>
        <v>41.48614532</v>
      </c>
      <c r="Q2" s="12">
        <f>AVERAGE(PLUSVALIASF!Q2,PLUSVALIA_RESTO!N2)</f>
        <v>41.42532441</v>
      </c>
      <c r="R2" s="22">
        <v>27.05048573</v>
      </c>
    </row>
    <row r="3">
      <c r="A3" s="224" t="s">
        <v>679</v>
      </c>
      <c r="B3" s="222">
        <v>174.83</v>
      </c>
      <c r="C3" s="222">
        <v>167.0</v>
      </c>
      <c r="D3" s="222">
        <v>167.0</v>
      </c>
      <c r="E3" s="12">
        <f>AVERAGE(PLUSVALIASF!E3,PLUSVALIA_RESTO!B3)</f>
        <v>96.42076963</v>
      </c>
      <c r="F3" s="12">
        <f>AVERAGE(PLUSVALIASF!F3,PLUSVALIA_RESTO!C3)</f>
        <v>141.3401538</v>
      </c>
      <c r="G3" s="12">
        <f>AVERAGE(PLUSVALIASF!G3,PLUSVALIA_RESTO!D3)</f>
        <v>149.4257757</v>
      </c>
      <c r="H3" s="12">
        <f>AVERAGE(PLUSVALIASF!H3,PLUSVALIA_RESTO!E3)</f>
        <v>163.5062599</v>
      </c>
      <c r="I3" s="12">
        <f>AVERAGE(PLUSVALIASF!I3,PLUSVALIA_RESTO!F3)</f>
        <v>160.7375638</v>
      </c>
      <c r="J3" s="12">
        <f>AVERAGE(PLUSVALIASF!J3,PLUSVALIA_RESTO!G3)</f>
        <v>166.0973801</v>
      </c>
      <c r="K3" s="12">
        <f>AVERAGE(PLUSVALIASF!K3,PLUSVALIA_RESTO!H3)</f>
        <v>159.2317723</v>
      </c>
      <c r="L3" s="12">
        <f>AVERAGE(PLUSVALIASF!L3,PLUSVALIA_RESTO!I3)</f>
        <v>160.1295354</v>
      </c>
      <c r="M3" s="12">
        <f>AVERAGE(PLUSVALIASF!M3,PLUSVALIA_RESTO!J3)</f>
        <v>170.7027281</v>
      </c>
      <c r="N3" s="12">
        <f>AVERAGE(PLUSVALIASF!N3,PLUSVALIA_RESTO!K3)</f>
        <v>178.7510068</v>
      </c>
      <c r="O3" s="12">
        <f>AVERAGE(PLUSVALIASF!O3,PLUSVALIA_RESTO!L3)</f>
        <v>178.3848332</v>
      </c>
      <c r="P3" s="12">
        <f>AVERAGE(PLUSVALIASF!P3,PLUSVALIA_RESTO!M3)</f>
        <v>173.6308988</v>
      </c>
      <c r="Q3" s="12">
        <f>AVERAGE(PLUSVALIASF!Q3,PLUSVALIA_RESTO!N3)</f>
        <v>176.8452261</v>
      </c>
      <c r="R3" s="22">
        <v>135.4643144</v>
      </c>
    </row>
    <row r="4">
      <c r="A4" s="11" t="s">
        <v>680</v>
      </c>
      <c r="B4" s="222">
        <v>3.65</v>
      </c>
      <c r="C4" s="222">
        <v>3.62</v>
      </c>
      <c r="D4" s="222">
        <v>3.8</v>
      </c>
      <c r="E4" s="12">
        <f>AVERAGE(PLUSVALIASF!E4,PLUSVALIA_RESTO!B4)</f>
        <v>4.287585438</v>
      </c>
      <c r="F4" s="12">
        <f>AVERAGE(PLUSVALIASF!F4,PLUSVALIA_RESTO!C4)</f>
        <v>4.341461477</v>
      </c>
      <c r="G4" s="12">
        <f>AVERAGE(PLUSVALIASF!G4,PLUSVALIA_RESTO!D4)</f>
        <v>4.271369736</v>
      </c>
      <c r="H4" s="12">
        <f>AVERAGE(PLUSVALIASF!H4,PLUSVALIA_RESTO!E4)</f>
        <v>3.631845969</v>
      </c>
      <c r="I4" s="12">
        <f>AVERAGE(PLUSVALIASF!I4,PLUSVALIA_RESTO!F4)</f>
        <v>3.136791203</v>
      </c>
      <c r="J4" s="12">
        <f>AVERAGE(PLUSVALIASF!J4,PLUSVALIA_RESTO!G4)</f>
        <v>3.322959513</v>
      </c>
      <c r="K4" s="12">
        <f>AVERAGE(PLUSVALIASF!K4,PLUSVALIA_RESTO!H4)</f>
        <v>3.386218615</v>
      </c>
      <c r="L4" s="12">
        <f>AVERAGE(PLUSVALIASF!L4,PLUSVALIA_RESTO!I4)</f>
        <v>3.519769454</v>
      </c>
      <c r="M4" s="12">
        <f>AVERAGE(PLUSVALIASF!M4,PLUSVALIA_RESTO!J4)</f>
        <v>3.530913661</v>
      </c>
      <c r="N4" s="12">
        <f>AVERAGE(PLUSVALIASF!N4,PLUSVALIA_RESTO!K4)</f>
        <v>3.562384569</v>
      </c>
      <c r="O4" s="12">
        <f>AVERAGE(PLUSVALIASF!O4,PLUSVALIA_RESTO!L4)</f>
        <v>3.483897232</v>
      </c>
      <c r="P4" s="12">
        <f>AVERAGE(PLUSVALIASF!P4,PLUSVALIA_RESTO!M4)</f>
        <v>3.347566327</v>
      </c>
      <c r="Q4" s="12">
        <f>AVERAGE(PLUSVALIASF!Q4,PLUSVALIA_RESTO!N4)</f>
        <v>3.440410738</v>
      </c>
      <c r="R4" s="22">
        <v>4.0</v>
      </c>
    </row>
    <row r="5">
      <c r="A5" s="11" t="s">
        <v>681</v>
      </c>
      <c r="B5" s="222">
        <v>6.4</v>
      </c>
      <c r="C5" s="222">
        <v>6.3</v>
      </c>
      <c r="D5" s="222">
        <v>6.47</v>
      </c>
      <c r="E5" s="12">
        <f>AVERAGE(PLUSVALIASF!E5,PLUSVALIA_RESTO!B5)</f>
        <v>6.256793134</v>
      </c>
      <c r="F5" s="12">
        <f>AVERAGE(PLUSVALIASF!F5,PLUSVALIA_RESTO!C5)</f>
        <v>6.758413015</v>
      </c>
      <c r="G5" s="12">
        <f>AVERAGE(PLUSVALIASF!G5,PLUSVALIA_RESTO!D5)</f>
        <v>6.764227492</v>
      </c>
      <c r="H5" s="12">
        <f>AVERAGE(PLUSVALIASF!H5,PLUSVALIA_RESTO!E5)</f>
        <v>6.270808569</v>
      </c>
      <c r="I5" s="12">
        <f>AVERAGE(PLUSVALIASF!I5,PLUSVALIA_RESTO!F5)</f>
        <v>5.741466841</v>
      </c>
      <c r="J5" s="12">
        <f>AVERAGE(PLUSVALIASF!J5,PLUSVALIA_RESTO!G5)</f>
        <v>5.981533314</v>
      </c>
      <c r="K5" s="12">
        <f>AVERAGE(PLUSVALIASF!K5,PLUSVALIA_RESTO!H5)</f>
        <v>5.982336338</v>
      </c>
      <c r="L5" s="12">
        <f>AVERAGE(PLUSVALIASF!L5,PLUSVALIA_RESTO!I5)</f>
        <v>6.120814808</v>
      </c>
      <c r="M5" s="12">
        <f>AVERAGE(PLUSVALIASF!M5,PLUSVALIA_RESTO!J5)</f>
        <v>6.238190942</v>
      </c>
      <c r="N5" s="12">
        <f>AVERAGE(PLUSVALIASF!N5,PLUSVALIA_RESTO!K5)</f>
        <v>6.350194637</v>
      </c>
      <c r="O5" s="12">
        <f>AVERAGE(PLUSVALIASF!O5,PLUSVALIA_RESTO!L5)</f>
        <v>6.268595564</v>
      </c>
      <c r="P5" s="12">
        <f>AVERAGE(PLUSVALIASF!P5,PLUSVALIA_RESTO!M5)</f>
        <v>6.084525315</v>
      </c>
      <c r="Q5" s="12">
        <f>AVERAGE(PLUSVALIASF!Q5,PLUSVALIA_RESTO!N5)</f>
        <v>6.212263</v>
      </c>
      <c r="R5" s="22">
        <v>6.36</v>
      </c>
    </row>
    <row r="9">
      <c r="B9" s="4"/>
      <c r="C9" s="4"/>
      <c r="D9" s="4"/>
      <c r="E9" s="4">
        <v>2005.0</v>
      </c>
    </row>
    <row r="13">
      <c r="B13" s="39"/>
      <c r="C13" s="39"/>
      <c r="D13" s="39"/>
      <c r="E13" s="39"/>
      <c r="F13" s="39"/>
      <c r="G13" s="39"/>
      <c r="H13" s="39"/>
      <c r="I13" s="39"/>
      <c r="J13" s="49"/>
      <c r="K13" s="39"/>
      <c r="L13" s="49"/>
      <c r="M13" s="39"/>
      <c r="N13" s="39"/>
      <c r="O13" s="39"/>
      <c r="P13" s="49"/>
      <c r="Q13" s="39"/>
    </row>
    <row r="14">
      <c r="A14" s="78"/>
      <c r="B14" s="23"/>
      <c r="C14" s="23"/>
      <c r="D14" s="23"/>
      <c r="E14" s="23"/>
      <c r="G14" s="23"/>
      <c r="H14" s="23"/>
      <c r="J14" s="23"/>
    </row>
    <row r="15">
      <c r="A15" s="78"/>
      <c r="B15" s="23"/>
      <c r="C15" s="23"/>
      <c r="D15" s="23"/>
      <c r="E15" s="23"/>
      <c r="G15" s="23"/>
      <c r="H15" s="23"/>
      <c r="J15" s="23"/>
    </row>
    <row r="16">
      <c r="A16" s="78"/>
      <c r="B16" s="23"/>
      <c r="C16" s="23"/>
      <c r="D16" s="23"/>
      <c r="E16" s="23"/>
      <c r="F16" s="23"/>
      <c r="G16" s="23"/>
      <c r="H16" s="23"/>
      <c r="J16" s="23"/>
    </row>
    <row r="17">
      <c r="A17" s="78"/>
      <c r="B17" s="23"/>
      <c r="C17" s="23"/>
      <c r="D17" s="23"/>
      <c r="E17" s="23"/>
      <c r="F17" s="23"/>
      <c r="G17" s="23"/>
      <c r="H17" s="23"/>
      <c r="J17" s="23"/>
    </row>
    <row r="18">
      <c r="A18" s="64"/>
      <c r="B18" s="23"/>
      <c r="C18" s="23"/>
      <c r="D18" s="23"/>
      <c r="E18" s="23"/>
      <c r="F18" s="23"/>
      <c r="G18" s="23"/>
      <c r="H18" s="23"/>
      <c r="J18" s="23"/>
    </row>
    <row r="21">
      <c r="B21" s="223">
        <v>2005.0</v>
      </c>
      <c r="C21" s="223">
        <v>2006.0</v>
      </c>
      <c r="D21" s="223">
        <v>2007.0</v>
      </c>
      <c r="E21" s="223">
        <v>2008.0</v>
      </c>
      <c r="F21" s="223">
        <v>2009.0</v>
      </c>
      <c r="G21" s="223">
        <v>2010.0</v>
      </c>
      <c r="H21" s="223">
        <v>2011.0</v>
      </c>
      <c r="I21" s="223">
        <v>2012.0</v>
      </c>
      <c r="J21" s="223">
        <v>2013.0</v>
      </c>
      <c r="K21" s="223">
        <v>2014.0</v>
      </c>
      <c r="L21" s="223">
        <v>2015.0</v>
      </c>
      <c r="M21" s="223">
        <v>2016.0</v>
      </c>
      <c r="N21" s="223">
        <v>2017.0</v>
      </c>
      <c r="O21" s="223">
        <v>2018.0</v>
      </c>
    </row>
    <row r="22">
      <c r="A22" s="224" t="s">
        <v>678</v>
      </c>
      <c r="B22" s="12">
        <v>27.787045843869493</v>
      </c>
      <c r="C22" s="12">
        <v>26.889559410830095</v>
      </c>
      <c r="D22" s="12">
        <v>28.812462238879924</v>
      </c>
      <c r="E22" s="12">
        <v>64.31200562415093</v>
      </c>
      <c r="F22" s="12">
        <v>40.82053696282713</v>
      </c>
      <c r="G22" s="12">
        <v>39.97659347661559</v>
      </c>
      <c r="H22" s="12">
        <v>37.727580041534736</v>
      </c>
      <c r="I22" s="12">
        <v>36.5162464414143</v>
      </c>
      <c r="J22" s="12">
        <v>38.684567544379</v>
      </c>
      <c r="K22" s="12">
        <v>40.181550329327095</v>
      </c>
      <c r="L22" s="12">
        <v>41.27014219759095</v>
      </c>
      <c r="M22" s="12">
        <v>41.48614531898263</v>
      </c>
      <c r="N22" s="12">
        <v>41.425324409211015</v>
      </c>
      <c r="O22" s="22">
        <v>27.05048573</v>
      </c>
    </row>
    <row r="23">
      <c r="A23" s="224" t="s">
        <v>679</v>
      </c>
      <c r="B23" s="12">
        <v>96.42076962981028</v>
      </c>
      <c r="C23" s="12">
        <v>141.3401538372715</v>
      </c>
      <c r="D23" s="12">
        <v>149.42577568048586</v>
      </c>
      <c r="E23" s="12">
        <v>163.5062599279034</v>
      </c>
      <c r="F23" s="12">
        <v>160.73756377591803</v>
      </c>
      <c r="G23" s="12">
        <v>166.09738006327524</v>
      </c>
      <c r="H23" s="12">
        <v>159.23177227955668</v>
      </c>
      <c r="I23" s="12">
        <v>160.12953541706867</v>
      </c>
      <c r="J23" s="12">
        <v>170.70272809966806</v>
      </c>
      <c r="K23" s="12">
        <v>178.75100678364942</v>
      </c>
      <c r="L23" s="12">
        <v>178.38483316917643</v>
      </c>
      <c r="M23" s="12">
        <v>173.63089879547948</v>
      </c>
      <c r="N23" s="12">
        <v>176.84522613538513</v>
      </c>
      <c r="O23" s="22">
        <v>135.4643144</v>
      </c>
    </row>
    <row r="48">
      <c r="A48" s="71" t="s">
        <v>683</v>
      </c>
    </row>
    <row r="52">
      <c r="A52" s="225" t="s">
        <v>684</v>
      </c>
      <c r="B52" s="74"/>
    </row>
    <row r="53">
      <c r="A53" s="226">
        <f>AVERAGE(PLUSVALIA_RESTO!N19,PLUSVALIA_RESTO!N29,PLUSVALIA_RESTO!N39,PLUSVALIA_RESTO!N49,PLUSVALIA_RESTO!N59,PLUSVALIA_RESTO!N67,PLUSVALIA_RESTO!N76,PLUSVALIA_RESTO!N86,PLUSVALIA_RESTO!N96,PLUSVALIA_RESTO!N107,PLUSVALIA_RESTO!N116,PLUSVALIA_RESTO!N128,PLUSVALIA_RESTO!N139,'Replicación (controlada)'!R8)</f>
        <v>0.9912109814</v>
      </c>
      <c r="B53" s="74"/>
    </row>
    <row r="56">
      <c r="A56" s="130" t="s">
        <v>685</v>
      </c>
      <c r="B56" s="130">
        <v>2005.0</v>
      </c>
      <c r="C56" s="130">
        <v>2006.0</v>
      </c>
      <c r="D56" s="130">
        <v>2007.0</v>
      </c>
      <c r="E56" s="130">
        <v>2008.0</v>
      </c>
      <c r="F56" s="130">
        <v>2009.0</v>
      </c>
      <c r="G56" s="130">
        <v>2010.0</v>
      </c>
      <c r="H56" s="130">
        <v>2011.0</v>
      </c>
      <c r="I56" s="130">
        <v>2012.0</v>
      </c>
      <c r="J56" s="130">
        <v>2013.0</v>
      </c>
      <c r="K56" s="130">
        <v>2014.0</v>
      </c>
      <c r="L56" s="130">
        <v>2015.0</v>
      </c>
      <c r="M56" s="130">
        <v>2016.0</v>
      </c>
      <c r="N56" s="130">
        <v>2017.0</v>
      </c>
      <c r="O56" s="130">
        <v>2018.0</v>
      </c>
    </row>
    <row r="57">
      <c r="A57" s="227" t="s">
        <v>686</v>
      </c>
      <c r="B57" s="25">
        <v>9843.0</v>
      </c>
      <c r="C57" s="25">
        <v>11178.0</v>
      </c>
      <c r="D57" s="25">
        <v>18198.0</v>
      </c>
      <c r="E57" s="25">
        <v>16368.0</v>
      </c>
      <c r="F57" s="25">
        <v>17556.0</v>
      </c>
      <c r="G57" s="25">
        <v>18700.0</v>
      </c>
      <c r="H57" s="25">
        <v>20010.0</v>
      </c>
      <c r="I57" s="25">
        <v>22887.0</v>
      </c>
      <c r="J57" s="25">
        <v>25044.0</v>
      </c>
      <c r="K57" s="25">
        <v>22097.0</v>
      </c>
      <c r="L57" s="25">
        <v>21016.0</v>
      </c>
      <c r="M57" s="25">
        <v>21467.0</v>
      </c>
      <c r="N57" s="25">
        <v>21820.0</v>
      </c>
      <c r="O57" s="25">
        <v>22560.0</v>
      </c>
    </row>
    <row r="58">
      <c r="A58" s="227" t="s">
        <v>687</v>
      </c>
      <c r="B58" s="25">
        <v>5674.0</v>
      </c>
      <c r="C58" s="25">
        <v>5714.0</v>
      </c>
      <c r="D58" s="25">
        <v>6035.0</v>
      </c>
      <c r="E58" s="25">
        <v>6018.0</v>
      </c>
      <c r="F58" s="25">
        <v>5737.0</v>
      </c>
      <c r="G58" s="25">
        <v>5885.0</v>
      </c>
      <c r="H58" s="25">
        <v>6282.0</v>
      </c>
      <c r="I58" s="25">
        <v>6627.0</v>
      </c>
      <c r="J58" s="25">
        <v>6670.0</v>
      </c>
      <c r="K58" s="25">
        <v>7000.0</v>
      </c>
      <c r="L58" s="25">
        <v>8103.0</v>
      </c>
      <c r="M58" s="25">
        <v>6323.0</v>
      </c>
      <c r="N58" s="25">
        <v>6142.0</v>
      </c>
      <c r="O58" s="25">
        <v>6308.0</v>
      </c>
    </row>
    <row r="59">
      <c r="A59" s="4" t="s">
        <v>688</v>
      </c>
      <c r="B59" s="4">
        <v>139451.0</v>
      </c>
      <c r="C59" s="4">
        <v>149471.0</v>
      </c>
      <c r="D59" s="4">
        <v>143304.0</v>
      </c>
      <c r="E59" s="4">
        <v>104912.0</v>
      </c>
      <c r="F59" s="4">
        <v>79069.0</v>
      </c>
      <c r="G59" s="4">
        <v>80540.0</v>
      </c>
      <c r="H59" s="4">
        <v>85315.0</v>
      </c>
      <c r="I59" s="4">
        <v>87675.0</v>
      </c>
      <c r="J59" s="4">
        <v>93860.0</v>
      </c>
      <c r="K59" s="4">
        <v>94586.0</v>
      </c>
      <c r="L59" s="4">
        <v>94998.0</v>
      </c>
      <c r="M59" s="4">
        <v>102443.0</v>
      </c>
      <c r="N59" s="4">
        <v>95020.0</v>
      </c>
      <c r="O59" s="4">
        <v>95732.0</v>
      </c>
    </row>
    <row r="60">
      <c r="A60" s="4" t="s">
        <v>375</v>
      </c>
      <c r="B60" s="11">
        <v>927357.0</v>
      </c>
      <c r="C60" s="11">
        <v>1003823.0</v>
      </c>
      <c r="D60" s="11">
        <v>1075539.0</v>
      </c>
      <c r="E60" s="11">
        <v>1109541.0</v>
      </c>
      <c r="F60" s="11">
        <v>1069323.0</v>
      </c>
      <c r="G60" s="11">
        <v>1072709.0</v>
      </c>
      <c r="H60" s="11">
        <v>1063763.0</v>
      </c>
      <c r="I60" s="11">
        <v>1031099.0</v>
      </c>
      <c r="J60" s="11">
        <v>1020348.0</v>
      </c>
      <c r="K60" s="11">
        <v>1032158.0</v>
      </c>
      <c r="L60" s="11">
        <v>1077590.0</v>
      </c>
      <c r="M60" s="11">
        <v>1113840.0</v>
      </c>
      <c r="N60" s="11">
        <v>1161867.0</v>
      </c>
      <c r="O60" s="11">
        <v>1204241.0</v>
      </c>
    </row>
    <row r="61">
      <c r="J61" s="86" t="s">
        <v>679</v>
      </c>
      <c r="K61" s="86" t="s">
        <v>678</v>
      </c>
      <c r="L61" s="228" t="s">
        <v>689</v>
      </c>
      <c r="M61" s="86" t="s">
        <v>688</v>
      </c>
      <c r="N61" s="86" t="s">
        <v>49</v>
      </c>
      <c r="O61" s="86" t="s">
        <v>375</v>
      </c>
      <c r="P61" s="86"/>
      <c r="Q61" s="86"/>
      <c r="R61" s="86"/>
      <c r="S61" s="228"/>
      <c r="T61" s="86"/>
      <c r="U61" s="86"/>
    </row>
    <row r="62">
      <c r="I62" s="229" t="s">
        <v>679</v>
      </c>
      <c r="J62" s="14">
        <v>1.0</v>
      </c>
      <c r="K62" s="68"/>
      <c r="L62" s="68"/>
      <c r="M62" s="68"/>
      <c r="N62" s="68"/>
      <c r="Q62" s="159" t="s">
        <v>465</v>
      </c>
      <c r="R62" s="14"/>
      <c r="S62" s="14"/>
      <c r="T62" s="14"/>
      <c r="U62" s="68"/>
    </row>
    <row r="63">
      <c r="I63" s="229" t="s">
        <v>678</v>
      </c>
      <c r="J63" s="68">
        <v>-0.1421051806520444</v>
      </c>
      <c r="K63" s="14">
        <v>1.0</v>
      </c>
      <c r="L63" s="68"/>
      <c r="M63" s="68"/>
      <c r="N63" s="68"/>
      <c r="R63" s="14"/>
      <c r="S63" s="14"/>
      <c r="T63" s="14"/>
      <c r="U63" s="68"/>
    </row>
    <row r="64">
      <c r="I64" s="230" t="s">
        <v>689</v>
      </c>
      <c r="J64" s="41">
        <f>pearson(B57:O57,PLUSVALIA_RESTO!Q14:Q27)</f>
        <v>-0.01661119763</v>
      </c>
      <c r="K64" s="68">
        <f>pearson(PLUSVALIA_RESTO!Q15:Q27,C57:O57)</f>
        <v>-0.01661119763</v>
      </c>
      <c r="L64" s="14">
        <v>1.0</v>
      </c>
      <c r="M64" s="68"/>
      <c r="N64" s="68"/>
      <c r="R64" s="14"/>
      <c r="S64" s="14"/>
      <c r="T64" s="14"/>
      <c r="U64" s="68"/>
    </row>
    <row r="65">
      <c r="I65" s="229" t="s">
        <v>688</v>
      </c>
      <c r="J65" s="68">
        <f>pearson(PLUSVALIA_RESTO!Q14:Q27,B59:O59)</f>
        <v>0.2043320445</v>
      </c>
      <c r="K65" s="68">
        <v>0.47845622107730207</v>
      </c>
      <c r="L65" s="68">
        <f>pearson(B59:O59,B57:O57)</f>
        <v>-0.6946765188</v>
      </c>
      <c r="M65" s="14">
        <v>1.0</v>
      </c>
      <c r="N65" s="68"/>
      <c r="R65" s="14"/>
      <c r="S65" s="14"/>
      <c r="T65" s="14"/>
      <c r="U65" s="68"/>
    </row>
    <row r="66">
      <c r="I66" s="229" t="s">
        <v>49</v>
      </c>
      <c r="J66" s="68">
        <v>0.47845622107730207</v>
      </c>
      <c r="K66" s="68">
        <v>-0.7393836778555403</v>
      </c>
      <c r="L66" s="68">
        <f>pearson(E4:R4,B57:O57)</f>
        <v>-0.5833319905</v>
      </c>
      <c r="M66" s="68">
        <f>pearson(B59:O59,E4:R4)</f>
        <v>0.909370943</v>
      </c>
      <c r="N66" s="14">
        <v>1.0</v>
      </c>
      <c r="R66" s="14"/>
      <c r="S66" s="14"/>
      <c r="T66" s="14"/>
      <c r="U66" s="14"/>
    </row>
    <row r="67">
      <c r="I67" s="229" t="s">
        <v>375</v>
      </c>
      <c r="J67" s="11">
        <f>pearson(B60:O60,E3:R3)</f>
        <v>0.4144789412</v>
      </c>
      <c r="K67" s="11">
        <f>pearson(B60:O60,E2:R2)</f>
        <v>0.2554630363</v>
      </c>
      <c r="L67" s="11">
        <f>pearson(B57:O57,B60:O60)</f>
        <v>0.5195244017</v>
      </c>
      <c r="M67" s="11">
        <f>pearson(B60:O60,B59:O59)</f>
        <v>-0.4036698738</v>
      </c>
      <c r="N67" s="11">
        <f>pearson(B60:O60,E4:R4)</f>
        <v>-0.3006152638</v>
      </c>
      <c r="O67" s="4">
        <v>1.0</v>
      </c>
    </row>
    <row r="68">
      <c r="I68" s="229"/>
    </row>
    <row r="70">
      <c r="J70" s="86" t="s">
        <v>679</v>
      </c>
      <c r="K70" s="86" t="s">
        <v>678</v>
      </c>
      <c r="L70" s="228" t="s">
        <v>689</v>
      </c>
      <c r="M70" s="86" t="s">
        <v>688</v>
      </c>
      <c r="N70" s="86" t="s">
        <v>49</v>
      </c>
      <c r="O70" s="86" t="s">
        <v>375</v>
      </c>
    </row>
    <row r="71">
      <c r="I71" s="229" t="s">
        <v>679</v>
      </c>
      <c r="J71" s="68"/>
      <c r="K71" s="68"/>
      <c r="L71" s="68"/>
      <c r="M71" s="68"/>
      <c r="N71" s="68"/>
      <c r="Q71" s="159" t="s">
        <v>166</v>
      </c>
    </row>
    <row r="72">
      <c r="I72" s="229" t="s">
        <v>678</v>
      </c>
      <c r="J72" s="14">
        <v>0.287</v>
      </c>
      <c r="K72" s="68"/>
      <c r="L72" s="68"/>
      <c r="M72" s="68"/>
      <c r="N72" s="68"/>
    </row>
    <row r="73">
      <c r="I73" s="230" t="s">
        <v>689</v>
      </c>
      <c r="J73" s="14">
        <v>0.032</v>
      </c>
      <c r="K73" s="14">
        <v>0.03</v>
      </c>
      <c r="L73" s="68"/>
      <c r="M73" s="68"/>
      <c r="N73" s="68"/>
    </row>
    <row r="74">
      <c r="I74" s="229" t="s">
        <v>688</v>
      </c>
      <c r="J74" s="14">
        <v>0.417</v>
      </c>
      <c r="K74" s="14">
        <v>1.08</v>
      </c>
      <c r="L74" s="14">
        <v>1.92</v>
      </c>
      <c r="M74" s="68"/>
      <c r="N74" s="68"/>
    </row>
    <row r="75">
      <c r="I75" s="229" t="s">
        <v>49</v>
      </c>
      <c r="J75" s="14">
        <v>2.194</v>
      </c>
      <c r="K75" s="14">
        <v>1.08</v>
      </c>
      <c r="L75" s="14">
        <v>1.435</v>
      </c>
      <c r="M75" s="14">
        <v>4.362</v>
      </c>
      <c r="N75" s="68"/>
    </row>
    <row r="76">
      <c r="I76" s="229" t="s">
        <v>375</v>
      </c>
      <c r="J76" s="14">
        <v>0.91</v>
      </c>
      <c r="K76" s="14">
        <v>0.527</v>
      </c>
      <c r="L76" s="14">
        <v>1.214</v>
      </c>
      <c r="M76" s="14">
        <v>0.881</v>
      </c>
      <c r="N76" s="14">
        <v>0.629</v>
      </c>
      <c r="O76" s="68"/>
    </row>
    <row r="83">
      <c r="B83" s="11">
        <v>126.84383333333334</v>
      </c>
      <c r="C83" s="11">
        <v>131.49525</v>
      </c>
      <c r="D83" s="11">
        <v>134.65591666666668</v>
      </c>
      <c r="E83" s="11">
        <v>125.08908333333333</v>
      </c>
      <c r="F83" s="11">
        <v>104.81358333333334</v>
      </c>
      <c r="G83" s="11">
        <v>105.74358333333333</v>
      </c>
      <c r="H83" s="11">
        <v>103.66274999999997</v>
      </c>
      <c r="I83" s="11">
        <v>97.075</v>
      </c>
      <c r="J83" s="11">
        <v>95.402</v>
      </c>
      <c r="K83" s="11">
        <v>96.84316666666668</v>
      </c>
      <c r="L83" s="11">
        <v>99.99991666666666</v>
      </c>
      <c r="M83" s="11">
        <v>101.5695</v>
      </c>
      <c r="N83" s="11">
        <v>104.46666666666665</v>
      </c>
      <c r="O83" s="11">
        <v>105.24649999999998</v>
      </c>
    </row>
    <row r="84">
      <c r="B84" s="130">
        <v>2005.0</v>
      </c>
      <c r="C84" s="130">
        <v>2006.0</v>
      </c>
      <c r="D84" s="130">
        <v>2007.0</v>
      </c>
      <c r="E84" s="130">
        <v>2008.0</v>
      </c>
      <c r="F84" s="130">
        <v>2009.0</v>
      </c>
      <c r="G84" s="130">
        <v>2010.0</v>
      </c>
      <c r="H84" s="130">
        <v>2011.0</v>
      </c>
      <c r="I84" s="130">
        <v>2012.0</v>
      </c>
      <c r="J84" s="130">
        <v>2013.0</v>
      </c>
      <c r="K84" s="130">
        <v>2014.0</v>
      </c>
      <c r="L84" s="130">
        <v>2015.0</v>
      </c>
      <c r="M84" s="130">
        <v>2016.0</v>
      </c>
      <c r="N84" s="130">
        <v>2017.0</v>
      </c>
      <c r="O84" s="130">
        <v>2018.0</v>
      </c>
    </row>
    <row r="85">
      <c r="A85" s="4" t="s">
        <v>49</v>
      </c>
    </row>
    <row r="86">
      <c r="A86" s="4" t="s">
        <v>121</v>
      </c>
    </row>
  </sheetData>
  <mergeCells count="4">
    <mergeCell ref="A52:B52"/>
    <mergeCell ref="A53:B53"/>
    <mergeCell ref="Q62:Q66"/>
    <mergeCell ref="Q71:Q75"/>
  </mergeCells>
  <hyperlinks>
    <hyperlink r:id="rId1" ref="A48"/>
  </hyperlin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1" t="s">
        <v>690</v>
      </c>
      <c r="B1" s="231" t="s">
        <v>691</v>
      </c>
      <c r="C1" s="231" t="s">
        <v>692</v>
      </c>
      <c r="D1" s="231" t="s">
        <v>693</v>
      </c>
      <c r="E1" s="231" t="s">
        <v>694</v>
      </c>
      <c r="F1" s="231" t="s">
        <v>695</v>
      </c>
      <c r="G1" s="231" t="s">
        <v>696</v>
      </c>
      <c r="H1" s="231" t="s">
        <v>697</v>
      </c>
      <c r="I1" s="231" t="s">
        <v>698</v>
      </c>
      <c r="J1" s="231" t="s">
        <v>699</v>
      </c>
      <c r="K1" s="231" t="s">
        <v>700</v>
      </c>
      <c r="L1" s="231" t="s">
        <v>701</v>
      </c>
      <c r="M1" s="231" t="s">
        <v>702</v>
      </c>
      <c r="N1" s="231" t="s">
        <v>703</v>
      </c>
      <c r="O1" s="231" t="s">
        <v>704</v>
      </c>
      <c r="P1" s="231" t="s">
        <v>705</v>
      </c>
      <c r="Q1" s="231" t="s">
        <v>706</v>
      </c>
      <c r="R1" s="231" t="s">
        <v>707</v>
      </c>
      <c r="S1" s="231" t="s">
        <v>708</v>
      </c>
      <c r="T1" s="231" t="s">
        <v>709</v>
      </c>
      <c r="U1" s="231" t="s">
        <v>710</v>
      </c>
      <c r="V1" s="231" t="s">
        <v>711</v>
      </c>
      <c r="W1" s="231" t="s">
        <v>712</v>
      </c>
      <c r="X1" s="231" t="s">
        <v>713</v>
      </c>
      <c r="Y1" s="231" t="s">
        <v>714</v>
      </c>
      <c r="Z1" s="231" t="s">
        <v>715</v>
      </c>
      <c r="AA1" s="231" t="s">
        <v>716</v>
      </c>
      <c r="AB1" s="231" t="s">
        <v>717</v>
      </c>
      <c r="AC1" s="231" t="s">
        <v>718</v>
      </c>
      <c r="AD1" s="231" t="s">
        <v>719</v>
      </c>
      <c r="AE1" s="231" t="s">
        <v>720</v>
      </c>
      <c r="AF1" s="231" t="s">
        <v>721</v>
      </c>
      <c r="AG1" s="231" t="s">
        <v>722</v>
      </c>
      <c r="AH1" s="231" t="s">
        <v>723</v>
      </c>
      <c r="AI1" s="231" t="s">
        <v>724</v>
      </c>
      <c r="AJ1" s="231" t="s">
        <v>725</v>
      </c>
      <c r="AK1" s="231" t="s">
        <v>726</v>
      </c>
      <c r="AL1" s="231" t="s">
        <v>727</v>
      </c>
      <c r="AM1" s="231" t="s">
        <v>728</v>
      </c>
      <c r="AN1" s="231" t="s">
        <v>729</v>
      </c>
      <c r="AO1" s="231" t="s">
        <v>730</v>
      </c>
      <c r="AP1" s="231" t="s">
        <v>731</v>
      </c>
      <c r="AQ1" s="231" t="s">
        <v>732</v>
      </c>
      <c r="AR1" s="231" t="s">
        <v>733</v>
      </c>
      <c r="AS1" s="231" t="s">
        <v>734</v>
      </c>
      <c r="AT1" s="231" t="s">
        <v>735</v>
      </c>
      <c r="AU1" s="231" t="s">
        <v>736</v>
      </c>
      <c r="AV1" s="231" t="s">
        <v>737</v>
      </c>
      <c r="AW1" s="231" t="s">
        <v>738</v>
      </c>
      <c r="AX1" s="231" t="s">
        <v>739</v>
      </c>
      <c r="AY1" s="231" t="s">
        <v>740</v>
      </c>
      <c r="AZ1" s="231" t="s">
        <v>741</v>
      </c>
      <c r="BA1" s="231" t="s">
        <v>742</v>
      </c>
      <c r="BB1" s="231" t="s">
        <v>743</v>
      </c>
      <c r="BC1" s="231" t="s">
        <v>744</v>
      </c>
      <c r="BD1" s="231" t="s">
        <v>745</v>
      </c>
      <c r="BE1" s="231" t="s">
        <v>746</v>
      </c>
      <c r="BF1" s="231" t="s">
        <v>747</v>
      </c>
      <c r="BG1" s="231" t="s">
        <v>748</v>
      </c>
      <c r="BH1" s="231" t="s">
        <v>749</v>
      </c>
      <c r="BI1" s="231" t="s">
        <v>750</v>
      </c>
      <c r="BJ1" s="231" t="s">
        <v>751</v>
      </c>
      <c r="BK1" s="231" t="s">
        <v>752</v>
      </c>
      <c r="BL1" s="231" t="s">
        <v>753</v>
      </c>
      <c r="BM1" s="231" t="s">
        <v>754</v>
      </c>
      <c r="BN1" s="231" t="s">
        <v>755</v>
      </c>
      <c r="BO1" s="231" t="s">
        <v>756</v>
      </c>
      <c r="BP1" s="231" t="s">
        <v>757</v>
      </c>
      <c r="BQ1" s="231" t="s">
        <v>758</v>
      </c>
      <c r="BR1" s="231" t="s">
        <v>759</v>
      </c>
      <c r="BS1" s="231" t="s">
        <v>760</v>
      </c>
      <c r="BT1" s="231" t="s">
        <v>761</v>
      </c>
      <c r="BU1" s="231" t="s">
        <v>762</v>
      </c>
      <c r="BV1" s="231" t="s">
        <v>763</v>
      </c>
      <c r="BW1" s="231" t="s">
        <v>764</v>
      </c>
      <c r="BX1" s="231" t="s">
        <v>765</v>
      </c>
      <c r="BY1" s="231" t="s">
        <v>766</v>
      </c>
      <c r="BZ1" s="231" t="s">
        <v>767</v>
      </c>
      <c r="CA1" s="231" t="s">
        <v>768</v>
      </c>
      <c r="CB1" s="231" t="s">
        <v>769</v>
      </c>
      <c r="CC1" s="231" t="s">
        <v>770</v>
      </c>
      <c r="CD1" s="231" t="s">
        <v>771</v>
      </c>
      <c r="CE1" s="231" t="s">
        <v>772</v>
      </c>
      <c r="CF1" s="231" t="s">
        <v>773</v>
      </c>
      <c r="CG1" s="231" t="s">
        <v>774</v>
      </c>
      <c r="CH1" s="231" t="s">
        <v>775</v>
      </c>
      <c r="CI1" s="231" t="s">
        <v>776</v>
      </c>
      <c r="CJ1" s="231" t="s">
        <v>777</v>
      </c>
      <c r="CK1" s="231" t="s">
        <v>778</v>
      </c>
      <c r="CL1" s="231" t="s">
        <v>779</v>
      </c>
      <c r="CM1" s="231" t="s">
        <v>780</v>
      </c>
      <c r="CN1" s="231" t="s">
        <v>781</v>
      </c>
      <c r="CO1" s="231" t="s">
        <v>782</v>
      </c>
      <c r="CP1" s="231" t="s">
        <v>783</v>
      </c>
      <c r="CQ1" s="231" t="s">
        <v>784</v>
      </c>
      <c r="CR1" s="231" t="s">
        <v>785</v>
      </c>
      <c r="CS1" s="231" t="s">
        <v>786</v>
      </c>
      <c r="CT1" s="231" t="s">
        <v>787</v>
      </c>
      <c r="CU1" s="231" t="s">
        <v>788</v>
      </c>
      <c r="CV1" s="231" t="s">
        <v>789</v>
      </c>
      <c r="CW1" s="231" t="s">
        <v>790</v>
      </c>
      <c r="CX1" s="231" t="s">
        <v>791</v>
      </c>
      <c r="CY1" s="231" t="s">
        <v>792</v>
      </c>
      <c r="CZ1" s="231" t="s">
        <v>793</v>
      </c>
      <c r="DA1" s="231" t="s">
        <v>794</v>
      </c>
      <c r="DB1" s="231" t="s">
        <v>795</v>
      </c>
      <c r="DC1" s="231" t="s">
        <v>796</v>
      </c>
      <c r="DD1" s="231" t="s">
        <v>797</v>
      </c>
      <c r="DE1" s="231" t="s">
        <v>798</v>
      </c>
      <c r="DF1" s="231" t="s">
        <v>799</v>
      </c>
      <c r="DG1" s="231" t="s">
        <v>800</v>
      </c>
      <c r="DH1" s="231" t="s">
        <v>801</v>
      </c>
      <c r="DI1" s="231" t="s">
        <v>802</v>
      </c>
      <c r="DJ1" s="231" t="s">
        <v>803</v>
      </c>
      <c r="DK1" s="231" t="s">
        <v>804</v>
      </c>
      <c r="DL1" s="231" t="s">
        <v>805</v>
      </c>
      <c r="DM1" s="231" t="s">
        <v>806</v>
      </c>
      <c r="DN1" s="231" t="s">
        <v>807</v>
      </c>
      <c r="DO1" s="231" t="s">
        <v>808</v>
      </c>
      <c r="DP1" s="231" t="s">
        <v>809</v>
      </c>
      <c r="DQ1" s="231" t="s">
        <v>810</v>
      </c>
      <c r="DR1" s="231" t="s">
        <v>811</v>
      </c>
      <c r="DS1" s="231" t="s">
        <v>812</v>
      </c>
      <c r="DT1" s="231" t="s">
        <v>813</v>
      </c>
      <c r="DU1" s="231" t="s">
        <v>814</v>
      </c>
      <c r="DV1" s="231" t="s">
        <v>815</v>
      </c>
      <c r="DW1" s="231" t="s">
        <v>816</v>
      </c>
      <c r="DX1" s="231" t="s">
        <v>817</v>
      </c>
      <c r="DY1" s="231" t="s">
        <v>818</v>
      </c>
      <c r="DZ1" s="231" t="s">
        <v>819</v>
      </c>
      <c r="EA1" s="231" t="s">
        <v>820</v>
      </c>
      <c r="EB1" s="231" t="s">
        <v>821</v>
      </c>
      <c r="EC1" s="231" t="s">
        <v>822</v>
      </c>
      <c r="ED1" s="231" t="s">
        <v>823</v>
      </c>
      <c r="EE1" s="231" t="s">
        <v>824</v>
      </c>
      <c r="EF1" s="231" t="s">
        <v>825</v>
      </c>
      <c r="EG1" s="231" t="s">
        <v>826</v>
      </c>
      <c r="EH1" s="231" t="s">
        <v>827</v>
      </c>
      <c r="EI1" s="231" t="s">
        <v>828</v>
      </c>
      <c r="EJ1" s="231" t="s">
        <v>829</v>
      </c>
      <c r="EK1" s="231" t="s">
        <v>830</v>
      </c>
      <c r="EL1" s="231" t="s">
        <v>831</v>
      </c>
      <c r="EM1" s="231" t="s">
        <v>832</v>
      </c>
      <c r="EN1" s="231" t="s">
        <v>833</v>
      </c>
      <c r="EO1" s="231" t="s">
        <v>834</v>
      </c>
      <c r="EP1" s="231" t="s">
        <v>835</v>
      </c>
      <c r="EQ1" s="231" t="s">
        <v>836</v>
      </c>
      <c r="ER1" s="231" t="s">
        <v>837</v>
      </c>
      <c r="ES1" s="231" t="s">
        <v>838</v>
      </c>
      <c r="ET1" s="231" t="s">
        <v>839</v>
      </c>
      <c r="EU1" s="231" t="s">
        <v>840</v>
      </c>
      <c r="EV1" s="231" t="s">
        <v>841</v>
      </c>
      <c r="EW1" s="231" t="s">
        <v>842</v>
      </c>
      <c r="EX1" s="231" t="s">
        <v>843</v>
      </c>
      <c r="EY1" s="231" t="s">
        <v>844</v>
      </c>
      <c r="EZ1" s="231" t="s">
        <v>845</v>
      </c>
      <c r="FA1" s="231" t="s">
        <v>846</v>
      </c>
      <c r="FB1" s="231" t="s">
        <v>847</v>
      </c>
      <c r="FC1" s="231" t="s">
        <v>848</v>
      </c>
      <c r="FD1" s="231" t="s">
        <v>849</v>
      </c>
      <c r="FE1" s="231" t="s">
        <v>850</v>
      </c>
      <c r="FF1" s="231" t="s">
        <v>851</v>
      </c>
      <c r="FG1" s="231" t="s">
        <v>852</v>
      </c>
      <c r="FH1" s="231" t="s">
        <v>853</v>
      </c>
      <c r="FI1" s="231" t="s">
        <v>854</v>
      </c>
      <c r="FJ1" s="231" t="s">
        <v>855</v>
      </c>
      <c r="FK1" s="231" t="s">
        <v>856</v>
      </c>
      <c r="FL1" s="231" t="s">
        <v>857</v>
      </c>
      <c r="FM1" s="232"/>
      <c r="FN1" s="232"/>
      <c r="FO1" s="232"/>
      <c r="FP1" s="232"/>
      <c r="FQ1" s="232"/>
      <c r="FR1" s="232"/>
      <c r="FS1" s="232"/>
    </row>
    <row r="2">
      <c r="A2" s="233">
        <v>92.975</v>
      </c>
      <c r="B2" s="233">
        <v>108.957</v>
      </c>
      <c r="C2" s="233">
        <v>113.554</v>
      </c>
      <c r="D2" s="233">
        <v>103.342</v>
      </c>
      <c r="E2" s="233">
        <v>86.762</v>
      </c>
      <c r="F2" s="233">
        <v>110.835</v>
      </c>
      <c r="G2" s="233">
        <v>108.622</v>
      </c>
      <c r="H2" s="233">
        <v>112.755</v>
      </c>
      <c r="I2" s="233">
        <v>105.317</v>
      </c>
      <c r="J2" s="233">
        <v>110.466</v>
      </c>
      <c r="K2" s="233">
        <v>104.06</v>
      </c>
      <c r="L2" s="233">
        <v>105.313</v>
      </c>
      <c r="M2" s="233">
        <v>97.039</v>
      </c>
      <c r="N2" s="233">
        <v>112.676</v>
      </c>
      <c r="O2" s="233">
        <v>109.454</v>
      </c>
      <c r="P2" s="233">
        <v>106.461</v>
      </c>
      <c r="Q2" s="233">
        <v>85.885</v>
      </c>
      <c r="R2" s="233">
        <v>106.997</v>
      </c>
      <c r="S2" s="233">
        <v>111.016</v>
      </c>
      <c r="T2" s="233">
        <v>111.422</v>
      </c>
      <c r="U2" s="233">
        <v>94.761</v>
      </c>
      <c r="V2" s="233">
        <v>114.687</v>
      </c>
      <c r="W2" s="233">
        <v>101.27</v>
      </c>
      <c r="X2" s="233">
        <v>101.932</v>
      </c>
      <c r="Y2" s="233">
        <v>94.06</v>
      </c>
      <c r="Z2" s="233">
        <v>107.601</v>
      </c>
      <c r="AA2" s="233">
        <v>102.547</v>
      </c>
      <c r="AB2" s="233">
        <v>106.291</v>
      </c>
      <c r="AC2" s="233">
        <v>83.68</v>
      </c>
      <c r="AD2" s="233">
        <v>104.111</v>
      </c>
      <c r="AE2" s="233">
        <v>106.302</v>
      </c>
      <c r="AF2" s="233">
        <v>104.97</v>
      </c>
      <c r="AG2" s="233">
        <v>106.318</v>
      </c>
      <c r="AH2" s="233">
        <v>104.907</v>
      </c>
      <c r="AI2" s="233">
        <v>102.68</v>
      </c>
      <c r="AJ2" s="233">
        <v>95.367</v>
      </c>
      <c r="AK2" s="233">
        <v>94.17</v>
      </c>
      <c r="AL2" s="233">
        <v>102.661</v>
      </c>
      <c r="AM2" s="233">
        <v>103.853</v>
      </c>
      <c r="AN2" s="233">
        <v>105.414</v>
      </c>
      <c r="AO2" s="233">
        <v>79.079</v>
      </c>
      <c r="AP2" s="233">
        <v>112.937</v>
      </c>
      <c r="AQ2" s="233">
        <v>107.401</v>
      </c>
      <c r="AR2" s="233">
        <v>102.541</v>
      </c>
      <c r="AS2" s="233">
        <v>97.291</v>
      </c>
      <c r="AT2" s="233">
        <v>105.904</v>
      </c>
      <c r="AU2" s="233">
        <v>96.267</v>
      </c>
      <c r="AV2" s="233">
        <v>92.481</v>
      </c>
      <c r="AW2" s="233">
        <v>91.044</v>
      </c>
      <c r="AX2" s="233">
        <v>96.792</v>
      </c>
      <c r="AY2" s="233">
        <v>104.017</v>
      </c>
      <c r="AZ2" s="233">
        <v>101.473</v>
      </c>
      <c r="BA2" s="233">
        <v>75.341</v>
      </c>
      <c r="BB2" s="233">
        <v>106.527</v>
      </c>
      <c r="BC2" s="233">
        <v>99.994</v>
      </c>
      <c r="BD2" s="233">
        <v>101.235</v>
      </c>
      <c r="BE2" s="233">
        <v>94.962</v>
      </c>
      <c r="BF2" s="233">
        <v>100.861</v>
      </c>
      <c r="BG2" s="233">
        <v>95.181</v>
      </c>
      <c r="BH2" s="233">
        <v>94.691</v>
      </c>
      <c r="BI2" s="233">
        <v>88.283</v>
      </c>
      <c r="BJ2" s="233">
        <v>97.084</v>
      </c>
      <c r="BK2" s="233">
        <v>103.111</v>
      </c>
      <c r="BL2" s="233">
        <v>97.955</v>
      </c>
      <c r="BM2" s="233">
        <v>77.203</v>
      </c>
      <c r="BN2" s="233">
        <v>105.375</v>
      </c>
      <c r="BO2" s="233">
        <v>97.313</v>
      </c>
      <c r="BP2" s="233">
        <v>100.614</v>
      </c>
      <c r="BQ2" s="233">
        <v>97.041</v>
      </c>
      <c r="BR2" s="233">
        <v>93.328</v>
      </c>
      <c r="BS2" s="233">
        <v>92.564</v>
      </c>
      <c r="BT2" s="233">
        <v>94.953</v>
      </c>
      <c r="BU2" s="233">
        <v>84.802</v>
      </c>
      <c r="BV2" s="233">
        <v>97.218</v>
      </c>
      <c r="BW2" s="233">
        <v>101.949</v>
      </c>
      <c r="BX2" s="233">
        <v>94.534</v>
      </c>
      <c r="BY2" s="233">
        <v>80.732</v>
      </c>
      <c r="BZ2" s="233">
        <v>104.414</v>
      </c>
      <c r="CA2" s="233">
        <v>102.102</v>
      </c>
      <c r="CB2" s="233">
        <v>103.709</v>
      </c>
      <c r="CC2" s="233">
        <v>91.362</v>
      </c>
      <c r="CD2" s="233">
        <v>104.142</v>
      </c>
      <c r="CE2" s="233">
        <v>101.418</v>
      </c>
      <c r="CF2" s="233">
        <v>98.518</v>
      </c>
      <c r="CG2" s="233">
        <v>94.424</v>
      </c>
      <c r="CH2" s="233">
        <v>105.451</v>
      </c>
      <c r="CI2" s="233">
        <v>102.537</v>
      </c>
      <c r="CJ2" s="233">
        <v>107.996</v>
      </c>
      <c r="CK2" s="233">
        <v>83.693</v>
      </c>
      <c r="CL2" s="233">
        <v>109.265</v>
      </c>
      <c r="CM2" s="233">
        <v>110.222</v>
      </c>
      <c r="CN2" s="233">
        <v>108.984</v>
      </c>
      <c r="CO2" s="233">
        <v>99.119</v>
      </c>
      <c r="CP2" s="233">
        <v>116.08</v>
      </c>
      <c r="CQ2" s="233">
        <v>104.976</v>
      </c>
      <c r="CR2" s="233">
        <v>101.206</v>
      </c>
      <c r="CS2" s="233">
        <v>100.722</v>
      </c>
      <c r="CT2" s="233">
        <v>114.55</v>
      </c>
      <c r="CU2" s="233">
        <v>107.699</v>
      </c>
      <c r="CV2" s="233">
        <v>109.222</v>
      </c>
      <c r="CW2" s="233">
        <v>81.06</v>
      </c>
      <c r="CX2" s="233">
        <v>113.788</v>
      </c>
      <c r="CY2" s="233">
        <v>112.9</v>
      </c>
      <c r="CZ2" s="233">
        <v>109.222</v>
      </c>
      <c r="DA2" s="233">
        <v>104.274</v>
      </c>
      <c r="DB2" s="233">
        <v>115.691</v>
      </c>
      <c r="DC2" s="233">
        <v>102.498</v>
      </c>
      <c r="DD2" s="233">
        <v>97.297</v>
      </c>
      <c r="DE2" s="233">
        <v>100.342</v>
      </c>
      <c r="DF2" s="233">
        <v>110.744</v>
      </c>
      <c r="DG2" s="233">
        <v>111.632</v>
      </c>
      <c r="DH2" s="233">
        <v>110.49</v>
      </c>
      <c r="DI2" s="233">
        <v>78.396</v>
      </c>
      <c r="DJ2" s="233">
        <v>116.452</v>
      </c>
      <c r="DK2" s="233">
        <v>109.349</v>
      </c>
      <c r="DL2" s="233">
        <v>103.894</v>
      </c>
      <c r="DM2" s="233">
        <v>101.23</v>
      </c>
      <c r="DN2" s="233">
        <v>108.334</v>
      </c>
      <c r="DO2" s="233">
        <v>104.528</v>
      </c>
      <c r="DP2" s="233">
        <v>102.372</v>
      </c>
      <c r="DQ2" s="233">
        <v>101.864</v>
      </c>
      <c r="DR2" s="233">
        <v>115.311</v>
      </c>
      <c r="DS2" s="233">
        <v>127.996</v>
      </c>
      <c r="DT2" s="233">
        <v>126.601</v>
      </c>
      <c r="DU2" s="233">
        <v>87.656</v>
      </c>
      <c r="DV2" s="233">
        <v>140.174</v>
      </c>
      <c r="DW2" s="233">
        <v>127.616</v>
      </c>
      <c r="DX2" s="233">
        <v>133.705</v>
      </c>
      <c r="DY2" s="233">
        <v>141.316</v>
      </c>
      <c r="DZ2" s="233">
        <v>125.205</v>
      </c>
      <c r="EA2" s="233">
        <v>138.018</v>
      </c>
      <c r="EB2" s="233">
        <v>135.607</v>
      </c>
      <c r="EC2" s="233">
        <v>121.273</v>
      </c>
      <c r="ED2" s="233">
        <v>141.189</v>
      </c>
      <c r="EE2" s="233">
        <v>145.756</v>
      </c>
      <c r="EF2" s="233">
        <v>132.817</v>
      </c>
      <c r="EG2" s="233">
        <v>99.073</v>
      </c>
      <c r="EH2" s="233">
        <v>142.838</v>
      </c>
      <c r="EI2" s="233">
        <v>143.219</v>
      </c>
      <c r="EJ2" s="233">
        <v>146.009</v>
      </c>
      <c r="EK2" s="233">
        <v>126.22</v>
      </c>
      <c r="EL2" s="233">
        <v>147.785</v>
      </c>
      <c r="EM2" s="233">
        <v>132.943</v>
      </c>
      <c r="EN2" s="233">
        <v>136.749</v>
      </c>
      <c r="EO2" s="233">
        <v>121.019</v>
      </c>
      <c r="EP2" s="233">
        <v>142.331</v>
      </c>
      <c r="EQ2" s="233">
        <v>138.398</v>
      </c>
      <c r="ER2" s="233">
        <v>134.593</v>
      </c>
      <c r="ES2" s="233">
        <v>96.79</v>
      </c>
      <c r="ET2" s="233">
        <v>136.749</v>
      </c>
      <c r="EU2" s="233">
        <v>143.092</v>
      </c>
      <c r="EV2" s="233">
        <v>141.316</v>
      </c>
      <c r="EW2" s="233">
        <v>120.131</v>
      </c>
      <c r="EX2" s="233">
        <v>146.263</v>
      </c>
      <c r="EY2" s="233">
        <v>129.011</v>
      </c>
      <c r="EZ2" s="233">
        <v>128.25</v>
      </c>
      <c r="FA2" s="233">
        <v>120.004</v>
      </c>
      <c r="FB2" s="233">
        <v>137.383</v>
      </c>
      <c r="FC2" s="233">
        <v>129.772</v>
      </c>
      <c r="FD2" s="233">
        <v>133.831</v>
      </c>
      <c r="FE2" s="233">
        <v>93.999</v>
      </c>
      <c r="FF2" s="233">
        <v>131.929</v>
      </c>
      <c r="FG2" s="233">
        <v>136.495</v>
      </c>
      <c r="FH2" s="233">
        <v>132.436</v>
      </c>
      <c r="FI2" s="233">
        <v>132.563</v>
      </c>
      <c r="FJ2" s="233">
        <v>130.153</v>
      </c>
      <c r="FK2" s="233">
        <v>123.937</v>
      </c>
      <c r="FL2" s="233">
        <v>119.624</v>
      </c>
    </row>
    <row r="5">
      <c r="A5" s="4">
        <v>2005.0</v>
      </c>
      <c r="B5" s="11">
        <f t="shared" ref="B5:N5" si="1">A5+1</f>
        <v>2006</v>
      </c>
      <c r="C5" s="11">
        <f t="shared" si="1"/>
        <v>2007</v>
      </c>
      <c r="D5" s="11">
        <f t="shared" si="1"/>
        <v>2008</v>
      </c>
      <c r="E5" s="11">
        <f t="shared" si="1"/>
        <v>2009</v>
      </c>
      <c r="F5" s="11">
        <f t="shared" si="1"/>
        <v>2010</v>
      </c>
      <c r="G5" s="11">
        <f t="shared" si="1"/>
        <v>2011</v>
      </c>
      <c r="H5" s="11">
        <f t="shared" si="1"/>
        <v>2012</v>
      </c>
      <c r="I5" s="11">
        <f t="shared" si="1"/>
        <v>2013</v>
      </c>
      <c r="J5" s="11">
        <f t="shared" si="1"/>
        <v>2014</v>
      </c>
      <c r="K5" s="11">
        <f t="shared" si="1"/>
        <v>2015</v>
      </c>
      <c r="L5" s="11">
        <f t="shared" si="1"/>
        <v>2016</v>
      </c>
      <c r="M5" s="11">
        <f t="shared" si="1"/>
        <v>2017</v>
      </c>
      <c r="N5" s="11">
        <f t="shared" si="1"/>
        <v>2018</v>
      </c>
    </row>
    <row r="6">
      <c r="A6" s="234">
        <f>AVERAGE(FA2:FL2)</f>
        <v>126.8438333</v>
      </c>
      <c r="B6" s="234">
        <f>AVERAGE(EO2:EZ2)</f>
        <v>131.49525</v>
      </c>
      <c r="C6" s="234">
        <f>AVERAGE(EC2:EN2)</f>
        <v>134.6559167</v>
      </c>
      <c r="D6" s="234">
        <f>AVERAGE(DQ2:EB2)</f>
        <v>125.0890833</v>
      </c>
      <c r="E6" s="234">
        <f>AVERAGE(DE2:DP2)</f>
        <v>104.8135833</v>
      </c>
      <c r="F6" s="234">
        <f>AVERAGE(CS2:DD2)</f>
        <v>105.7435833</v>
      </c>
      <c r="G6" s="234">
        <f>AVERAGE(CG2:CR2)</f>
        <v>103.66275</v>
      </c>
      <c r="H6" s="234">
        <f>AVERAGE(BU2:CF2)</f>
        <v>97.075</v>
      </c>
      <c r="I6" s="234">
        <f>AVERAGE(BI2:BT2)</f>
        <v>95.402</v>
      </c>
      <c r="J6" s="234">
        <f>AVERAGE(AW2:BH2)</f>
        <v>96.84316667</v>
      </c>
      <c r="K6" s="234">
        <f>AVERAGE(AK2:AV2)</f>
        <v>99.99991667</v>
      </c>
      <c r="L6" s="234">
        <f>AVERAGE(Y2:AJ2)</f>
        <v>101.5695</v>
      </c>
      <c r="M6" s="234">
        <f>AVERAGE(M2:X2)</f>
        <v>104.4666667</v>
      </c>
      <c r="N6" s="234">
        <f>AVERAGE(A2:L2)</f>
        <v>105.2465</v>
      </c>
    </row>
    <row r="10">
      <c r="A10" s="24">
        <v>2005.0</v>
      </c>
      <c r="B10" s="11">
        <v>2006.0</v>
      </c>
      <c r="C10" s="11">
        <v>2007.0</v>
      </c>
      <c r="D10" s="11">
        <v>2008.0</v>
      </c>
      <c r="E10" s="11">
        <v>2009.0</v>
      </c>
      <c r="F10" s="11">
        <v>2010.0</v>
      </c>
      <c r="G10" s="11">
        <v>2011.0</v>
      </c>
      <c r="H10" s="11">
        <v>2012.0</v>
      </c>
      <c r="I10" s="11">
        <v>2013.0</v>
      </c>
      <c r="J10" s="11">
        <v>2014.0</v>
      </c>
      <c r="K10" s="11">
        <v>2015.0</v>
      </c>
      <c r="L10" s="11">
        <v>2016.0</v>
      </c>
      <c r="M10" s="11">
        <v>2017.0</v>
      </c>
      <c r="N10" s="11">
        <v>2018.0</v>
      </c>
    </row>
    <row r="11">
      <c r="A11" s="11">
        <v>126.84383333333334</v>
      </c>
      <c r="B11" s="11">
        <v>131.49525</v>
      </c>
      <c r="C11" s="11">
        <v>134.65591666666668</v>
      </c>
      <c r="D11" s="11">
        <v>125.08908333333333</v>
      </c>
      <c r="E11" s="11">
        <v>104.81358333333334</v>
      </c>
      <c r="F11" s="11">
        <v>105.74358333333333</v>
      </c>
      <c r="G11" s="11">
        <v>103.66274999999997</v>
      </c>
      <c r="H11" s="11">
        <v>97.075</v>
      </c>
      <c r="I11" s="11">
        <v>95.402</v>
      </c>
      <c r="J11" s="11">
        <v>96.84316666666668</v>
      </c>
      <c r="K11" s="11">
        <v>99.99991666666666</v>
      </c>
      <c r="L11" s="11">
        <v>101.5695</v>
      </c>
      <c r="M11" s="11">
        <v>104.46666666666665</v>
      </c>
      <c r="N11" s="11">
        <v>105.24649999999998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0" t="s">
        <v>526</v>
      </c>
      <c r="B1" s="200" t="s">
        <v>196</v>
      </c>
    </row>
    <row r="2">
      <c r="A2" s="200" t="s">
        <v>198</v>
      </c>
      <c r="B2" s="201">
        <v>305743.0</v>
      </c>
      <c r="D2" s="4">
        <v>2018.0</v>
      </c>
      <c r="E2" s="11">
        <f>SUM(B2:B5)</f>
        <v>1204241</v>
      </c>
      <c r="I2" s="24">
        <v>2018.0</v>
      </c>
      <c r="J2" s="11">
        <v>301060.25</v>
      </c>
    </row>
    <row r="3">
      <c r="A3" s="200" t="s">
        <v>199</v>
      </c>
      <c r="B3" s="201">
        <v>302037.0</v>
      </c>
      <c r="D3" s="11">
        <f t="shared" ref="D3:D15" si="1">D2-1</f>
        <v>2017</v>
      </c>
      <c r="E3" s="11">
        <f>SUM(B6:B9)</f>
        <v>1161867</v>
      </c>
      <c r="I3" s="11">
        <v>2017.0</v>
      </c>
      <c r="J3" s="11">
        <v>290466.75</v>
      </c>
    </row>
    <row r="4">
      <c r="A4" s="200" t="s">
        <v>200</v>
      </c>
      <c r="B4" s="201">
        <v>299707.0</v>
      </c>
      <c r="D4" s="11">
        <f t="shared" si="1"/>
        <v>2016</v>
      </c>
      <c r="E4" s="11">
        <f>SUM(B10:B13)</f>
        <v>1113840</v>
      </c>
      <c r="I4" s="11">
        <v>2016.0</v>
      </c>
      <c r="J4" s="11">
        <v>278460.0</v>
      </c>
    </row>
    <row r="5">
      <c r="A5" s="200" t="s">
        <v>201</v>
      </c>
      <c r="B5" s="201">
        <v>296754.0</v>
      </c>
      <c r="D5" s="11">
        <f t="shared" si="1"/>
        <v>2015</v>
      </c>
      <c r="E5" s="11">
        <f>SUM(B14:B17)</f>
        <v>1077590</v>
      </c>
      <c r="I5" s="11">
        <v>2015.0</v>
      </c>
      <c r="J5" s="11">
        <v>269397.5</v>
      </c>
    </row>
    <row r="6">
      <c r="A6" s="200" t="s">
        <v>258</v>
      </c>
      <c r="B6" s="201">
        <v>295449.0</v>
      </c>
      <c r="D6" s="11">
        <f t="shared" si="1"/>
        <v>2014</v>
      </c>
      <c r="E6" s="11">
        <f>SUM(B18:B21)</f>
        <v>1032158</v>
      </c>
      <c r="I6" s="11">
        <v>2014.0</v>
      </c>
      <c r="J6" s="11">
        <v>258039.5</v>
      </c>
    </row>
    <row r="7">
      <c r="A7" s="200" t="s">
        <v>259</v>
      </c>
      <c r="B7" s="201">
        <v>291234.0</v>
      </c>
      <c r="D7" s="11">
        <f t="shared" si="1"/>
        <v>2013</v>
      </c>
      <c r="E7" s="11">
        <f>SUM(B22:B25)</f>
        <v>1020348</v>
      </c>
      <c r="I7" s="11">
        <v>2013.0</v>
      </c>
      <c r="J7" s="11">
        <v>255087.0</v>
      </c>
    </row>
    <row r="8">
      <c r="A8" s="200" t="s">
        <v>260</v>
      </c>
      <c r="B8" s="201">
        <v>289461.0</v>
      </c>
      <c r="D8" s="11">
        <f t="shared" si="1"/>
        <v>2012</v>
      </c>
      <c r="E8" s="11">
        <f>SUM(B26:B29)</f>
        <v>1031099</v>
      </c>
      <c r="I8" s="11">
        <v>2012.0</v>
      </c>
      <c r="J8" s="11">
        <v>257774.75</v>
      </c>
    </row>
    <row r="9">
      <c r="A9" s="200" t="s">
        <v>261</v>
      </c>
      <c r="B9" s="201">
        <v>285723.0</v>
      </c>
      <c r="D9" s="11">
        <f t="shared" si="1"/>
        <v>2011</v>
      </c>
      <c r="E9" s="11">
        <f>SUM(B30:B33)</f>
        <v>1063763</v>
      </c>
      <c r="I9" s="11">
        <v>2011.0</v>
      </c>
      <c r="J9" s="11">
        <v>265940.75</v>
      </c>
    </row>
    <row r="10">
      <c r="A10" s="200" t="s">
        <v>262</v>
      </c>
      <c r="B10" s="201">
        <v>281896.0</v>
      </c>
      <c r="D10" s="11">
        <f t="shared" si="1"/>
        <v>2010</v>
      </c>
      <c r="E10" s="11">
        <f>SUM(B34:B37)</f>
        <v>1072709</v>
      </c>
      <c r="I10" s="11">
        <v>2010.0</v>
      </c>
      <c r="J10" s="11">
        <v>268177.25</v>
      </c>
    </row>
    <row r="11">
      <c r="A11" s="200" t="s">
        <v>263</v>
      </c>
      <c r="B11" s="201">
        <v>280145.0</v>
      </c>
      <c r="D11" s="11">
        <f t="shared" si="1"/>
        <v>2009</v>
      </c>
      <c r="E11" s="11">
        <f>SUM(B38:B41)</f>
        <v>1069323</v>
      </c>
      <c r="I11" s="11">
        <v>2009.0</v>
      </c>
      <c r="J11" s="11">
        <v>267330.75</v>
      </c>
    </row>
    <row r="12">
      <c r="A12" s="200" t="s">
        <v>264</v>
      </c>
      <c r="B12" s="201">
        <v>276760.0</v>
      </c>
      <c r="D12" s="11">
        <f t="shared" si="1"/>
        <v>2008</v>
      </c>
      <c r="E12" s="11">
        <f>SUM(B42:B45)</f>
        <v>1109541</v>
      </c>
      <c r="I12" s="11">
        <v>2008.0</v>
      </c>
      <c r="J12" s="11">
        <v>277385.25</v>
      </c>
    </row>
    <row r="13">
      <c r="A13" s="200" t="s">
        <v>265</v>
      </c>
      <c r="B13" s="201">
        <v>275039.0</v>
      </c>
      <c r="D13" s="11">
        <f t="shared" si="1"/>
        <v>2007</v>
      </c>
      <c r="E13" s="11">
        <f>SUM(B46:B49)</f>
        <v>1075539</v>
      </c>
      <c r="I13" s="11">
        <v>2007.0</v>
      </c>
      <c r="J13" s="11">
        <v>268884.75</v>
      </c>
    </row>
    <row r="14">
      <c r="A14" s="200" t="s">
        <v>266</v>
      </c>
      <c r="B14" s="201">
        <v>272928.0</v>
      </c>
      <c r="D14" s="11">
        <f t="shared" si="1"/>
        <v>2006</v>
      </c>
      <c r="E14" s="11">
        <f>SUM(B50:B53)</f>
        <v>1003823</v>
      </c>
      <c r="I14" s="11">
        <v>2006.0</v>
      </c>
      <c r="J14" s="11">
        <v>250955.75</v>
      </c>
    </row>
    <row r="15">
      <c r="A15" s="200" t="s">
        <v>267</v>
      </c>
      <c r="B15" s="201">
        <v>270633.0</v>
      </c>
      <c r="D15" s="11">
        <f t="shared" si="1"/>
        <v>2005</v>
      </c>
      <c r="E15" s="11">
        <f>SUM(B54:B57)</f>
        <v>927357</v>
      </c>
      <c r="I15" s="11">
        <v>2005.0</v>
      </c>
      <c r="J15" s="11">
        <v>231839.25</v>
      </c>
    </row>
    <row r="16">
      <c r="A16" s="200" t="s">
        <v>268</v>
      </c>
      <c r="B16" s="201">
        <v>268181.0</v>
      </c>
    </row>
    <row r="17">
      <c r="A17" s="200" t="s">
        <v>269</v>
      </c>
      <c r="B17" s="201">
        <v>265848.0</v>
      </c>
    </row>
    <row r="18">
      <c r="A18" s="200" t="s">
        <v>270</v>
      </c>
      <c r="B18" s="201">
        <v>260618.0</v>
      </c>
    </row>
    <row r="19">
      <c r="A19" s="200" t="s">
        <v>271</v>
      </c>
      <c r="B19" s="201">
        <v>258252.0</v>
      </c>
    </row>
    <row r="20">
      <c r="A20" s="200" t="s">
        <v>272</v>
      </c>
      <c r="B20" s="201">
        <v>256980.0</v>
      </c>
    </row>
    <row r="21">
      <c r="A21" s="200" t="s">
        <v>273</v>
      </c>
      <c r="B21" s="201">
        <v>256308.0</v>
      </c>
    </row>
    <row r="22">
      <c r="A22" s="200" t="s">
        <v>274</v>
      </c>
      <c r="B22" s="201">
        <v>254436.0</v>
      </c>
    </row>
    <row r="23">
      <c r="A23" s="200" t="s">
        <v>275</v>
      </c>
      <c r="B23" s="201">
        <v>254815.0</v>
      </c>
      <c r="E23" s="11">
        <v>2005.0</v>
      </c>
      <c r="F23" s="11">
        <v>2006.0</v>
      </c>
      <c r="G23" s="11">
        <v>2007.0</v>
      </c>
      <c r="H23" s="11">
        <v>2008.0</v>
      </c>
      <c r="I23" s="11">
        <v>2009.0</v>
      </c>
      <c r="J23" s="11">
        <v>2010.0</v>
      </c>
      <c r="K23" s="11">
        <v>2011.0</v>
      </c>
      <c r="L23" s="11">
        <v>2012.0</v>
      </c>
      <c r="M23" s="11">
        <v>2013.0</v>
      </c>
      <c r="N23" s="11">
        <v>2014.0</v>
      </c>
      <c r="O23" s="11">
        <v>2015.0</v>
      </c>
      <c r="P23" s="11">
        <v>2016.0</v>
      </c>
      <c r="Q23" s="11">
        <v>2017.0</v>
      </c>
      <c r="R23" s="24">
        <v>2018.0</v>
      </c>
    </row>
    <row r="24">
      <c r="A24" s="200" t="s">
        <v>276</v>
      </c>
      <c r="B24" s="201">
        <v>255183.0</v>
      </c>
      <c r="E24" s="11">
        <v>927357.0</v>
      </c>
      <c r="F24" s="11">
        <v>1003823.0</v>
      </c>
      <c r="G24" s="11">
        <v>1075539.0</v>
      </c>
      <c r="H24" s="11">
        <v>1109541.0</v>
      </c>
      <c r="I24" s="11">
        <v>1069323.0</v>
      </c>
      <c r="J24" s="11">
        <v>1072709.0</v>
      </c>
      <c r="K24" s="11">
        <v>1063763.0</v>
      </c>
      <c r="L24" s="11">
        <v>1031099.0</v>
      </c>
      <c r="M24" s="11">
        <v>1020348.0</v>
      </c>
      <c r="N24" s="11">
        <v>1032158.0</v>
      </c>
      <c r="O24" s="11">
        <v>1077590.0</v>
      </c>
      <c r="P24" s="11">
        <v>1113840.0</v>
      </c>
      <c r="Q24" s="11">
        <v>1161867.0</v>
      </c>
      <c r="R24" s="11">
        <v>1204241.0</v>
      </c>
    </row>
    <row r="25">
      <c r="A25" s="200" t="s">
        <v>277</v>
      </c>
      <c r="B25" s="201">
        <v>255914.0</v>
      </c>
    </row>
    <row r="26">
      <c r="A26" s="200" t="s">
        <v>278</v>
      </c>
      <c r="B26" s="201">
        <v>253192.0</v>
      </c>
    </row>
    <row r="27">
      <c r="A27" s="200" t="s">
        <v>279</v>
      </c>
      <c r="B27" s="201">
        <v>257492.0</v>
      </c>
    </row>
    <row r="28">
      <c r="A28" s="200" t="s">
        <v>280</v>
      </c>
      <c r="B28" s="201">
        <v>258877.0</v>
      </c>
    </row>
    <row r="29">
      <c r="A29" s="200" t="s">
        <v>281</v>
      </c>
      <c r="B29" s="201">
        <v>261538.0</v>
      </c>
    </row>
    <row r="30">
      <c r="A30" s="200" t="s">
        <v>282</v>
      </c>
      <c r="B30" s="201">
        <v>262441.0</v>
      </c>
    </row>
    <row r="31">
      <c r="A31" s="200" t="s">
        <v>283</v>
      </c>
      <c r="B31" s="201">
        <v>265547.0</v>
      </c>
    </row>
    <row r="32">
      <c r="A32" s="200" t="s">
        <v>284</v>
      </c>
      <c r="B32" s="201">
        <v>267784.0</v>
      </c>
    </row>
    <row r="33">
      <c r="A33" s="200" t="s">
        <v>285</v>
      </c>
      <c r="B33" s="201">
        <v>267991.0</v>
      </c>
    </row>
    <row r="34">
      <c r="A34" s="200" t="s">
        <v>286</v>
      </c>
      <c r="B34" s="201">
        <v>269364.0</v>
      </c>
    </row>
    <row r="35">
      <c r="A35" s="200" t="s">
        <v>287</v>
      </c>
      <c r="B35" s="201">
        <v>267959.0</v>
      </c>
    </row>
    <row r="36">
      <c r="A36" s="200" t="s">
        <v>288</v>
      </c>
      <c r="B36" s="201">
        <v>267355.0</v>
      </c>
    </row>
    <row r="37">
      <c r="A37" s="200" t="s">
        <v>289</v>
      </c>
      <c r="B37" s="201">
        <v>268031.0</v>
      </c>
    </row>
    <row r="38">
      <c r="A38" s="200" t="s">
        <v>290</v>
      </c>
      <c r="B38" s="201">
        <v>266248.0</v>
      </c>
    </row>
    <row r="39">
      <c r="A39" s="200" t="s">
        <v>291</v>
      </c>
      <c r="B39" s="201">
        <v>266711.0</v>
      </c>
    </row>
    <row r="40">
      <c r="A40" s="200" t="s">
        <v>292</v>
      </c>
      <c r="B40" s="201">
        <v>267165.0</v>
      </c>
    </row>
    <row r="41">
      <c r="A41" s="200" t="s">
        <v>293</v>
      </c>
      <c r="B41" s="201">
        <v>269199.0</v>
      </c>
    </row>
    <row r="42">
      <c r="A42" s="200" t="s">
        <v>294</v>
      </c>
      <c r="B42" s="201">
        <v>275445.0</v>
      </c>
    </row>
    <row r="43">
      <c r="A43" s="200" t="s">
        <v>295</v>
      </c>
      <c r="B43" s="201">
        <v>277456.0</v>
      </c>
    </row>
    <row r="44">
      <c r="A44" s="200" t="s">
        <v>296</v>
      </c>
      <c r="B44" s="201">
        <v>278983.0</v>
      </c>
    </row>
    <row r="45">
      <c r="A45" s="200" t="s">
        <v>297</v>
      </c>
      <c r="B45" s="201">
        <v>277657.0</v>
      </c>
    </row>
    <row r="46">
      <c r="A46" s="200" t="s">
        <v>858</v>
      </c>
      <c r="B46" s="201">
        <v>275079.0</v>
      </c>
    </row>
    <row r="47">
      <c r="A47" s="200" t="s">
        <v>859</v>
      </c>
      <c r="B47" s="201">
        <v>269354.0</v>
      </c>
    </row>
    <row r="48">
      <c r="A48" s="200" t="s">
        <v>860</v>
      </c>
      <c r="B48" s="201">
        <v>267333.0</v>
      </c>
    </row>
    <row r="49">
      <c r="A49" s="200" t="s">
        <v>861</v>
      </c>
      <c r="B49" s="201">
        <v>263773.0</v>
      </c>
    </row>
    <row r="50">
      <c r="A50" s="200" t="s">
        <v>862</v>
      </c>
      <c r="B50" s="201">
        <v>257766.0</v>
      </c>
    </row>
    <row r="51">
      <c r="A51" s="200" t="s">
        <v>863</v>
      </c>
      <c r="B51" s="201">
        <v>253409.0</v>
      </c>
    </row>
    <row r="52">
      <c r="A52" s="200" t="s">
        <v>864</v>
      </c>
      <c r="B52" s="201">
        <v>249021.0</v>
      </c>
    </row>
    <row r="53">
      <c r="A53" s="200" t="s">
        <v>865</v>
      </c>
      <c r="B53" s="201">
        <v>243627.0</v>
      </c>
    </row>
    <row r="54">
      <c r="A54" s="200" t="s">
        <v>866</v>
      </c>
      <c r="B54" s="201">
        <v>239206.0</v>
      </c>
    </row>
    <row r="55">
      <c r="A55" s="200" t="s">
        <v>867</v>
      </c>
      <c r="B55" s="201">
        <v>233904.0</v>
      </c>
    </row>
    <row r="56">
      <c r="A56" s="200" t="s">
        <v>868</v>
      </c>
      <c r="B56" s="201">
        <v>229433.0</v>
      </c>
    </row>
    <row r="57">
      <c r="A57" s="200" t="s">
        <v>869</v>
      </c>
      <c r="B57" s="201">
        <v>224814.0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A9" s="11" t="s">
        <v>678</v>
      </c>
      <c r="B9" s="11" t="s">
        <v>679</v>
      </c>
      <c r="C9" s="11" t="s">
        <v>680</v>
      </c>
    </row>
    <row r="10">
      <c r="A10" s="11">
        <v>27.787045843869493</v>
      </c>
      <c r="B10" s="11">
        <v>96.42076962981028</v>
      </c>
      <c r="C10" s="11">
        <v>3.1367912031862133</v>
      </c>
      <c r="F10" s="11">
        <f t="shared" ref="F10:F23" si="1">A10/100</f>
        <v>0.2778704584</v>
      </c>
    </row>
    <row r="11">
      <c r="A11" s="11">
        <v>26.889559410830095</v>
      </c>
      <c r="B11" s="11">
        <v>141.3401538372715</v>
      </c>
      <c r="C11" s="11">
        <v>3.322959513027306</v>
      </c>
      <c r="E11" s="11">
        <f>pearson(C10:C23,A10:A23)</f>
        <v>0.03715440374</v>
      </c>
      <c r="F11" s="11">
        <f t="shared" si="1"/>
        <v>0.2688955941</v>
      </c>
    </row>
    <row r="12">
      <c r="A12" s="11">
        <v>28.812462238879924</v>
      </c>
      <c r="B12" s="11">
        <v>149.42577568048586</v>
      </c>
      <c r="C12" s="11">
        <v>3.34756632680271</v>
      </c>
      <c r="E12" s="11">
        <f>pearson(A10:A23,B10:B23)</f>
        <v>0.5638552247</v>
      </c>
      <c r="F12" s="11">
        <f t="shared" si="1"/>
        <v>0.2881246224</v>
      </c>
    </row>
    <row r="13">
      <c r="A13" s="11">
        <v>64.31200562415093</v>
      </c>
      <c r="B13" s="11">
        <v>163.5062599279034</v>
      </c>
      <c r="C13" s="11">
        <v>3.3862186147187936</v>
      </c>
      <c r="F13" s="11">
        <f t="shared" si="1"/>
        <v>0.6431200562</v>
      </c>
    </row>
    <row r="14">
      <c r="A14" s="11">
        <v>40.82053696282713</v>
      </c>
      <c r="B14" s="11">
        <v>160.73756377591803</v>
      </c>
      <c r="C14" s="11">
        <v>3.4404107383376408</v>
      </c>
      <c r="F14" s="11">
        <f t="shared" si="1"/>
        <v>0.4082053696</v>
      </c>
    </row>
    <row r="15">
      <c r="A15" s="11">
        <v>39.97659347661559</v>
      </c>
      <c r="B15" s="11">
        <v>166.09738006327524</v>
      </c>
      <c r="C15" s="11">
        <v>3.483897231958701</v>
      </c>
      <c r="F15" s="11">
        <f t="shared" si="1"/>
        <v>0.3997659348</v>
      </c>
    </row>
    <row r="16">
      <c r="A16" s="11">
        <v>37.727580041534736</v>
      </c>
      <c r="B16" s="11">
        <v>159.23177227955668</v>
      </c>
      <c r="C16" s="11">
        <v>3.519769453716193</v>
      </c>
      <c r="F16" s="11">
        <f t="shared" si="1"/>
        <v>0.3772758004</v>
      </c>
    </row>
    <row r="17">
      <c r="A17" s="11">
        <v>36.5162464414143</v>
      </c>
      <c r="B17" s="11">
        <v>160.12953541706867</v>
      </c>
      <c r="C17" s="11">
        <v>3.5309136611172978</v>
      </c>
      <c r="F17" s="11">
        <f t="shared" si="1"/>
        <v>0.3651624644</v>
      </c>
    </row>
    <row r="18">
      <c r="A18" s="11">
        <v>38.684567544379</v>
      </c>
      <c r="B18" s="11">
        <v>170.70272809966806</v>
      </c>
      <c r="C18" s="11">
        <v>3.562384568731205</v>
      </c>
      <c r="F18" s="11">
        <f t="shared" si="1"/>
        <v>0.3868456754</v>
      </c>
    </row>
    <row r="19">
      <c r="A19" s="11">
        <v>40.181550329327095</v>
      </c>
      <c r="B19" s="11">
        <v>178.75100678364942</v>
      </c>
      <c r="C19" s="11">
        <v>3.631845969295817</v>
      </c>
      <c r="F19" s="11">
        <f t="shared" si="1"/>
        <v>0.4018155033</v>
      </c>
    </row>
    <row r="20">
      <c r="A20" s="11">
        <v>41.27014219759095</v>
      </c>
      <c r="B20" s="11">
        <v>178.38483316917643</v>
      </c>
      <c r="C20" s="11">
        <v>4.0</v>
      </c>
      <c r="F20" s="11">
        <f t="shared" si="1"/>
        <v>0.412701422</v>
      </c>
    </row>
    <row r="21">
      <c r="A21" s="11">
        <v>41.48614531898263</v>
      </c>
      <c r="B21" s="11">
        <v>173.63089879547948</v>
      </c>
      <c r="C21" s="11">
        <v>4.271369735562138</v>
      </c>
      <c r="F21" s="11">
        <f t="shared" si="1"/>
        <v>0.4148614532</v>
      </c>
    </row>
    <row r="22">
      <c r="A22" s="11">
        <v>41.425324409211015</v>
      </c>
      <c r="B22" s="11">
        <v>176.84522613538513</v>
      </c>
      <c r="C22" s="11">
        <v>4.287585437654394</v>
      </c>
      <c r="F22" s="11">
        <f t="shared" si="1"/>
        <v>0.4142532441</v>
      </c>
    </row>
    <row r="23">
      <c r="A23" s="11">
        <v>27.05048573</v>
      </c>
      <c r="B23" s="11">
        <v>135.4643144</v>
      </c>
      <c r="C23" s="11">
        <v>4.341461477004743</v>
      </c>
      <c r="F23" s="11">
        <f t="shared" si="1"/>
        <v>0.2705048573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870</v>
      </c>
      <c r="B1" s="4" t="s">
        <v>685</v>
      </c>
      <c r="C1" s="4" t="s">
        <v>526</v>
      </c>
      <c r="D1" s="4" t="s">
        <v>196</v>
      </c>
    </row>
    <row r="2">
      <c r="A2" s="4" t="s">
        <v>203</v>
      </c>
      <c r="B2" s="4" t="s">
        <v>687</v>
      </c>
      <c r="C2" s="4">
        <v>2018.0</v>
      </c>
      <c r="D2" s="23">
        <v>6308.0</v>
      </c>
    </row>
    <row r="3">
      <c r="A3" s="4" t="s">
        <v>203</v>
      </c>
      <c r="B3" s="4" t="s">
        <v>687</v>
      </c>
      <c r="C3" s="4">
        <v>2017.0</v>
      </c>
      <c r="D3" s="23">
        <v>6142.0</v>
      </c>
    </row>
    <row r="4">
      <c r="A4" s="4" t="s">
        <v>203</v>
      </c>
      <c r="B4" s="4" t="s">
        <v>687</v>
      </c>
      <c r="C4" s="4">
        <v>2016.0</v>
      </c>
      <c r="D4" s="23">
        <v>6323.0</v>
      </c>
    </row>
    <row r="5">
      <c r="A5" s="4" t="s">
        <v>203</v>
      </c>
      <c r="B5" s="4" t="s">
        <v>687</v>
      </c>
      <c r="C5" s="4">
        <v>2015.0</v>
      </c>
      <c r="D5" s="23">
        <v>8103.0</v>
      </c>
    </row>
    <row r="6">
      <c r="A6" s="4" t="s">
        <v>203</v>
      </c>
      <c r="B6" s="4" t="s">
        <v>687</v>
      </c>
      <c r="C6" s="4">
        <v>2014.0</v>
      </c>
      <c r="D6" s="23">
        <v>7000.0</v>
      </c>
    </row>
    <row r="7">
      <c r="A7" s="4" t="s">
        <v>203</v>
      </c>
      <c r="B7" s="4" t="s">
        <v>687</v>
      </c>
      <c r="C7" s="4">
        <v>2013.0</v>
      </c>
      <c r="D7" s="23">
        <v>6670.0</v>
      </c>
    </row>
    <row r="8">
      <c r="A8" s="4" t="s">
        <v>203</v>
      </c>
      <c r="B8" s="4" t="s">
        <v>687</v>
      </c>
      <c r="C8" s="4">
        <v>2012.0</v>
      </c>
      <c r="D8" s="23">
        <v>6627.0</v>
      </c>
    </row>
    <row r="9">
      <c r="A9" s="4" t="s">
        <v>203</v>
      </c>
      <c r="B9" s="4" t="s">
        <v>687</v>
      </c>
      <c r="C9" s="4">
        <v>2011.0</v>
      </c>
      <c r="D9" s="23">
        <v>6282.0</v>
      </c>
    </row>
    <row r="10">
      <c r="A10" s="4" t="s">
        <v>203</v>
      </c>
      <c r="B10" s="4" t="s">
        <v>687</v>
      </c>
      <c r="C10" s="4">
        <v>2010.0</v>
      </c>
      <c r="D10" s="23">
        <v>5885.0</v>
      </c>
    </row>
    <row r="11">
      <c r="A11" s="4" t="s">
        <v>203</v>
      </c>
      <c r="B11" s="4" t="s">
        <v>687</v>
      </c>
      <c r="C11" s="4">
        <v>2009.0</v>
      </c>
      <c r="D11" s="23">
        <v>5737.0</v>
      </c>
    </row>
    <row r="12">
      <c r="A12" s="4" t="s">
        <v>203</v>
      </c>
      <c r="B12" s="4" t="s">
        <v>687</v>
      </c>
      <c r="C12" s="4">
        <v>2008.0</v>
      </c>
      <c r="D12" s="23">
        <v>6018.0</v>
      </c>
    </row>
    <row r="13">
      <c r="A13" s="4" t="s">
        <v>203</v>
      </c>
      <c r="B13" s="4" t="s">
        <v>687</v>
      </c>
      <c r="C13" s="4">
        <v>2007.0</v>
      </c>
      <c r="D13" s="23">
        <v>6035.0</v>
      </c>
    </row>
    <row r="14">
      <c r="A14" s="4" t="s">
        <v>203</v>
      </c>
      <c r="B14" s="4" t="s">
        <v>687</v>
      </c>
      <c r="C14" s="4">
        <v>2006.0</v>
      </c>
      <c r="D14" s="23">
        <v>5714.0</v>
      </c>
    </row>
    <row r="15">
      <c r="A15" s="4" t="s">
        <v>203</v>
      </c>
      <c r="B15" s="4" t="s">
        <v>687</v>
      </c>
      <c r="C15" s="4">
        <v>2005.0</v>
      </c>
      <c r="D15" s="23">
        <v>5674.0</v>
      </c>
    </row>
    <row r="16">
      <c r="A16" s="4" t="s">
        <v>203</v>
      </c>
      <c r="B16" s="4" t="s">
        <v>686</v>
      </c>
      <c r="C16" s="4">
        <v>2018.0</v>
      </c>
      <c r="D16" s="23">
        <v>22560.0</v>
      </c>
    </row>
    <row r="17">
      <c r="A17" s="4" t="s">
        <v>203</v>
      </c>
      <c r="B17" s="4" t="s">
        <v>686</v>
      </c>
      <c r="C17" s="4">
        <v>2017.0</v>
      </c>
      <c r="D17" s="23">
        <v>21820.0</v>
      </c>
    </row>
    <row r="18">
      <c r="A18" s="4" t="s">
        <v>203</v>
      </c>
      <c r="B18" s="4" t="s">
        <v>686</v>
      </c>
      <c r="C18" s="4">
        <v>2016.0</v>
      </c>
      <c r="D18" s="23">
        <v>21467.0</v>
      </c>
    </row>
    <row r="19">
      <c r="A19" s="4" t="s">
        <v>203</v>
      </c>
      <c r="B19" s="4" t="s">
        <v>686</v>
      </c>
      <c r="C19" s="4">
        <v>2015.0</v>
      </c>
      <c r="D19" s="23">
        <v>21016.0</v>
      </c>
    </row>
    <row r="20">
      <c r="A20" s="4" t="s">
        <v>203</v>
      </c>
      <c r="B20" s="4" t="s">
        <v>686</v>
      </c>
      <c r="C20" s="4">
        <v>2014.0</v>
      </c>
      <c r="D20" s="23">
        <v>22097.0</v>
      </c>
    </row>
    <row r="21">
      <c r="A21" s="4" t="s">
        <v>203</v>
      </c>
      <c r="B21" s="4" t="s">
        <v>686</v>
      </c>
      <c r="C21" s="4">
        <v>2013.0</v>
      </c>
      <c r="D21" s="23">
        <v>25044.0</v>
      </c>
    </row>
    <row r="22">
      <c r="A22" s="4" t="s">
        <v>203</v>
      </c>
      <c r="B22" s="4" t="s">
        <v>686</v>
      </c>
      <c r="C22" s="4">
        <v>2012.0</v>
      </c>
      <c r="D22" s="23">
        <v>22887.0</v>
      </c>
    </row>
    <row r="23">
      <c r="A23" s="4" t="s">
        <v>203</v>
      </c>
      <c r="B23" s="4" t="s">
        <v>686</v>
      </c>
      <c r="C23" s="4">
        <v>2011.0</v>
      </c>
      <c r="D23" s="23">
        <v>20010.0</v>
      </c>
    </row>
    <row r="24">
      <c r="A24" s="4" t="s">
        <v>203</v>
      </c>
      <c r="B24" s="4" t="s">
        <v>686</v>
      </c>
      <c r="C24" s="4">
        <v>2010.0</v>
      </c>
      <c r="D24" s="23">
        <v>18700.0</v>
      </c>
    </row>
    <row r="25">
      <c r="A25" s="4" t="s">
        <v>203</v>
      </c>
      <c r="B25" s="4" t="s">
        <v>686</v>
      </c>
      <c r="C25" s="4">
        <v>2009.0</v>
      </c>
      <c r="D25" s="23">
        <v>17556.0</v>
      </c>
    </row>
    <row r="26">
      <c r="A26" s="4" t="s">
        <v>203</v>
      </c>
      <c r="B26" s="4" t="s">
        <v>686</v>
      </c>
      <c r="C26" s="4">
        <v>2008.0</v>
      </c>
      <c r="D26" s="23">
        <v>16368.0</v>
      </c>
    </row>
    <row r="27">
      <c r="A27" s="4" t="s">
        <v>203</v>
      </c>
      <c r="B27" s="4" t="s">
        <v>686</v>
      </c>
      <c r="C27" s="4">
        <v>2007.0</v>
      </c>
      <c r="D27" s="23">
        <v>18198.0</v>
      </c>
    </row>
    <row r="28">
      <c r="A28" s="4" t="s">
        <v>203</v>
      </c>
      <c r="B28" s="4" t="s">
        <v>686</v>
      </c>
      <c r="C28" s="4">
        <v>2006.0</v>
      </c>
      <c r="D28" s="23">
        <v>11178.0</v>
      </c>
    </row>
    <row r="29">
      <c r="A29" s="4" t="s">
        <v>203</v>
      </c>
      <c r="B29" s="4" t="s">
        <v>686</v>
      </c>
      <c r="C29" s="4">
        <v>2005.0</v>
      </c>
      <c r="D29" s="23">
        <v>9843.0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63"/>
    <col customWidth="1" min="16" max="16" width="17.25"/>
    <col customWidth="1" min="17" max="17" width="14.63"/>
    <col customWidth="1" min="18" max="18" width="14.0"/>
    <col customWidth="1" min="19" max="19" width="21.25"/>
    <col customWidth="1" min="20" max="20" width="20.88"/>
  </cols>
  <sheetData>
    <row r="1">
      <c r="B1" s="17" t="s">
        <v>42</v>
      </c>
      <c r="C1" s="17" t="s">
        <v>43</v>
      </c>
      <c r="D1" s="17" t="s">
        <v>44</v>
      </c>
      <c r="E1" s="17" t="s">
        <v>45</v>
      </c>
      <c r="F1" s="17" t="s">
        <v>46</v>
      </c>
      <c r="G1" s="17" t="s">
        <v>47</v>
      </c>
      <c r="H1" s="17" t="s">
        <v>37</v>
      </c>
      <c r="I1" s="17" t="s">
        <v>48</v>
      </c>
      <c r="J1" s="17" t="s">
        <v>36</v>
      </c>
      <c r="K1" s="17" t="s">
        <v>38</v>
      </c>
      <c r="L1" s="17" t="s">
        <v>49</v>
      </c>
      <c r="M1" s="17" t="s">
        <v>50</v>
      </c>
      <c r="N1" s="17" t="s">
        <v>51</v>
      </c>
      <c r="O1" s="18" t="s">
        <v>52</v>
      </c>
      <c r="P1" s="18" t="s">
        <v>53</v>
      </c>
      <c r="Q1" s="18" t="s">
        <v>54</v>
      </c>
      <c r="R1" s="18" t="s">
        <v>55</v>
      </c>
      <c r="S1" s="18" t="s">
        <v>56</v>
      </c>
      <c r="T1" s="18" t="s">
        <v>57</v>
      </c>
      <c r="U1" s="19" t="s">
        <v>58</v>
      </c>
    </row>
    <row r="2">
      <c r="A2" s="4" t="s">
        <v>10</v>
      </c>
      <c r="B2" s="4">
        <v>362315.3</v>
      </c>
      <c r="C2" s="11">
        <f t="shared" ref="C2:C3" si="1">6176.6+0</f>
        <v>6176.6</v>
      </c>
      <c r="D2" s="4">
        <v>4351.93</v>
      </c>
      <c r="E2" s="4">
        <v>42430.44</v>
      </c>
      <c r="F2" s="11">
        <f t="shared" ref="F2:F29" si="2">B2+C2+D2</f>
        <v>372843.83</v>
      </c>
      <c r="G2" s="4">
        <v>574221.8</v>
      </c>
      <c r="H2" s="11">
        <f>G2-F2-E2-D2</f>
        <v>154595.6</v>
      </c>
      <c r="I2" s="11">
        <f t="shared" ref="I2:I29" si="3">1+L2+K2</f>
        <v>13.4306849</v>
      </c>
      <c r="J2" s="11">
        <f t="shared" ref="J2:J29" si="4">H2/(E2+F2)</f>
        <v>0.3722734857</v>
      </c>
      <c r="K2" s="11">
        <f t="shared" ref="K2:K29" si="5">H2/E2</f>
        <v>3.643506879</v>
      </c>
      <c r="L2" s="11">
        <f t="shared" ref="L2:L29" si="6">F2/E2</f>
        <v>8.787178026</v>
      </c>
      <c r="M2" s="20">
        <f t="shared" ref="M2:M11" si="7">D2+E2+F2+H2</f>
        <v>574221.8</v>
      </c>
      <c r="N2" s="21">
        <f t="shared" ref="N2:N11" si="8">M2/G2</f>
        <v>1</v>
      </c>
      <c r="O2" s="14">
        <v>1.0</v>
      </c>
      <c r="P2" s="14">
        <v>16.0</v>
      </c>
      <c r="Q2" s="14">
        <v>1.0</v>
      </c>
      <c r="R2" s="14">
        <v>0.0</v>
      </c>
      <c r="S2" s="14">
        <v>9.0</v>
      </c>
      <c r="T2" s="14">
        <v>7.0</v>
      </c>
      <c r="U2" s="11">
        <f>(E2/(O2+P2))/12</f>
        <v>207.9923529</v>
      </c>
      <c r="V2" s="11">
        <f>U2/30</f>
        <v>6.933078431</v>
      </c>
    </row>
    <row r="3">
      <c r="B3" s="4">
        <v>362315.3</v>
      </c>
      <c r="C3" s="11">
        <f t="shared" si="1"/>
        <v>6176.6</v>
      </c>
      <c r="D3" s="4">
        <v>4351.93</v>
      </c>
      <c r="E3" s="4">
        <v>42430.44</v>
      </c>
      <c r="F3" s="11">
        <f t="shared" si="2"/>
        <v>372843.83</v>
      </c>
      <c r="G3" s="4">
        <v>574221.8</v>
      </c>
      <c r="H3" s="11">
        <f>G2-E2-F2</f>
        <v>158947.53</v>
      </c>
      <c r="I3" s="11">
        <f t="shared" si="3"/>
        <v>13.53325113</v>
      </c>
      <c r="J3" s="11">
        <f t="shared" si="4"/>
        <v>0.3827531381</v>
      </c>
      <c r="K3" s="11">
        <f t="shared" si="5"/>
        <v>3.746073102</v>
      </c>
      <c r="L3" s="11">
        <f t="shared" si="6"/>
        <v>8.787178026</v>
      </c>
      <c r="M3" s="20">
        <f t="shared" si="7"/>
        <v>578573.73</v>
      </c>
      <c r="N3" s="21">
        <f t="shared" si="8"/>
        <v>1.007578831</v>
      </c>
    </row>
    <row r="4">
      <c r="A4" s="4" t="s">
        <v>11</v>
      </c>
      <c r="B4" s="4"/>
      <c r="C4" s="4">
        <v>1.0619166E7</v>
      </c>
      <c r="D4" s="4">
        <v>3212931.0</v>
      </c>
      <c r="E4" s="4">
        <v>6683061.0</v>
      </c>
      <c r="F4" s="11">
        <f t="shared" si="2"/>
        <v>13832097</v>
      </c>
      <c r="G4" s="4">
        <v>3.7425791E7</v>
      </c>
      <c r="H4" s="11">
        <f t="shared" ref="H4:H29" si="9">G4-E4-F4-D4</f>
        <v>13697702</v>
      </c>
      <c r="I4" s="11">
        <f t="shared" si="3"/>
        <v>5.119339776</v>
      </c>
      <c r="J4" s="11">
        <f t="shared" si="4"/>
        <v>0.6676868879</v>
      </c>
      <c r="K4" s="11">
        <f t="shared" si="5"/>
        <v>2.049614989</v>
      </c>
      <c r="L4" s="11">
        <f t="shared" si="6"/>
        <v>2.069724786</v>
      </c>
      <c r="M4" s="20">
        <f t="shared" si="7"/>
        <v>37425791</v>
      </c>
      <c r="N4" s="21">
        <f t="shared" si="8"/>
        <v>1</v>
      </c>
    </row>
    <row r="5">
      <c r="A5" s="4" t="s">
        <v>59</v>
      </c>
      <c r="B5" s="4">
        <v>330171.0</v>
      </c>
      <c r="C5" s="11">
        <f>17790-3371</f>
        <v>14419</v>
      </c>
      <c r="D5" s="4">
        <v>21000.0</v>
      </c>
      <c r="E5" s="4">
        <v>94252.0</v>
      </c>
      <c r="F5" s="11">
        <f t="shared" si="2"/>
        <v>365590</v>
      </c>
      <c r="G5" s="4">
        <v>767953.0</v>
      </c>
      <c r="H5" s="11">
        <f t="shared" si="9"/>
        <v>287111</v>
      </c>
      <c r="I5" s="11">
        <f t="shared" si="3"/>
        <v>7.925062598</v>
      </c>
      <c r="J5" s="11">
        <f t="shared" si="4"/>
        <v>0.6243688049</v>
      </c>
      <c r="K5" s="11">
        <f t="shared" si="5"/>
        <v>3.046205916</v>
      </c>
      <c r="L5" s="11">
        <f t="shared" si="6"/>
        <v>3.878856682</v>
      </c>
      <c r="M5" s="20">
        <f t="shared" si="7"/>
        <v>767953</v>
      </c>
      <c r="N5" s="21">
        <f t="shared" si="8"/>
        <v>1</v>
      </c>
    </row>
    <row r="6">
      <c r="A6" s="4" t="s">
        <v>60</v>
      </c>
      <c r="B6" s="4">
        <v>1980407.53</v>
      </c>
      <c r="C6" s="11">
        <f>73194.73-3263.68</f>
        <v>69931.05</v>
      </c>
      <c r="D6" s="4">
        <v>313204.01</v>
      </c>
      <c r="E6" s="4">
        <v>3270443.02</v>
      </c>
      <c r="F6" s="11">
        <f t="shared" si="2"/>
        <v>2363542.59</v>
      </c>
      <c r="G6" s="4">
        <v>7409702.36</v>
      </c>
      <c r="H6" s="11">
        <f t="shared" si="9"/>
        <v>1462512.74</v>
      </c>
      <c r="I6" s="11">
        <f t="shared" si="3"/>
        <v>2.169889005</v>
      </c>
      <c r="J6" s="11">
        <f t="shared" si="4"/>
        <v>0.2595875888</v>
      </c>
      <c r="K6" s="11">
        <f t="shared" si="5"/>
        <v>0.447191017</v>
      </c>
      <c r="L6" s="11">
        <f t="shared" si="6"/>
        <v>0.7226979879</v>
      </c>
      <c r="M6" s="20">
        <f t="shared" si="7"/>
        <v>7409702.36</v>
      </c>
      <c r="N6" s="21">
        <f t="shared" si="8"/>
        <v>1</v>
      </c>
    </row>
    <row r="7">
      <c r="A7" s="4" t="s">
        <v>61</v>
      </c>
      <c r="B7" s="4">
        <v>2195610.03</v>
      </c>
      <c r="C7" s="11">
        <f>64447.72-3509</f>
        <v>60938.72</v>
      </c>
      <c r="D7" s="4">
        <v>383993.68</v>
      </c>
      <c r="E7" s="4">
        <v>3128032.75</v>
      </c>
      <c r="F7" s="11">
        <f t="shared" si="2"/>
        <v>2640542.43</v>
      </c>
      <c r="G7" s="4">
        <v>7510004.57</v>
      </c>
      <c r="H7" s="11">
        <f t="shared" si="9"/>
        <v>1357435.71</v>
      </c>
      <c r="I7" s="11">
        <f t="shared" si="3"/>
        <v>2.278112622</v>
      </c>
      <c r="J7" s="11">
        <f t="shared" si="4"/>
        <v>0.2353155966</v>
      </c>
      <c r="K7" s="11">
        <f t="shared" si="5"/>
        <v>0.4339582794</v>
      </c>
      <c r="L7" s="11">
        <f t="shared" si="6"/>
        <v>0.8441543427</v>
      </c>
      <c r="M7" s="20">
        <f t="shared" si="7"/>
        <v>7510004.57</v>
      </c>
      <c r="N7" s="21">
        <f t="shared" si="8"/>
        <v>1</v>
      </c>
    </row>
    <row r="8">
      <c r="A8" s="4" t="s">
        <v>62</v>
      </c>
      <c r="B8" s="4">
        <v>74775.0</v>
      </c>
      <c r="C8" s="11">
        <f>1640.16</f>
        <v>1640.16</v>
      </c>
      <c r="D8" s="4">
        <v>1650.01</v>
      </c>
      <c r="E8" s="4">
        <v>611978.48</v>
      </c>
      <c r="F8" s="11">
        <f t="shared" si="2"/>
        <v>78065.17</v>
      </c>
      <c r="G8" s="4">
        <v>998372.27</v>
      </c>
      <c r="H8" s="11">
        <f t="shared" si="9"/>
        <v>306678.61</v>
      </c>
      <c r="I8" s="11">
        <f t="shared" si="3"/>
        <v>1.628688414</v>
      </c>
      <c r="J8" s="11">
        <f t="shared" si="4"/>
        <v>0.4444336384</v>
      </c>
      <c r="K8" s="11">
        <f t="shared" si="5"/>
        <v>0.5011264612</v>
      </c>
      <c r="L8" s="11">
        <f t="shared" si="6"/>
        <v>0.1275619528</v>
      </c>
      <c r="M8" s="20">
        <f t="shared" si="7"/>
        <v>998372.27</v>
      </c>
      <c r="N8" s="21">
        <f t="shared" si="8"/>
        <v>1</v>
      </c>
    </row>
    <row r="9">
      <c r="A9" s="4" t="s">
        <v>18</v>
      </c>
      <c r="B9" s="4">
        <v>16325.47</v>
      </c>
      <c r="C9" s="11">
        <f>11264713.11</f>
        <v>11264713.11</v>
      </c>
      <c r="D9" s="11">
        <v>7832957.15</v>
      </c>
      <c r="E9" s="11">
        <v>5418797.9</v>
      </c>
      <c r="F9" s="11">
        <f t="shared" si="2"/>
        <v>19113995.73</v>
      </c>
      <c r="G9" s="4">
        <v>5.637620758E7</v>
      </c>
      <c r="H9" s="11">
        <f t="shared" si="9"/>
        <v>24010456.8</v>
      </c>
      <c r="I9" s="11">
        <f t="shared" si="3"/>
        <v>8.958306127</v>
      </c>
      <c r="J9" s="11">
        <f t="shared" si="4"/>
        <v>0.9787086282</v>
      </c>
      <c r="K9" s="11">
        <f t="shared" si="5"/>
        <v>4.43095632</v>
      </c>
      <c r="L9" s="11">
        <f t="shared" si="6"/>
        <v>3.527349808</v>
      </c>
      <c r="M9" s="20">
        <f t="shared" si="7"/>
        <v>56376207.58</v>
      </c>
      <c r="N9" s="21">
        <f t="shared" si="8"/>
        <v>1</v>
      </c>
    </row>
    <row r="10">
      <c r="A10" s="4" t="s">
        <v>19</v>
      </c>
      <c r="B10" s="4">
        <v>3.36881E8</v>
      </c>
      <c r="C10" s="11">
        <f>60204000-2796000</f>
        <v>57408000</v>
      </c>
      <c r="D10" s="4">
        <v>8031000.0</v>
      </c>
      <c r="E10" s="4">
        <v>1.659683E9</v>
      </c>
      <c r="F10" s="11">
        <f t="shared" si="2"/>
        <v>402320000</v>
      </c>
      <c r="G10" s="4">
        <v>2.266483E9</v>
      </c>
      <c r="H10" s="11">
        <f t="shared" si="9"/>
        <v>196449000</v>
      </c>
      <c r="I10" s="11">
        <f t="shared" si="3"/>
        <v>1.360773111</v>
      </c>
      <c r="J10" s="11">
        <f t="shared" si="4"/>
        <v>0.09527095741</v>
      </c>
      <c r="K10" s="11">
        <f t="shared" si="5"/>
        <v>0.1183653746</v>
      </c>
      <c r="L10" s="11">
        <f t="shared" si="6"/>
        <v>0.2424077369</v>
      </c>
      <c r="M10" s="20">
        <f t="shared" si="7"/>
        <v>2266483000</v>
      </c>
      <c r="N10" s="21">
        <f t="shared" si="8"/>
        <v>1</v>
      </c>
    </row>
    <row r="11">
      <c r="A11" s="4" t="s">
        <v>20</v>
      </c>
      <c r="B11" s="4">
        <v>2.37295E8</v>
      </c>
      <c r="C11" s="11">
        <f>12825000-356000</f>
        <v>12469000</v>
      </c>
      <c r="D11" s="4">
        <v>1930000.0</v>
      </c>
      <c r="E11" s="4">
        <v>5.02414E8</v>
      </c>
      <c r="F11" s="11">
        <f t="shared" si="2"/>
        <v>251694000</v>
      </c>
      <c r="G11" s="4">
        <v>8.75838E8</v>
      </c>
      <c r="H11" s="11">
        <f t="shared" si="9"/>
        <v>119800000</v>
      </c>
      <c r="I11" s="11">
        <f t="shared" si="3"/>
        <v>1.739418089</v>
      </c>
      <c r="J11" s="11">
        <f t="shared" si="4"/>
        <v>0.1588631867</v>
      </c>
      <c r="K11" s="11">
        <f t="shared" si="5"/>
        <v>0.2384487693</v>
      </c>
      <c r="L11" s="11">
        <f t="shared" si="6"/>
        <v>0.5009693201</v>
      </c>
      <c r="M11" s="20">
        <f t="shared" si="7"/>
        <v>875838000</v>
      </c>
      <c r="N11" s="21">
        <f t="shared" si="8"/>
        <v>1</v>
      </c>
    </row>
    <row r="12">
      <c r="A12" s="4" t="s">
        <v>63</v>
      </c>
      <c r="B12" s="4">
        <v>0.0</v>
      </c>
      <c r="C12" s="4">
        <v>329.4</v>
      </c>
      <c r="D12" s="22">
        <v>6905.24</v>
      </c>
      <c r="E12" s="22">
        <v>61245.2</v>
      </c>
      <c r="F12" s="12">
        <f t="shared" si="2"/>
        <v>7234.64</v>
      </c>
      <c r="G12" s="22">
        <v>238059.99</v>
      </c>
      <c r="H12" s="12">
        <f t="shared" si="9"/>
        <v>162674.91</v>
      </c>
      <c r="I12" s="11">
        <f t="shared" si="3"/>
        <v>3.77425088</v>
      </c>
      <c r="J12" s="11">
        <f t="shared" si="4"/>
        <v>2.375515334</v>
      </c>
      <c r="K12" s="11">
        <f t="shared" si="5"/>
        <v>2.656125051</v>
      </c>
      <c r="L12" s="11">
        <f t="shared" si="6"/>
        <v>0.1181258286</v>
      </c>
      <c r="M12" s="20"/>
      <c r="N12" s="21"/>
    </row>
    <row r="13">
      <c r="A13" s="4" t="s">
        <v>64</v>
      </c>
      <c r="B13" s="4"/>
      <c r="F13" s="11">
        <f t="shared" si="2"/>
        <v>0</v>
      </c>
      <c r="H13" s="11">
        <f t="shared" si="9"/>
        <v>0</v>
      </c>
      <c r="I13" s="11" t="str">
        <f t="shared" si="3"/>
        <v>#DIV/0!</v>
      </c>
      <c r="J13" s="11" t="str">
        <f t="shared" si="4"/>
        <v>#DIV/0!</v>
      </c>
      <c r="K13" s="11" t="str">
        <f t="shared" si="5"/>
        <v>#DIV/0!</v>
      </c>
      <c r="L13" s="11" t="str">
        <f t="shared" si="6"/>
        <v>#DIV/0!</v>
      </c>
      <c r="M13" s="20">
        <f t="shared" ref="M13:M29" si="10">D13+E13+F13+H13</f>
        <v>0</v>
      </c>
      <c r="N13" s="21" t="str">
        <f t="shared" ref="N13:N29" si="11">M13/G13</f>
        <v>#DIV/0!</v>
      </c>
    </row>
    <row r="14">
      <c r="A14" s="4" t="s">
        <v>65</v>
      </c>
      <c r="B14" s="4"/>
      <c r="F14" s="11">
        <f t="shared" si="2"/>
        <v>0</v>
      </c>
      <c r="H14" s="11">
        <f t="shared" si="9"/>
        <v>0</v>
      </c>
      <c r="I14" s="11" t="str">
        <f t="shared" si="3"/>
        <v>#DIV/0!</v>
      </c>
      <c r="J14" s="11" t="str">
        <f t="shared" si="4"/>
        <v>#DIV/0!</v>
      </c>
      <c r="K14" s="11" t="str">
        <f t="shared" si="5"/>
        <v>#DIV/0!</v>
      </c>
      <c r="L14" s="11" t="str">
        <f t="shared" si="6"/>
        <v>#DIV/0!</v>
      </c>
      <c r="M14" s="20">
        <f t="shared" si="10"/>
        <v>0</v>
      </c>
      <c r="N14" s="21" t="str">
        <f t="shared" si="11"/>
        <v>#DIV/0!</v>
      </c>
    </row>
    <row r="15">
      <c r="A15" s="4" t="s">
        <v>66</v>
      </c>
      <c r="B15" s="4"/>
      <c r="F15" s="11">
        <f t="shared" si="2"/>
        <v>0</v>
      </c>
      <c r="H15" s="11">
        <f t="shared" si="9"/>
        <v>0</v>
      </c>
      <c r="I15" s="11" t="str">
        <f t="shared" si="3"/>
        <v>#DIV/0!</v>
      </c>
      <c r="J15" s="11" t="str">
        <f t="shared" si="4"/>
        <v>#DIV/0!</v>
      </c>
      <c r="K15" s="11" t="str">
        <f t="shared" si="5"/>
        <v>#DIV/0!</v>
      </c>
      <c r="L15" s="11" t="str">
        <f t="shared" si="6"/>
        <v>#DIV/0!</v>
      </c>
      <c r="M15" s="20">
        <f t="shared" si="10"/>
        <v>0</v>
      </c>
      <c r="N15" s="21" t="str">
        <f t="shared" si="11"/>
        <v>#DIV/0!</v>
      </c>
    </row>
    <row r="16">
      <c r="A16" s="4" t="s">
        <v>21</v>
      </c>
      <c r="B16" s="4">
        <v>3.92851E8</v>
      </c>
      <c r="C16" s="11">
        <f>68525000+897000</f>
        <v>69422000</v>
      </c>
      <c r="D16" s="4">
        <v>3.601E7</v>
      </c>
      <c r="E16" s="4">
        <v>1.36988E8</v>
      </c>
      <c r="F16" s="11">
        <f t="shared" si="2"/>
        <v>498283000</v>
      </c>
      <c r="G16" s="4">
        <v>4.566641E9</v>
      </c>
      <c r="H16" s="11">
        <f t="shared" si="9"/>
        <v>3895360000</v>
      </c>
      <c r="I16" s="11">
        <f t="shared" si="3"/>
        <v>33.07319619</v>
      </c>
      <c r="J16" s="11">
        <f t="shared" si="4"/>
        <v>6.131808315</v>
      </c>
      <c r="K16" s="11">
        <f t="shared" si="5"/>
        <v>28.4357754</v>
      </c>
      <c r="L16" s="11">
        <f t="shared" si="6"/>
        <v>3.637420796</v>
      </c>
      <c r="M16" s="20">
        <f t="shared" si="10"/>
        <v>4566641000</v>
      </c>
      <c r="N16" s="21">
        <f t="shared" si="11"/>
        <v>1</v>
      </c>
    </row>
    <row r="17">
      <c r="A17" s="4" t="s">
        <v>22</v>
      </c>
      <c r="B17" s="4">
        <v>1000000.0</v>
      </c>
      <c r="C17" s="4">
        <v>3.3E7</v>
      </c>
      <c r="D17" s="4">
        <v>6.2E7</v>
      </c>
      <c r="E17" s="4">
        <v>1.8E8</v>
      </c>
      <c r="F17" s="11">
        <f t="shared" si="2"/>
        <v>96000000</v>
      </c>
      <c r="G17" s="4">
        <v>2.137E9</v>
      </c>
      <c r="H17" s="11">
        <f t="shared" si="9"/>
        <v>1799000000</v>
      </c>
      <c r="I17" s="11">
        <f t="shared" si="3"/>
        <v>11.52777778</v>
      </c>
      <c r="J17" s="11">
        <f t="shared" si="4"/>
        <v>6.518115942</v>
      </c>
      <c r="K17" s="11">
        <f t="shared" si="5"/>
        <v>9.994444444</v>
      </c>
      <c r="L17" s="11">
        <f t="shared" si="6"/>
        <v>0.5333333333</v>
      </c>
      <c r="M17" s="20">
        <f t="shared" si="10"/>
        <v>2137000000</v>
      </c>
      <c r="N17" s="21">
        <f t="shared" si="11"/>
        <v>1</v>
      </c>
    </row>
    <row r="18">
      <c r="A18" s="4" t="s">
        <v>23</v>
      </c>
      <c r="B18" s="4">
        <v>4.49E8</v>
      </c>
      <c r="C18" s="4">
        <v>1.58E8</v>
      </c>
      <c r="D18" s="4">
        <v>4000000.0</v>
      </c>
      <c r="E18" s="4">
        <v>3.8E7</v>
      </c>
      <c r="F18" s="11">
        <f t="shared" si="2"/>
        <v>611000000</v>
      </c>
      <c r="G18" s="4">
        <v>9.21E8</v>
      </c>
      <c r="H18" s="11">
        <f t="shared" si="9"/>
        <v>268000000</v>
      </c>
      <c r="I18" s="11">
        <f t="shared" si="3"/>
        <v>24.13157895</v>
      </c>
      <c r="J18" s="11">
        <f t="shared" si="4"/>
        <v>0.4129429892</v>
      </c>
      <c r="K18" s="11">
        <f t="shared" si="5"/>
        <v>7.052631579</v>
      </c>
      <c r="L18" s="11">
        <f t="shared" si="6"/>
        <v>16.07894737</v>
      </c>
      <c r="M18" s="20">
        <f t="shared" si="10"/>
        <v>921000000</v>
      </c>
      <c r="N18" s="21">
        <f t="shared" si="11"/>
        <v>1</v>
      </c>
    </row>
    <row r="19">
      <c r="A19" s="4" t="s">
        <v>67</v>
      </c>
      <c r="B19" s="4">
        <v>1.3635E10</v>
      </c>
      <c r="C19" s="4">
        <v>1.0522E10</v>
      </c>
      <c r="D19" s="4">
        <v>1.054E9</v>
      </c>
      <c r="E19" s="4">
        <v>8.066E9</v>
      </c>
      <c r="F19" s="11">
        <f t="shared" si="2"/>
        <v>25211000000</v>
      </c>
      <c r="G19" s="4">
        <v>4.8422E10</v>
      </c>
      <c r="H19" s="11">
        <f t="shared" si="9"/>
        <v>14091000000</v>
      </c>
      <c r="I19" s="11">
        <f t="shared" si="3"/>
        <v>5.872551451</v>
      </c>
      <c r="J19" s="11">
        <f t="shared" si="4"/>
        <v>0.4234456231</v>
      </c>
      <c r="K19" s="11">
        <f t="shared" si="5"/>
        <v>1.746962559</v>
      </c>
      <c r="L19" s="11">
        <f t="shared" si="6"/>
        <v>3.125588892</v>
      </c>
      <c r="M19" s="20">
        <f t="shared" si="10"/>
        <v>48422000000</v>
      </c>
      <c r="N19" s="21">
        <f t="shared" si="11"/>
        <v>1</v>
      </c>
    </row>
    <row r="20">
      <c r="A20" s="4" t="s">
        <v>68</v>
      </c>
      <c r="B20" s="4"/>
      <c r="F20" s="11">
        <f t="shared" si="2"/>
        <v>0</v>
      </c>
      <c r="H20" s="11">
        <f t="shared" si="9"/>
        <v>0</v>
      </c>
      <c r="I20" s="11" t="str">
        <f t="shared" si="3"/>
        <v>#DIV/0!</v>
      </c>
      <c r="J20" s="11" t="str">
        <f t="shared" si="4"/>
        <v>#DIV/0!</v>
      </c>
      <c r="K20" s="11" t="str">
        <f t="shared" si="5"/>
        <v>#DIV/0!</v>
      </c>
      <c r="L20" s="11" t="str">
        <f t="shared" si="6"/>
        <v>#DIV/0!</v>
      </c>
      <c r="M20" s="20">
        <f t="shared" si="10"/>
        <v>0</v>
      </c>
      <c r="N20" s="21" t="str">
        <f t="shared" si="11"/>
        <v>#DIV/0!</v>
      </c>
    </row>
    <row r="21">
      <c r="A21" s="4" t="s">
        <v>69</v>
      </c>
      <c r="B21" s="4"/>
      <c r="C21" s="11">
        <f>3001000000+1623000000</f>
        <v>4624000000</v>
      </c>
      <c r="D21" s="4">
        <v>5.22E8</v>
      </c>
      <c r="E21" s="4">
        <v>1.2141E10</v>
      </c>
      <c r="F21" s="11">
        <f t="shared" si="2"/>
        <v>5146000000</v>
      </c>
      <c r="G21" s="4">
        <v>5.6785E10</v>
      </c>
      <c r="H21" s="11">
        <f t="shared" si="9"/>
        <v>38976000000</v>
      </c>
      <c r="I21" s="11">
        <f t="shared" si="3"/>
        <v>4.634132279</v>
      </c>
      <c r="J21" s="11">
        <f t="shared" si="4"/>
        <v>2.254642217</v>
      </c>
      <c r="K21" s="11">
        <f t="shared" si="5"/>
        <v>3.210279219</v>
      </c>
      <c r="L21" s="11">
        <f t="shared" si="6"/>
        <v>0.4238530599</v>
      </c>
      <c r="M21" s="20">
        <f t="shared" si="10"/>
        <v>56785000000</v>
      </c>
      <c r="N21" s="21">
        <f t="shared" si="11"/>
        <v>1</v>
      </c>
    </row>
    <row r="22">
      <c r="A22" s="4" t="s">
        <v>70</v>
      </c>
      <c r="B22" s="4"/>
      <c r="F22" s="11">
        <f t="shared" si="2"/>
        <v>0</v>
      </c>
      <c r="H22" s="11">
        <f t="shared" si="9"/>
        <v>0</v>
      </c>
      <c r="I22" s="11" t="str">
        <f t="shared" si="3"/>
        <v>#DIV/0!</v>
      </c>
      <c r="J22" s="11" t="str">
        <f t="shared" si="4"/>
        <v>#DIV/0!</v>
      </c>
      <c r="K22" s="11" t="str">
        <f t="shared" si="5"/>
        <v>#DIV/0!</v>
      </c>
      <c r="L22" s="11" t="str">
        <f t="shared" si="6"/>
        <v>#DIV/0!</v>
      </c>
      <c r="M22" s="20">
        <f t="shared" si="10"/>
        <v>0</v>
      </c>
      <c r="N22" s="21" t="str">
        <f t="shared" si="11"/>
        <v>#DIV/0!</v>
      </c>
    </row>
    <row r="23">
      <c r="A23" s="4" t="s">
        <v>71</v>
      </c>
      <c r="B23" s="4"/>
      <c r="F23" s="11">
        <f t="shared" si="2"/>
        <v>0</v>
      </c>
      <c r="H23" s="11">
        <f t="shared" si="9"/>
        <v>0</v>
      </c>
      <c r="I23" s="11" t="str">
        <f t="shared" si="3"/>
        <v>#DIV/0!</v>
      </c>
      <c r="J23" s="11" t="str">
        <f t="shared" si="4"/>
        <v>#DIV/0!</v>
      </c>
      <c r="K23" s="11" t="str">
        <f t="shared" si="5"/>
        <v>#DIV/0!</v>
      </c>
      <c r="L23" s="11" t="str">
        <f t="shared" si="6"/>
        <v>#DIV/0!</v>
      </c>
      <c r="M23" s="20">
        <f t="shared" si="10"/>
        <v>0</v>
      </c>
      <c r="N23" s="21" t="str">
        <f t="shared" si="11"/>
        <v>#DIV/0!</v>
      </c>
    </row>
    <row r="24">
      <c r="A24" s="4" t="s">
        <v>72</v>
      </c>
      <c r="B24" s="4"/>
      <c r="F24" s="11">
        <f t="shared" si="2"/>
        <v>0</v>
      </c>
      <c r="H24" s="11">
        <f t="shared" si="9"/>
        <v>0</v>
      </c>
      <c r="I24" s="11" t="str">
        <f t="shared" si="3"/>
        <v>#DIV/0!</v>
      </c>
      <c r="J24" s="11" t="str">
        <f t="shared" si="4"/>
        <v>#DIV/0!</v>
      </c>
      <c r="K24" s="11" t="str">
        <f t="shared" si="5"/>
        <v>#DIV/0!</v>
      </c>
      <c r="L24" s="11" t="str">
        <f t="shared" si="6"/>
        <v>#DIV/0!</v>
      </c>
      <c r="M24" s="20">
        <f t="shared" si="10"/>
        <v>0</v>
      </c>
      <c r="N24" s="21" t="str">
        <f t="shared" si="11"/>
        <v>#DIV/0!</v>
      </c>
    </row>
    <row r="25">
      <c r="A25" s="4" t="s">
        <v>73</v>
      </c>
      <c r="B25" s="4"/>
      <c r="F25" s="11">
        <f t="shared" si="2"/>
        <v>0</v>
      </c>
      <c r="H25" s="11">
        <f t="shared" si="9"/>
        <v>0</v>
      </c>
      <c r="I25" s="11" t="str">
        <f t="shared" si="3"/>
        <v>#DIV/0!</v>
      </c>
      <c r="J25" s="11" t="str">
        <f t="shared" si="4"/>
        <v>#DIV/0!</v>
      </c>
      <c r="K25" s="11" t="str">
        <f t="shared" si="5"/>
        <v>#DIV/0!</v>
      </c>
      <c r="L25" s="11" t="str">
        <f t="shared" si="6"/>
        <v>#DIV/0!</v>
      </c>
      <c r="M25" s="20">
        <f t="shared" si="10"/>
        <v>0</v>
      </c>
      <c r="N25" s="21" t="str">
        <f t="shared" si="11"/>
        <v>#DIV/0!</v>
      </c>
    </row>
    <row r="26">
      <c r="A26" s="4" t="s">
        <v>74</v>
      </c>
      <c r="B26" s="4"/>
      <c r="F26" s="11">
        <f t="shared" si="2"/>
        <v>0</v>
      </c>
      <c r="H26" s="11">
        <f t="shared" si="9"/>
        <v>0</v>
      </c>
      <c r="I26" s="11" t="str">
        <f t="shared" si="3"/>
        <v>#DIV/0!</v>
      </c>
      <c r="J26" s="11" t="str">
        <f t="shared" si="4"/>
        <v>#DIV/0!</v>
      </c>
      <c r="K26" s="11" t="str">
        <f t="shared" si="5"/>
        <v>#DIV/0!</v>
      </c>
      <c r="L26" s="11" t="str">
        <f t="shared" si="6"/>
        <v>#DIV/0!</v>
      </c>
      <c r="M26" s="20">
        <f t="shared" si="10"/>
        <v>0</v>
      </c>
      <c r="N26" s="21" t="str">
        <f t="shared" si="11"/>
        <v>#DIV/0!</v>
      </c>
    </row>
    <row r="27">
      <c r="A27" s="4"/>
      <c r="F27" s="11">
        <f t="shared" si="2"/>
        <v>0</v>
      </c>
      <c r="H27" s="11">
        <f t="shared" si="9"/>
        <v>0</v>
      </c>
      <c r="I27" s="11" t="str">
        <f t="shared" si="3"/>
        <v>#DIV/0!</v>
      </c>
      <c r="J27" s="11" t="str">
        <f t="shared" si="4"/>
        <v>#DIV/0!</v>
      </c>
      <c r="K27" s="11" t="str">
        <f t="shared" si="5"/>
        <v>#DIV/0!</v>
      </c>
      <c r="L27" s="11" t="str">
        <f t="shared" si="6"/>
        <v>#DIV/0!</v>
      </c>
      <c r="M27" s="20">
        <f t="shared" si="10"/>
        <v>0</v>
      </c>
      <c r="N27" s="21" t="str">
        <f t="shared" si="11"/>
        <v>#DIV/0!</v>
      </c>
    </row>
    <row r="28">
      <c r="F28" s="11">
        <f t="shared" si="2"/>
        <v>0</v>
      </c>
      <c r="H28" s="11">
        <f t="shared" si="9"/>
        <v>0</v>
      </c>
      <c r="I28" s="11" t="str">
        <f t="shared" si="3"/>
        <v>#DIV/0!</v>
      </c>
      <c r="J28" s="11" t="str">
        <f t="shared" si="4"/>
        <v>#DIV/0!</v>
      </c>
      <c r="K28" s="11" t="str">
        <f t="shared" si="5"/>
        <v>#DIV/0!</v>
      </c>
      <c r="L28" s="11" t="str">
        <f t="shared" si="6"/>
        <v>#DIV/0!</v>
      </c>
      <c r="M28" s="20">
        <f t="shared" si="10"/>
        <v>0</v>
      </c>
      <c r="N28" s="21" t="str">
        <f t="shared" si="11"/>
        <v>#DIV/0!</v>
      </c>
    </row>
    <row r="29">
      <c r="F29" s="11">
        <f t="shared" si="2"/>
        <v>0</v>
      </c>
      <c r="H29" s="11">
        <f t="shared" si="9"/>
        <v>0</v>
      </c>
      <c r="I29" s="11" t="str">
        <f t="shared" si="3"/>
        <v>#DIV/0!</v>
      </c>
      <c r="J29" s="11" t="str">
        <f t="shared" si="4"/>
        <v>#DIV/0!</v>
      </c>
      <c r="K29" s="11" t="str">
        <f t="shared" si="5"/>
        <v>#DIV/0!</v>
      </c>
      <c r="L29" s="11" t="str">
        <f t="shared" si="6"/>
        <v>#DIV/0!</v>
      </c>
      <c r="M29" s="20">
        <f t="shared" si="10"/>
        <v>0</v>
      </c>
      <c r="N29" s="21" t="str">
        <f t="shared" si="11"/>
        <v>#DIV/0!</v>
      </c>
    </row>
    <row r="31">
      <c r="A31" s="4" t="s">
        <v>75</v>
      </c>
    </row>
    <row r="32">
      <c r="A32" s="4" t="s">
        <v>76</v>
      </c>
      <c r="B32" s="11">
        <f t="shared" ref="B32:N32" si="12">STDEV(B6,B8)</f>
        <v>1347485.684</v>
      </c>
      <c r="C32" s="11">
        <f t="shared" si="12"/>
        <v>48288.95141</v>
      </c>
      <c r="D32" s="11">
        <f t="shared" si="12"/>
        <v>220301.9461</v>
      </c>
      <c r="E32" s="11">
        <f t="shared" si="12"/>
        <v>1879818.304</v>
      </c>
      <c r="F32" s="11">
        <f t="shared" si="12"/>
        <v>1616076.582</v>
      </c>
      <c r="G32" s="11">
        <f t="shared" si="12"/>
        <v>4533494.983</v>
      </c>
      <c r="H32" s="11">
        <f t="shared" si="12"/>
        <v>817298.1512</v>
      </c>
      <c r="I32" s="11">
        <f t="shared" si="12"/>
        <v>0.3826866077</v>
      </c>
      <c r="J32" s="11">
        <f t="shared" si="12"/>
        <v>0.1307058951</v>
      </c>
      <c r="K32" s="11">
        <f t="shared" si="12"/>
        <v>0.03813811836</v>
      </c>
      <c r="L32" s="11">
        <f t="shared" si="12"/>
        <v>0.4208247261</v>
      </c>
      <c r="M32" s="11">
        <f t="shared" si="12"/>
        <v>4533494.983</v>
      </c>
      <c r="N32" s="11">
        <f t="shared" si="12"/>
        <v>0</v>
      </c>
    </row>
    <row r="33">
      <c r="A33" s="4" t="s">
        <v>77</v>
      </c>
      <c r="B33" s="11">
        <f t="shared" ref="B33:N33" si="13">STDEV(B4,B5,B10,B11,B16:B19,B21)</f>
        <v>5067401045</v>
      </c>
      <c r="C33" s="11">
        <f t="shared" si="13"/>
        <v>3631095615</v>
      </c>
      <c r="D33" s="11">
        <f t="shared" si="13"/>
        <v>365861678.3</v>
      </c>
      <c r="E33" s="11">
        <f t="shared" si="13"/>
        <v>4445694903</v>
      </c>
      <c r="F33" s="11">
        <f t="shared" si="13"/>
        <v>8272766379</v>
      </c>
      <c r="G33" s="11">
        <f t="shared" si="13"/>
        <v>22654956665</v>
      </c>
      <c r="H33" s="11">
        <f t="shared" si="13"/>
        <v>12964920091</v>
      </c>
      <c r="I33" s="11">
        <f t="shared" si="13"/>
        <v>10.88585905</v>
      </c>
      <c r="J33" s="11">
        <f t="shared" si="13"/>
        <v>2.57834885</v>
      </c>
      <c r="K33" s="11">
        <f t="shared" si="13"/>
        <v>8.93042552</v>
      </c>
      <c r="L33" s="11">
        <f t="shared" si="13"/>
        <v>4.979143888</v>
      </c>
      <c r="M33" s="11">
        <f t="shared" si="13"/>
        <v>22654956665</v>
      </c>
      <c r="N33" s="11">
        <f t="shared" si="13"/>
        <v>0</v>
      </c>
    </row>
    <row r="34">
      <c r="A34" s="4" t="s">
        <v>78</v>
      </c>
      <c r="B34" s="11">
        <f t="shared" ref="B34:N34" si="14">STDEV(B2,B9)</f>
        <v>244651.755</v>
      </c>
      <c r="C34" s="11">
        <f t="shared" si="14"/>
        <v>7960987.512</v>
      </c>
      <c r="D34" s="11">
        <f t="shared" si="14"/>
        <v>5535659.838</v>
      </c>
      <c r="E34" s="11">
        <f t="shared" si="14"/>
        <v>3801665.889</v>
      </c>
      <c r="F34" s="11">
        <f t="shared" si="14"/>
        <v>13251995.6</v>
      </c>
      <c r="G34" s="11">
        <f t="shared" si="14"/>
        <v>39457962.55</v>
      </c>
      <c r="H34" s="11">
        <f t="shared" si="14"/>
        <v>16868641.23</v>
      </c>
      <c r="I34" s="11">
        <f t="shared" si="14"/>
        <v>3.162449361</v>
      </c>
      <c r="J34" s="11">
        <f t="shared" si="14"/>
        <v>0.4288144016</v>
      </c>
      <c r="K34" s="11">
        <f t="shared" si="14"/>
        <v>0.5568108397</v>
      </c>
      <c r="L34" s="11">
        <f t="shared" si="14"/>
        <v>3.719260201</v>
      </c>
      <c r="M34" s="11">
        <f t="shared" si="14"/>
        <v>39457962.55</v>
      </c>
      <c r="N34" s="11">
        <f t="shared" si="14"/>
        <v>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38</v>
      </c>
      <c r="B1" s="11" t="s">
        <v>49</v>
      </c>
      <c r="C1" s="11" t="s">
        <v>36</v>
      </c>
    </row>
    <row r="2">
      <c r="A2" s="11">
        <v>0.43540564606597754</v>
      </c>
      <c r="B2" s="11">
        <v>1.3175076459316413</v>
      </c>
      <c r="C2" s="11">
        <v>0.18787668158520524</v>
      </c>
    </row>
    <row r="3">
      <c r="A3" s="11">
        <v>0.6428952784424959</v>
      </c>
      <c r="B3" s="11">
        <v>1.3343149980005566</v>
      </c>
      <c r="C3" s="11">
        <v>0.2754106789328621</v>
      </c>
    </row>
    <row r="4">
      <c r="A4" s="11">
        <v>0.5787034929182032</v>
      </c>
      <c r="B4" s="11">
        <v>1.5315096292751094</v>
      </c>
      <c r="C4" s="11">
        <v>0.22860015471634346</v>
      </c>
    </row>
    <row r="5">
      <c r="A5" s="11">
        <v>0.6181368502821354</v>
      </c>
      <c r="B5" s="11">
        <v>1.5880729482326006</v>
      </c>
      <c r="C5" s="11">
        <v>0.23884058241258702</v>
      </c>
    </row>
    <row r="6">
      <c r="A6" s="11">
        <v>0.7307042341839411</v>
      </c>
      <c r="B6" s="11">
        <v>1.85808174583072</v>
      </c>
      <c r="C6" s="11">
        <v>0.2556624684545393</v>
      </c>
    </row>
    <row r="7">
      <c r="A7" s="11">
        <v>0.8320437967812384</v>
      </c>
      <c r="B7" s="11">
        <v>2.1292179956172332</v>
      </c>
      <c r="C7" s="11">
        <v>0.2658951207447339</v>
      </c>
    </row>
    <row r="8">
      <c r="A8" s="11">
        <v>1.152290094014256</v>
      </c>
      <c r="B8" s="11">
        <v>2.3990643344333047</v>
      </c>
      <c r="C8" s="11">
        <v>0.33900214313135874</v>
      </c>
    </row>
    <row r="9">
      <c r="A9" s="11">
        <v>0.9054044563445691</v>
      </c>
      <c r="B9" s="11">
        <v>2.4815050899590396</v>
      </c>
      <c r="C9" s="11">
        <v>0.26006121862519566</v>
      </c>
    </row>
    <row r="10">
      <c r="A10" s="11">
        <v>2.1255664751716767</v>
      </c>
      <c r="B10" s="11">
        <v>3.537994509197562</v>
      </c>
      <c r="C10" s="11">
        <v>0.4683933554488882</v>
      </c>
    </row>
    <row r="11">
      <c r="A11" s="11">
        <v>0.33031420844805665</v>
      </c>
      <c r="B11" s="11">
        <v>6.730775706461932</v>
      </c>
      <c r="C11" s="11">
        <v>0.04272717525253728</v>
      </c>
    </row>
    <row r="12">
      <c r="A12" s="11">
        <v>2.1044133787555315</v>
      </c>
      <c r="B12" s="11">
        <v>7.3407261927410925</v>
      </c>
      <c r="C12" s="11">
        <v>0.2523057741167664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">
        <v>1.0E12</v>
      </c>
    </row>
    <row r="3">
      <c r="B3" s="4">
        <v>1.0E8</v>
      </c>
    </row>
    <row r="4">
      <c r="B4" s="21">
        <f>B3/B2</f>
        <v>0.0001</v>
      </c>
    </row>
    <row r="7">
      <c r="B7" s="23">
        <v>1.205063E12</v>
      </c>
    </row>
    <row r="9">
      <c r="B9" s="4">
        <v>1.14E8</v>
      </c>
    </row>
    <row r="10">
      <c r="B10" s="11">
        <f>100*B9/B7</f>
        <v>0.009460086319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38"/>
    <col customWidth="1" min="7" max="7" width="20.13"/>
    <col customWidth="1" min="8" max="8" width="14.13"/>
  </cols>
  <sheetData>
    <row r="1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88</v>
      </c>
      <c r="K1" s="4" t="s">
        <v>89</v>
      </c>
      <c r="L1" s="4" t="s">
        <v>90</v>
      </c>
      <c r="M1" s="4" t="s">
        <v>91</v>
      </c>
      <c r="N1" s="4" t="s">
        <v>92</v>
      </c>
      <c r="O1" s="4" t="s">
        <v>93</v>
      </c>
      <c r="P1" s="4" t="s">
        <v>94</v>
      </c>
      <c r="Q1" s="4" t="s">
        <v>95</v>
      </c>
      <c r="R1" s="4" t="s">
        <v>96</v>
      </c>
      <c r="S1" s="4" t="s">
        <v>97</v>
      </c>
      <c r="T1" s="4" t="s">
        <v>98</v>
      </c>
      <c r="U1" s="4" t="s">
        <v>99</v>
      </c>
      <c r="V1" s="4" t="s">
        <v>100</v>
      </c>
      <c r="W1" s="4" t="s">
        <v>101</v>
      </c>
      <c r="X1" s="4" t="s">
        <v>102</v>
      </c>
      <c r="Y1" s="4" t="s">
        <v>103</v>
      </c>
      <c r="Z1" s="4" t="s">
        <v>104</v>
      </c>
      <c r="AA1" s="4" t="s">
        <v>105</v>
      </c>
      <c r="AB1" s="4" t="s">
        <v>106</v>
      </c>
      <c r="AC1" s="4" t="s">
        <v>107</v>
      </c>
      <c r="AD1" s="4" t="s">
        <v>108</v>
      </c>
      <c r="AE1" s="4" t="s">
        <v>109</v>
      </c>
      <c r="AF1" s="4" t="s">
        <v>110</v>
      </c>
      <c r="AG1" s="4" t="s">
        <v>111</v>
      </c>
      <c r="AH1" s="4" t="s">
        <v>112</v>
      </c>
      <c r="AI1" s="4" t="s">
        <v>113</v>
      </c>
      <c r="AJ1" s="4" t="s">
        <v>114</v>
      </c>
      <c r="AK1" s="4" t="s">
        <v>115</v>
      </c>
      <c r="AL1" s="4" t="s">
        <v>116</v>
      </c>
      <c r="AM1" s="4" t="s">
        <v>117</v>
      </c>
      <c r="AN1" s="4" t="s">
        <v>118</v>
      </c>
    </row>
    <row r="2">
      <c r="A2" s="4">
        <v>2019.0</v>
      </c>
      <c r="B2" s="11">
        <v>1.0126619E7</v>
      </c>
      <c r="C2" s="11">
        <v>1.95613114E8</v>
      </c>
      <c r="D2" s="11">
        <v>2.57985933E8</v>
      </c>
      <c r="E2" s="11">
        <v>3.4686827300986134</v>
      </c>
      <c r="F2" s="11">
        <v>9.590249641619968</v>
      </c>
      <c r="G2" s="11">
        <v>10.189540180975946</v>
      </c>
      <c r="H2" s="11">
        <v>0.12681443381129492</v>
      </c>
      <c r="I2" s="11">
        <v>0.529193510605619</v>
      </c>
      <c r="J2" s="11">
        <v>0.5402979354829534</v>
      </c>
      <c r="K2" s="11">
        <v>0.42379713586559314</v>
      </c>
      <c r="L2" s="11">
        <v>2.391876105245312</v>
      </c>
      <c r="M2" s="11">
        <v>2.6052044505816054</v>
      </c>
      <c r="N2" s="11">
        <v>2.3418682962873185</v>
      </c>
      <c r="O2" s="11">
        <v>7.0610561310143485</v>
      </c>
      <c r="P2" s="11">
        <v>7.649242245492992</v>
      </c>
      <c r="Q2" s="11">
        <v>6.271942699502535</v>
      </c>
      <c r="R2" s="11">
        <v>13.120741187603194</v>
      </c>
      <c r="S2" s="11">
        <v>46.57677503859638</v>
      </c>
      <c r="T2" s="4">
        <v>0.0</v>
      </c>
      <c r="U2" s="4">
        <v>58.0</v>
      </c>
      <c r="V2" s="24">
        <v>949.0</v>
      </c>
      <c r="W2" s="11">
        <v>746103.0</v>
      </c>
      <c r="X2" s="11">
        <v>884617.0</v>
      </c>
      <c r="Y2" s="11">
        <v>11554.0</v>
      </c>
      <c r="Z2" s="11">
        <v>1.686864122556505E7</v>
      </c>
      <c r="AA2" s="11">
        <v>3.162449361426936</v>
      </c>
      <c r="AB2" s="11">
        <v>0.42881440164965656</v>
      </c>
      <c r="AC2" s="11">
        <v>0.5568108396533434</v>
      </c>
      <c r="AD2" s="11">
        <v>3.7192602010802784</v>
      </c>
      <c r="AE2" s="11">
        <v>817298.1512498538</v>
      </c>
      <c r="AF2" s="11">
        <v>0.3826866077458082</v>
      </c>
      <c r="AG2" s="11">
        <v>0.13070589510192773</v>
      </c>
      <c r="AH2" s="11">
        <v>0.038138118358532376</v>
      </c>
      <c r="AI2" s="11">
        <v>0.4208247261043407</v>
      </c>
      <c r="AJ2" s="11">
        <v>1.296492009110745E10</v>
      </c>
      <c r="AK2" s="11">
        <v>10.885859048581894</v>
      </c>
      <c r="AL2" s="11">
        <v>2.5783488503712397</v>
      </c>
      <c r="AM2" s="11">
        <v>8.930425520312772</v>
      </c>
      <c r="AN2" s="11">
        <v>4.979143887955879</v>
      </c>
    </row>
    <row r="3">
      <c r="A3" s="4">
        <v>2018.0</v>
      </c>
      <c r="B3" s="23">
        <v>6831422.0</v>
      </c>
      <c r="C3" s="23">
        <f>SUM(ridgelines!I8:I9)</f>
        <v>135204490</v>
      </c>
      <c r="D3" s="25">
        <f>SUM(ridgelines!I10:I11)</f>
        <v>250238389</v>
      </c>
      <c r="E3" s="11">
        <f>SUM(ridgelines!J7)</f>
        <v>3.832478804</v>
      </c>
      <c r="F3" s="11">
        <f>SUM(ridgelines!J8:J9)</f>
        <v>8.69393015</v>
      </c>
      <c r="G3" s="11">
        <f>SUM(ridgelines!J10:J11)</f>
        <v>10.52026155</v>
      </c>
    </row>
    <row r="4">
      <c r="A4" s="4">
        <v>2017.0</v>
      </c>
      <c r="B4" s="11">
        <v>1.5337011E7</v>
      </c>
      <c r="C4" s="23">
        <f>SUM(ridgelines!I13:I14)</f>
        <v>173236154</v>
      </c>
      <c r="D4" s="25">
        <f>SUM(ridgelines!I15:I16)</f>
        <v>226929309</v>
      </c>
    </row>
    <row r="5">
      <c r="A5" s="4">
        <v>2016.0</v>
      </c>
    </row>
    <row r="6">
      <c r="A6" s="4">
        <v>2015.0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0</v>
      </c>
      <c r="B1" s="27" t="s">
        <v>119</v>
      </c>
      <c r="C1" s="28" t="s">
        <v>42</v>
      </c>
      <c r="D1" s="28" t="s">
        <v>43</v>
      </c>
      <c r="E1" s="28" t="s">
        <v>44</v>
      </c>
      <c r="F1" s="28" t="s">
        <v>45</v>
      </c>
      <c r="G1" s="28" t="s">
        <v>46</v>
      </c>
      <c r="H1" s="27" t="s">
        <v>120</v>
      </c>
      <c r="I1" s="28" t="s">
        <v>37</v>
      </c>
      <c r="J1" s="27" t="s">
        <v>121</v>
      </c>
      <c r="K1" s="28" t="s">
        <v>36</v>
      </c>
      <c r="L1" s="28" t="s">
        <v>38</v>
      </c>
      <c r="M1" s="28" t="s">
        <v>49</v>
      </c>
      <c r="N1" s="27" t="s">
        <v>122</v>
      </c>
      <c r="O1" s="28" t="s">
        <v>51</v>
      </c>
      <c r="P1" s="28" t="s">
        <v>123</v>
      </c>
      <c r="Q1" s="28" t="s">
        <v>124</v>
      </c>
    </row>
    <row r="2">
      <c r="A2" s="4" t="s">
        <v>125</v>
      </c>
      <c r="B2" s="29">
        <v>746103.0</v>
      </c>
      <c r="C2" s="30">
        <v>4.7742161E7</v>
      </c>
      <c r="D2" s="11">
        <f>5528428+908828</f>
        <v>6437256</v>
      </c>
      <c r="E2" s="30">
        <v>1779451.0</v>
      </c>
      <c r="F2" s="29">
        <f>(41008+23853960)</f>
        <v>23894968</v>
      </c>
      <c r="G2" s="25">
        <f t="shared" ref="G2:G26" si="1">C2+D2+E2</f>
        <v>55958868</v>
      </c>
      <c r="H2" s="29">
        <v>9.1759906E7</v>
      </c>
      <c r="I2" s="25">
        <f t="shared" ref="I2:I26" si="2">H2-G2-F2-E2</f>
        <v>10126619</v>
      </c>
      <c r="J2" s="11">
        <f t="shared" ref="J2:J26" si="3">1+M2+K2</f>
        <v>3.46868273</v>
      </c>
      <c r="K2" s="11">
        <f t="shared" ref="K2:K26" si="4">I2/(F2+G2)</f>
        <v>0.1268144338</v>
      </c>
      <c r="L2" s="11">
        <f t="shared" ref="L2:L26" si="5">I2/F2</f>
        <v>0.4237971359</v>
      </c>
      <c r="M2" s="11">
        <f t="shared" ref="M2:M26" si="6">G2/F2</f>
        <v>2.341868296</v>
      </c>
      <c r="N2" s="25">
        <f t="shared" ref="N2:N16" si="7">G2+F2+E2+I2</f>
        <v>91759906</v>
      </c>
      <c r="O2" s="11">
        <f t="shared" ref="O2:O16" si="8">N2/H2</f>
        <v>1</v>
      </c>
      <c r="P2" s="11">
        <f t="shared" ref="P2:P26" si="9">((I2*1000*10.12)/60)/365</f>
        <v>4679515.264</v>
      </c>
      <c r="Q2" s="11">
        <f>P2/B2</f>
        <v>6.2719427</v>
      </c>
      <c r="R2" s="4">
        <v>1.0</v>
      </c>
    </row>
    <row r="3">
      <c r="A3" s="4" t="s">
        <v>126</v>
      </c>
      <c r="B3" s="29">
        <v>741548.0</v>
      </c>
      <c r="C3" s="30">
        <v>1.69531132E8</v>
      </c>
      <c r="D3" s="11">
        <f>9316754+107309</f>
        <v>9424063</v>
      </c>
      <c r="E3" s="30">
        <v>4430561.0</v>
      </c>
      <c r="F3" s="23">
        <v>5.3827012E7</v>
      </c>
      <c r="G3" s="25">
        <f t="shared" si="1"/>
        <v>183385756</v>
      </c>
      <c r="H3" s="31">
        <v>3.09831552E8</v>
      </c>
      <c r="I3" s="25">
        <f t="shared" si="2"/>
        <v>68188223</v>
      </c>
      <c r="J3" s="11">
        <f t="shared" si="3"/>
        <v>4.694402565</v>
      </c>
      <c r="K3" s="11">
        <f t="shared" si="4"/>
        <v>0.287455956</v>
      </c>
      <c r="L3" s="11">
        <f t="shared" si="5"/>
        <v>1.26680305</v>
      </c>
      <c r="M3" s="11">
        <f t="shared" si="6"/>
        <v>3.406946609</v>
      </c>
      <c r="N3" s="25">
        <f t="shared" si="7"/>
        <v>309831552</v>
      </c>
      <c r="O3" s="11">
        <f t="shared" si="8"/>
        <v>1</v>
      </c>
      <c r="P3" s="11">
        <f t="shared" si="9"/>
        <v>31509808.98</v>
      </c>
      <c r="Q3" s="11">
        <f>P3/(B3*9)</f>
        <v>4.721326047</v>
      </c>
      <c r="R3" s="11">
        <v>5.0</v>
      </c>
    </row>
    <row r="4">
      <c r="A4" s="4" t="s">
        <v>127</v>
      </c>
      <c r="B4" s="29">
        <v>143069.0</v>
      </c>
      <c r="C4" s="30">
        <v>3.89680427E8</v>
      </c>
      <c r="D4" s="11">
        <f>16068011+1775298</f>
        <v>17843309</v>
      </c>
      <c r="E4" s="30">
        <v>6337840.0</v>
      </c>
      <c r="F4" s="29">
        <v>1.13259215E8</v>
      </c>
      <c r="G4" s="25">
        <f t="shared" si="1"/>
        <v>413861576</v>
      </c>
      <c r="H4" s="29">
        <v>6.60883522E8</v>
      </c>
      <c r="I4" s="25">
        <f t="shared" si="2"/>
        <v>127424891</v>
      </c>
      <c r="J4" s="11">
        <f t="shared" si="3"/>
        <v>4.895847077</v>
      </c>
      <c r="K4" s="11">
        <f t="shared" si="4"/>
        <v>0.2417375546</v>
      </c>
      <c r="L4" s="11">
        <f t="shared" si="5"/>
        <v>1.125073055</v>
      </c>
      <c r="M4" s="11">
        <f t="shared" si="6"/>
        <v>3.654109522</v>
      </c>
      <c r="N4" s="25">
        <f t="shared" si="7"/>
        <v>660883522</v>
      </c>
      <c r="O4" s="11">
        <f t="shared" si="8"/>
        <v>1</v>
      </c>
      <c r="P4" s="11">
        <f t="shared" si="9"/>
        <v>58883100.32</v>
      </c>
      <c r="Q4" s="11">
        <f>P4/(B4*49)</f>
        <v>8.399415141</v>
      </c>
      <c r="R4" s="11">
        <v>40.0</v>
      </c>
    </row>
    <row r="5">
      <c r="A5" s="4" t="s">
        <v>78</v>
      </c>
      <c r="B5" s="29">
        <v>7481.0</v>
      </c>
      <c r="C5" s="32">
        <v>1.57058455E8</v>
      </c>
      <c r="D5" s="11">
        <f>9056906+460076</f>
        <v>9516982</v>
      </c>
      <c r="E5" s="30">
        <v>2716375.0</v>
      </c>
      <c r="F5" s="29">
        <v>4.3370597E7</v>
      </c>
      <c r="G5" s="25">
        <f t="shared" si="1"/>
        <v>169291812</v>
      </c>
      <c r="H5" s="31">
        <v>2.70765803E8</v>
      </c>
      <c r="I5" s="25">
        <f t="shared" si="2"/>
        <v>55387019</v>
      </c>
      <c r="J5" s="11">
        <f t="shared" si="3"/>
        <v>5.163823231</v>
      </c>
      <c r="K5" s="11">
        <f t="shared" si="4"/>
        <v>0.2604457424</v>
      </c>
      <c r="L5" s="11">
        <f t="shared" si="5"/>
        <v>1.27706379</v>
      </c>
      <c r="M5" s="11">
        <f t="shared" si="6"/>
        <v>3.903377489</v>
      </c>
      <c r="N5" s="25">
        <f t="shared" si="7"/>
        <v>270765803</v>
      </c>
      <c r="O5" s="11">
        <f t="shared" si="8"/>
        <v>1</v>
      </c>
      <c r="P5" s="11">
        <f t="shared" si="9"/>
        <v>25594366.77</v>
      </c>
      <c r="Q5" s="11">
        <f>P5/(249*B5)</f>
        <v>13.73995743</v>
      </c>
      <c r="R5" s="11">
        <v>233.0</v>
      </c>
    </row>
    <row r="6">
      <c r="A6" s="4" t="s">
        <v>128</v>
      </c>
      <c r="B6" s="29">
        <v>4073.0</v>
      </c>
      <c r="C6" s="30">
        <v>5.14459314E8</v>
      </c>
      <c r="D6" s="11">
        <f>36570087+12099838</f>
        <v>48669925</v>
      </c>
      <c r="E6" s="30">
        <v>8277205.0</v>
      </c>
      <c r="F6" s="29">
        <v>1.52543266E8</v>
      </c>
      <c r="G6" s="25">
        <f t="shared" si="1"/>
        <v>571406444</v>
      </c>
      <c r="H6" s="29">
        <v>9.34825829E8</v>
      </c>
      <c r="I6" s="25">
        <f t="shared" si="2"/>
        <v>202598914</v>
      </c>
      <c r="J6" s="11">
        <f t="shared" si="3"/>
        <v>5.02571695</v>
      </c>
      <c r="K6" s="11">
        <f t="shared" si="4"/>
        <v>0.279852193</v>
      </c>
      <c r="L6" s="11">
        <f t="shared" si="5"/>
        <v>1.32814066</v>
      </c>
      <c r="M6" s="11">
        <f t="shared" si="6"/>
        <v>3.745864757</v>
      </c>
      <c r="N6" s="25">
        <f t="shared" si="7"/>
        <v>934825829</v>
      </c>
      <c r="O6" s="11">
        <f t="shared" si="8"/>
        <v>1</v>
      </c>
      <c r="P6" s="11">
        <f t="shared" si="9"/>
        <v>93621050.67</v>
      </c>
      <c r="Q6" s="11">
        <f>P6/(B6*700)</f>
        <v>32.8368176</v>
      </c>
      <c r="R6" s="11">
        <v>970.0</v>
      </c>
    </row>
    <row r="7">
      <c r="A7" s="4" t="s">
        <v>125</v>
      </c>
      <c r="B7" s="29">
        <v>730527.0</v>
      </c>
      <c r="C7" s="30">
        <v>4.7693905E7</v>
      </c>
      <c r="D7" s="11">
        <f>5541558+2527132</f>
        <v>8068690</v>
      </c>
      <c r="E7" s="30">
        <v>1695290.0</v>
      </c>
      <c r="F7" s="29">
        <f>58208+20871117     </f>
        <v>20929325</v>
      </c>
      <c r="G7" s="25">
        <f t="shared" si="1"/>
        <v>57457885</v>
      </c>
      <c r="H7" s="29">
        <v>8.6913922E7</v>
      </c>
      <c r="I7" s="25">
        <f t="shared" si="2"/>
        <v>6831422</v>
      </c>
      <c r="J7" s="11">
        <f t="shared" si="3"/>
        <v>3.832478804</v>
      </c>
      <c r="K7" s="11">
        <f t="shared" si="4"/>
        <v>0.0871497021</v>
      </c>
      <c r="L7" s="11">
        <f t="shared" si="5"/>
        <v>0.3264043155</v>
      </c>
      <c r="M7" s="11">
        <f t="shared" si="6"/>
        <v>2.745329102</v>
      </c>
      <c r="N7" s="25">
        <f t="shared" si="7"/>
        <v>86913922</v>
      </c>
      <c r="O7" s="11">
        <f t="shared" si="8"/>
        <v>1</v>
      </c>
      <c r="P7" s="11">
        <f t="shared" si="9"/>
        <v>3156803.226</v>
      </c>
      <c r="Q7" s="11">
        <f>P7/(B7)</f>
        <v>4.32126838</v>
      </c>
      <c r="R7" s="4">
        <v>1.0</v>
      </c>
    </row>
    <row r="8">
      <c r="A8" s="4" t="s">
        <v>126</v>
      </c>
      <c r="B8" s="29">
        <v>736098.0</v>
      </c>
      <c r="C8" s="30">
        <v>1.72229392E8</v>
      </c>
      <c r="D8" s="11">
        <f>9140019+2064394</f>
        <v>11204413</v>
      </c>
      <c r="E8" s="30">
        <v>4030809.0</v>
      </c>
      <c r="F8" s="29">
        <v>5.1774638E7</v>
      </c>
      <c r="G8" s="25">
        <f t="shared" si="1"/>
        <v>187464614</v>
      </c>
      <c r="H8" s="29">
        <v>3.07643981E8</v>
      </c>
      <c r="I8" s="25">
        <f t="shared" si="2"/>
        <v>64373920</v>
      </c>
      <c r="J8" s="11">
        <f t="shared" si="3"/>
        <v>4.889858361</v>
      </c>
      <c r="K8" s="11">
        <f t="shared" si="4"/>
        <v>0.2690775843</v>
      </c>
      <c r="L8" s="11">
        <f t="shared" si="5"/>
        <v>1.243348529</v>
      </c>
      <c r="M8" s="11">
        <f t="shared" si="6"/>
        <v>3.620780777</v>
      </c>
      <c r="N8" s="25">
        <f t="shared" si="7"/>
        <v>307643981</v>
      </c>
      <c r="O8" s="11">
        <f t="shared" si="8"/>
        <v>1</v>
      </c>
      <c r="P8" s="11">
        <f t="shared" si="9"/>
        <v>29747217.83</v>
      </c>
      <c r="Q8" s="11">
        <f>P8/(B8*9)</f>
        <v>4.490226064</v>
      </c>
      <c r="R8" s="11">
        <v>7.0</v>
      </c>
    </row>
    <row r="9">
      <c r="A9" s="4" t="s">
        <v>127</v>
      </c>
      <c r="B9" s="29">
        <v>135445.0</v>
      </c>
      <c r="C9" s="30">
        <v>3.821918E8</v>
      </c>
      <c r="D9" s="11">
        <f>15311115+4255981        </f>
        <v>19567096</v>
      </c>
      <c r="E9" s="30">
        <v>6724527.0</v>
      </c>
      <c r="F9" s="29">
        <v>1.52543266E8</v>
      </c>
      <c r="G9" s="25">
        <f t="shared" si="1"/>
        <v>408483423</v>
      </c>
      <c r="H9" s="29">
        <v>6.38581786E8</v>
      </c>
      <c r="I9" s="25">
        <f t="shared" si="2"/>
        <v>70830570</v>
      </c>
      <c r="J9" s="11">
        <f t="shared" si="3"/>
        <v>3.804071789</v>
      </c>
      <c r="K9" s="11">
        <f t="shared" si="4"/>
        <v>0.1262516942</v>
      </c>
      <c r="L9" s="11">
        <f t="shared" si="5"/>
        <v>0.4643310181</v>
      </c>
      <c r="M9" s="11">
        <f t="shared" si="6"/>
        <v>2.677820095</v>
      </c>
      <c r="N9" s="25">
        <f t="shared" si="7"/>
        <v>638581786</v>
      </c>
      <c r="O9" s="11">
        <f t="shared" si="8"/>
        <v>1</v>
      </c>
      <c r="P9" s="11">
        <f t="shared" si="9"/>
        <v>32730838.74</v>
      </c>
      <c r="Q9" s="11">
        <f>P9/(B9*49)</f>
        <v>4.931716201</v>
      </c>
      <c r="R9" s="11">
        <v>33.0</v>
      </c>
    </row>
    <row r="10">
      <c r="A10" s="4" t="s">
        <v>78</v>
      </c>
      <c r="B10" s="29">
        <v>7178.0</v>
      </c>
      <c r="C10" s="30">
        <v>1.60141377E8</v>
      </c>
      <c r="D10" s="11">
        <f>7996415+183474</f>
        <v>8179889</v>
      </c>
      <c r="E10" s="30">
        <v>2279111.0</v>
      </c>
      <c r="F10" s="29">
        <v>4.1073637E7</v>
      </c>
      <c r="G10" s="25">
        <f t="shared" si="1"/>
        <v>170600377</v>
      </c>
      <c r="H10" s="29">
        <v>2.67895707E8</v>
      </c>
      <c r="I10" s="25">
        <f t="shared" si="2"/>
        <v>53942582</v>
      </c>
      <c r="J10" s="11">
        <f t="shared" si="3"/>
        <v>5.408362971</v>
      </c>
      <c r="K10" s="11">
        <f t="shared" si="4"/>
        <v>0.2548379982</v>
      </c>
      <c r="L10" s="11">
        <f t="shared" si="5"/>
        <v>1.313313988</v>
      </c>
      <c r="M10" s="11">
        <f t="shared" si="6"/>
        <v>4.153524973</v>
      </c>
      <c r="N10" s="25">
        <f t="shared" si="7"/>
        <v>267895707</v>
      </c>
      <c r="O10" s="11">
        <f t="shared" si="8"/>
        <v>1</v>
      </c>
      <c r="P10" s="11">
        <f t="shared" si="9"/>
        <v>24926891.77</v>
      </c>
      <c r="Q10" s="11">
        <f>P10/(B10*249)</f>
        <v>13.94650308</v>
      </c>
      <c r="R10" s="11">
        <v>63.0</v>
      </c>
    </row>
    <row r="11">
      <c r="A11" s="4" t="s">
        <v>128</v>
      </c>
      <c r="B11" s="29">
        <v>3867.0</v>
      </c>
      <c r="C11" s="30">
        <v>5.00909541E8</v>
      </c>
      <c r="D11" s="11">
        <f>35138218 +1284735       </f>
        <v>36422953</v>
      </c>
      <c r="E11" s="30">
        <v>9668490.0</v>
      </c>
      <c r="F11" s="29">
        <v>1.42917924E8</v>
      </c>
      <c r="G11" s="25">
        <f t="shared" si="1"/>
        <v>547000984</v>
      </c>
      <c r="H11" s="29">
        <v>8.95883205E8</v>
      </c>
      <c r="I11" s="25">
        <f t="shared" si="2"/>
        <v>196295807</v>
      </c>
      <c r="J11" s="11">
        <f t="shared" si="3"/>
        <v>5.111898576</v>
      </c>
      <c r="K11" s="11">
        <f t="shared" si="4"/>
        <v>0.2845201149</v>
      </c>
      <c r="L11" s="11">
        <f t="shared" si="5"/>
        <v>1.373486275</v>
      </c>
      <c r="M11" s="11">
        <f t="shared" si="6"/>
        <v>3.827378461</v>
      </c>
      <c r="N11" s="25">
        <f t="shared" si="7"/>
        <v>895883205</v>
      </c>
      <c r="O11" s="11">
        <f t="shared" si="8"/>
        <v>1</v>
      </c>
      <c r="P11" s="11">
        <f t="shared" si="9"/>
        <v>90708382.05</v>
      </c>
      <c r="Q11" s="11">
        <f>P11/(B11*700)</f>
        <v>33.51006023</v>
      </c>
      <c r="R11" s="11">
        <v>921.0</v>
      </c>
    </row>
    <row r="12">
      <c r="A12" s="4" t="s">
        <v>125</v>
      </c>
      <c r="B12" s="29">
        <v>726001.0</v>
      </c>
      <c r="C12" s="30">
        <v>4.6388297E7</v>
      </c>
      <c r="D12" s="11">
        <f>5477710+1158940               </f>
        <v>6636650</v>
      </c>
      <c r="E12" s="30">
        <v>1041330.0</v>
      </c>
      <c r="F12" s="29">
        <f>67843+10339770</f>
        <v>10407613</v>
      </c>
      <c r="G12" s="25">
        <f t="shared" si="1"/>
        <v>54066277</v>
      </c>
      <c r="H12" s="29">
        <v>8.0852231E7</v>
      </c>
      <c r="I12" s="25">
        <f t="shared" si="2"/>
        <v>15337011</v>
      </c>
      <c r="J12" s="11">
        <f t="shared" si="3"/>
        <v>6.432757142</v>
      </c>
      <c r="K12" s="11">
        <f t="shared" si="4"/>
        <v>0.2378794113</v>
      </c>
      <c r="L12" s="11">
        <f t="shared" si="5"/>
        <v>1.473633868</v>
      </c>
      <c r="M12" s="11">
        <f t="shared" si="6"/>
        <v>5.19487773</v>
      </c>
      <c r="N12" s="25">
        <f t="shared" si="7"/>
        <v>80852231</v>
      </c>
      <c r="O12" s="11">
        <f t="shared" si="8"/>
        <v>1</v>
      </c>
      <c r="P12" s="11">
        <f t="shared" si="9"/>
        <v>7087239.786</v>
      </c>
      <c r="Q12" s="11">
        <f>P12/(B12)</f>
        <v>9.762024827</v>
      </c>
      <c r="R12" s="4">
        <v>1.0</v>
      </c>
    </row>
    <row r="13">
      <c r="A13" s="4" t="s">
        <v>126</v>
      </c>
      <c r="B13" s="31">
        <v>731603.0</v>
      </c>
      <c r="C13" s="30">
        <v>1.67707777E8</v>
      </c>
      <c r="D13" s="11">
        <f>8873849+1157029</f>
        <v>10030878</v>
      </c>
      <c r="E13" s="30">
        <v>3919080.0</v>
      </c>
      <c r="F13" s="29">
        <v>4.9856995E7</v>
      </c>
      <c r="G13" s="25">
        <f t="shared" si="1"/>
        <v>181657735</v>
      </c>
      <c r="H13" s="29">
        <v>2.96740759E8</v>
      </c>
      <c r="I13" s="25">
        <f t="shared" si="2"/>
        <v>61306949</v>
      </c>
      <c r="J13" s="11">
        <f t="shared" si="3"/>
        <v>4.908383675</v>
      </c>
      <c r="K13" s="11">
        <f t="shared" si="4"/>
        <v>0.2648079844</v>
      </c>
      <c r="L13" s="11">
        <f t="shared" si="5"/>
        <v>1.229655919</v>
      </c>
      <c r="M13" s="11">
        <f t="shared" si="6"/>
        <v>3.643575691</v>
      </c>
      <c r="N13" s="25">
        <f t="shared" si="7"/>
        <v>296740759</v>
      </c>
      <c r="O13" s="11">
        <f t="shared" si="8"/>
        <v>1</v>
      </c>
      <c r="P13" s="11">
        <f t="shared" si="9"/>
        <v>28329969.13</v>
      </c>
      <c r="Q13" s="11">
        <f>P13/(B13*9)</f>
        <v>4.302571678</v>
      </c>
      <c r="R13" s="4">
        <v>4.0</v>
      </c>
    </row>
    <row r="14">
      <c r="A14" s="4" t="s">
        <v>127</v>
      </c>
      <c r="B14" s="29">
        <v>127863.0</v>
      </c>
      <c r="C14" s="30">
        <v>3.55596822E8</v>
      </c>
      <c r="D14" s="11">
        <f>14506315+814528</f>
        <v>15320843</v>
      </c>
      <c r="E14" s="30">
        <v>5942791.0</v>
      </c>
      <c r="F14" s="29">
        <v>9.8729822E7</v>
      </c>
      <c r="G14" s="25">
        <f t="shared" si="1"/>
        <v>376860456</v>
      </c>
      <c r="H14" s="29">
        <v>5.93462274E8</v>
      </c>
      <c r="I14" s="25">
        <f t="shared" si="2"/>
        <v>111929205</v>
      </c>
      <c r="J14" s="11">
        <f t="shared" si="3"/>
        <v>5.052436344</v>
      </c>
      <c r="K14" s="11">
        <f t="shared" si="4"/>
        <v>0.2353479669</v>
      </c>
      <c r="L14" s="11">
        <f t="shared" si="5"/>
        <v>1.133691956</v>
      </c>
      <c r="M14" s="11">
        <f t="shared" si="6"/>
        <v>3.817088377</v>
      </c>
      <c r="N14" s="25">
        <f t="shared" si="7"/>
        <v>593462274</v>
      </c>
      <c r="O14" s="11">
        <f t="shared" si="8"/>
        <v>1</v>
      </c>
      <c r="P14" s="11">
        <f t="shared" si="9"/>
        <v>51722536.74</v>
      </c>
      <c r="Q14" s="11">
        <f>P14/(B14*49)</f>
        <v>8.255413797</v>
      </c>
      <c r="R14" s="4">
        <v>44.0</v>
      </c>
    </row>
    <row r="15">
      <c r="A15" s="4" t="s">
        <v>78</v>
      </c>
      <c r="B15" s="29">
        <v>6775.0</v>
      </c>
      <c r="C15" s="30">
        <v>1.42288614E8</v>
      </c>
      <c r="D15" s="11">
        <f>7455381+2408828        </f>
        <v>9864209</v>
      </c>
      <c r="E15" s="32">
        <v>2481685.0</v>
      </c>
      <c r="F15" s="29">
        <v>3.824502E7</v>
      </c>
      <c r="G15" s="25">
        <f t="shared" si="1"/>
        <v>154634508</v>
      </c>
      <c r="H15" s="29">
        <v>2.43010108E8</v>
      </c>
      <c r="I15" s="25">
        <f t="shared" si="2"/>
        <v>47648895</v>
      </c>
      <c r="J15" s="11">
        <f t="shared" si="3"/>
        <v>5.290298322</v>
      </c>
      <c r="K15" s="11">
        <f t="shared" si="4"/>
        <v>0.2470396703</v>
      </c>
      <c r="L15" s="11">
        <f t="shared" si="5"/>
        <v>1.245884954</v>
      </c>
      <c r="M15" s="11">
        <f t="shared" si="6"/>
        <v>4.043258652</v>
      </c>
      <c r="N15" s="25">
        <f t="shared" si="7"/>
        <v>243010108</v>
      </c>
      <c r="O15" s="11">
        <f t="shared" si="8"/>
        <v>1</v>
      </c>
      <c r="P15" s="11">
        <f t="shared" si="9"/>
        <v>22018576.14</v>
      </c>
      <c r="Q15" s="11">
        <f>P15/(B15*249)</f>
        <v>13.05210577</v>
      </c>
      <c r="R15" s="4">
        <v>154.0</v>
      </c>
    </row>
    <row r="16">
      <c r="A16" s="4" t="s">
        <v>128</v>
      </c>
      <c r="B16" s="29">
        <v>3659.0</v>
      </c>
      <c r="C16" s="30">
        <v>4.75326196E8</v>
      </c>
      <c r="D16" s="11">
        <f>32859094+2683676</f>
        <v>35542770</v>
      </c>
      <c r="E16" s="30">
        <v>8627949.0</v>
      </c>
      <c r="F16" s="29">
        <v>1.3419688E8</v>
      </c>
      <c r="G16" s="25">
        <f t="shared" si="1"/>
        <v>519496915</v>
      </c>
      <c r="H16" s="29">
        <v>8.41602158E8</v>
      </c>
      <c r="I16" s="25">
        <f t="shared" si="2"/>
        <v>179280414</v>
      </c>
      <c r="J16" s="11">
        <f t="shared" si="3"/>
        <v>5.145412422</v>
      </c>
      <c r="K16" s="11">
        <f t="shared" si="4"/>
        <v>0.2742574817</v>
      </c>
      <c r="L16" s="11">
        <f t="shared" si="5"/>
        <v>1.335950687</v>
      </c>
      <c r="M16" s="11">
        <f t="shared" si="6"/>
        <v>3.87115494</v>
      </c>
      <c r="N16" s="25">
        <f t="shared" si="7"/>
        <v>841602158</v>
      </c>
      <c r="O16" s="11">
        <f t="shared" si="8"/>
        <v>1</v>
      </c>
      <c r="P16" s="11">
        <f t="shared" si="9"/>
        <v>82845561.17</v>
      </c>
      <c r="Q16" s="11">
        <f>P16/(B16*700)</f>
        <v>32.34512208</v>
      </c>
      <c r="R16" s="4">
        <v>960.0</v>
      </c>
    </row>
    <row r="17">
      <c r="A17" s="4" t="s">
        <v>125</v>
      </c>
      <c r="B17" s="29">
        <v>703454.0</v>
      </c>
      <c r="C17" s="30">
        <v>3.9242954E7</v>
      </c>
      <c r="D17" s="11">
        <f>5210971+1520048</f>
        <v>6731019</v>
      </c>
      <c r="E17" s="30">
        <v>1839703.0</v>
      </c>
      <c r="F17" s="11">
        <f>71828+15203790</f>
        <v>15275618</v>
      </c>
      <c r="G17" s="25">
        <f t="shared" si="1"/>
        <v>47813676</v>
      </c>
      <c r="H17" s="29">
        <v>7.2870661E7</v>
      </c>
      <c r="I17" s="25">
        <f t="shared" si="2"/>
        <v>7941664</v>
      </c>
      <c r="J17" s="11">
        <f t="shared" si="3"/>
        <v>4.255944659</v>
      </c>
      <c r="K17" s="11">
        <f t="shared" si="4"/>
        <v>0.1258797412</v>
      </c>
      <c r="L17" s="11">
        <f t="shared" si="5"/>
        <v>0.5198915029</v>
      </c>
      <c r="M17" s="11">
        <f t="shared" si="6"/>
        <v>3.130064918</v>
      </c>
      <c r="N17" s="4">
        <v>2016.0</v>
      </c>
      <c r="P17" s="11">
        <f t="shared" si="9"/>
        <v>3669846.561</v>
      </c>
      <c r="Q17" s="11">
        <f t="shared" ref="Q17:Q26" si="10">P17/(B17*R17)</f>
        <v>5.216896287</v>
      </c>
      <c r="R17" s="4">
        <v>1.0</v>
      </c>
    </row>
    <row r="18">
      <c r="A18" s="4" t="s">
        <v>126</v>
      </c>
      <c r="B18" s="29">
        <v>720789.0</v>
      </c>
      <c r="C18" s="30">
        <v>1.62788462E8</v>
      </c>
      <c r="D18" s="11">
        <f>8778606 +       1161010</f>
        <v>9939616</v>
      </c>
      <c r="E18" s="30">
        <v>3279043.0</v>
      </c>
      <c r="F18" s="29">
        <v>4.749082E7</v>
      </c>
      <c r="G18" s="25">
        <f t="shared" si="1"/>
        <v>176007121</v>
      </c>
      <c r="H18" s="29">
        <v>2.82985903E8</v>
      </c>
      <c r="I18" s="25">
        <f t="shared" si="2"/>
        <v>56208919</v>
      </c>
      <c r="J18" s="11">
        <f t="shared" si="3"/>
        <v>4.957625694</v>
      </c>
      <c r="K18" s="11">
        <f t="shared" si="4"/>
        <v>0.2514963617</v>
      </c>
      <c r="L18" s="11">
        <f t="shared" si="5"/>
        <v>1.183574404</v>
      </c>
      <c r="M18" s="11">
        <f t="shared" si="6"/>
        <v>3.706129332</v>
      </c>
      <c r="P18" s="11">
        <f t="shared" si="9"/>
        <v>25974167.14</v>
      </c>
      <c r="Q18" s="11">
        <f t="shared" si="10"/>
        <v>36.03574297</v>
      </c>
      <c r="R18" s="11">
        <v>1.0</v>
      </c>
    </row>
    <row r="19">
      <c r="A19" s="4" t="s">
        <v>127</v>
      </c>
      <c r="B19" s="29">
        <v>118675.0</v>
      </c>
      <c r="C19" s="30">
        <v>3.28415647E8</v>
      </c>
      <c r="D19" s="11">
        <f>14016456+848295</f>
        <v>14864751</v>
      </c>
      <c r="E19" s="33">
        <v>523557.0</v>
      </c>
      <c r="F19" s="29">
        <v>9.114524E7</v>
      </c>
      <c r="G19" s="25">
        <f t="shared" si="1"/>
        <v>343803955</v>
      </c>
      <c r="H19" s="29">
        <v>5.4778041E8</v>
      </c>
      <c r="I19" s="25">
        <f t="shared" si="2"/>
        <v>112307658</v>
      </c>
      <c r="J19" s="11">
        <f t="shared" si="3"/>
        <v>5.030253771</v>
      </c>
      <c r="K19" s="11">
        <f t="shared" si="4"/>
        <v>0.2582086811</v>
      </c>
      <c r="L19" s="11">
        <f t="shared" si="5"/>
        <v>1.232183469</v>
      </c>
      <c r="M19" s="11">
        <f t="shared" si="6"/>
        <v>3.77204509</v>
      </c>
      <c r="P19" s="11">
        <f t="shared" si="9"/>
        <v>51897420.04</v>
      </c>
      <c r="Q19" s="11">
        <f t="shared" si="10"/>
        <v>39.75519087</v>
      </c>
      <c r="R19" s="11">
        <v>11.0</v>
      </c>
    </row>
    <row r="20">
      <c r="A20" s="4" t="s">
        <v>78</v>
      </c>
      <c r="B20" s="29">
        <v>6356.0</v>
      </c>
      <c r="C20" s="30">
        <v>1.282806E8</v>
      </c>
      <c r="D20" s="11">
        <f>7275206+6743292</f>
        <v>14018498</v>
      </c>
      <c r="E20" s="30">
        <v>2136987.0</v>
      </c>
      <c r="F20" s="29">
        <v>3.5827134E7</v>
      </c>
      <c r="G20" s="25">
        <f t="shared" si="1"/>
        <v>144436085</v>
      </c>
      <c r="H20" s="29">
        <v>2.21777945E8</v>
      </c>
      <c r="I20" s="25">
        <f t="shared" si="2"/>
        <v>39377739</v>
      </c>
      <c r="J20" s="11">
        <f t="shared" si="3"/>
        <v>5.249917706</v>
      </c>
      <c r="K20" s="11">
        <f t="shared" si="4"/>
        <v>0.2184457773</v>
      </c>
      <c r="L20" s="11">
        <f t="shared" si="5"/>
        <v>1.099103797</v>
      </c>
      <c r="M20" s="11">
        <f t="shared" si="6"/>
        <v>4.031471929</v>
      </c>
      <c r="P20" s="11">
        <f t="shared" si="9"/>
        <v>18196471.17</v>
      </c>
      <c r="Q20" s="11">
        <f t="shared" si="10"/>
        <v>29.51423636</v>
      </c>
      <c r="R20" s="11">
        <v>97.0</v>
      </c>
    </row>
    <row r="21">
      <c r="A21" s="4" t="s">
        <v>128</v>
      </c>
      <c r="B21" s="29">
        <v>3439.0</v>
      </c>
      <c r="C21" s="30">
        <v>4.25687275E8</v>
      </c>
      <c r="D21" s="11">
        <f>31787703+
1627513</f>
        <v>33415216</v>
      </c>
      <c r="E21" s="30">
        <v>1.2323381E7</v>
      </c>
      <c r="F21" s="29">
        <v>1.26354447E8</v>
      </c>
      <c r="G21" s="25">
        <f t="shared" si="1"/>
        <v>471425872</v>
      </c>
      <c r="H21" s="29">
        <v>7.70733774E8</v>
      </c>
      <c r="I21" s="25">
        <f t="shared" si="2"/>
        <v>160630074</v>
      </c>
      <c r="J21" s="11">
        <f t="shared" si="3"/>
        <v>4.99969054</v>
      </c>
      <c r="K21" s="11">
        <f t="shared" si="4"/>
        <v>0.2687108774</v>
      </c>
      <c r="L21" s="11">
        <f t="shared" si="5"/>
        <v>1.271265696</v>
      </c>
      <c r="M21" s="11">
        <f t="shared" si="6"/>
        <v>3.730979662</v>
      </c>
      <c r="P21" s="11">
        <f t="shared" si="9"/>
        <v>74227230.54</v>
      </c>
      <c r="Q21" s="11">
        <f t="shared" si="10"/>
        <v>19.01670282</v>
      </c>
      <c r="R21" s="11">
        <v>1135.0</v>
      </c>
    </row>
    <row r="22">
      <c r="A22" s="4" t="s">
        <v>125</v>
      </c>
      <c r="B22" s="29">
        <v>681969.0</v>
      </c>
      <c r="C22" s="30">
        <v>4.3774587E7</v>
      </c>
      <c r="D22" s="11">
        <f>4925829+2649281</f>
        <v>7575110</v>
      </c>
      <c r="E22" s="30">
        <v>1308675.0</v>
      </c>
      <c r="F22" s="31">
        <f>18466531+78118</f>
        <v>18544649</v>
      </c>
      <c r="G22" s="25">
        <f t="shared" si="1"/>
        <v>52658372</v>
      </c>
      <c r="H22" s="29">
        <v>9.035425E7</v>
      </c>
      <c r="I22" s="25">
        <f t="shared" si="2"/>
        <v>17842554</v>
      </c>
      <c r="J22" s="11">
        <f t="shared" si="3"/>
        <v>4.090132395</v>
      </c>
      <c r="K22" s="11">
        <f t="shared" si="4"/>
        <v>0.2505870362</v>
      </c>
      <c r="L22" s="11">
        <f t="shared" si="5"/>
        <v>0.9621402918</v>
      </c>
      <c r="M22" s="11">
        <f t="shared" si="6"/>
        <v>2.839545359</v>
      </c>
      <c r="N22" s="4">
        <v>2015.0</v>
      </c>
      <c r="P22" s="11">
        <f t="shared" si="9"/>
        <v>8245052.351</v>
      </c>
      <c r="Q22" s="11">
        <f t="shared" si="10"/>
        <v>12.09006912</v>
      </c>
      <c r="R22" s="4">
        <v>1.0</v>
      </c>
    </row>
    <row r="23">
      <c r="A23" s="4" t="s">
        <v>126</v>
      </c>
      <c r="B23" s="29">
        <v>677239.0</v>
      </c>
      <c r="C23" s="23">
        <v>1.61705384E8</v>
      </c>
      <c r="D23" s="11">
        <f>8720693+1057792</f>
        <v>9778485</v>
      </c>
      <c r="E23" s="23">
        <v>2854474.0</v>
      </c>
      <c r="F23" s="29">
        <v>4.4735155E7</v>
      </c>
      <c r="G23" s="25">
        <f t="shared" si="1"/>
        <v>174338343</v>
      </c>
      <c r="H23" s="29">
        <v>2.75621534E8</v>
      </c>
      <c r="I23" s="25">
        <f t="shared" si="2"/>
        <v>53693562</v>
      </c>
      <c r="J23" s="11">
        <f t="shared" si="3"/>
        <v>5.14221552</v>
      </c>
      <c r="K23" s="11">
        <f t="shared" si="4"/>
        <v>0.2450938269</v>
      </c>
      <c r="L23" s="11">
        <f t="shared" si="5"/>
        <v>1.200254297</v>
      </c>
      <c r="M23" s="11">
        <f t="shared" si="6"/>
        <v>3.897121693</v>
      </c>
      <c r="P23" s="11">
        <f t="shared" si="9"/>
        <v>24811819.52</v>
      </c>
      <c r="Q23" s="11">
        <f t="shared" si="10"/>
        <v>6.10612096</v>
      </c>
      <c r="R23" s="11">
        <v>6.0</v>
      </c>
    </row>
    <row r="24">
      <c r="A24" s="4" t="s">
        <v>127</v>
      </c>
      <c r="B24" s="29">
        <v>110636.0</v>
      </c>
      <c r="C24" s="30">
        <v>3.19981493E8</v>
      </c>
      <c r="D24" s="11">
        <f>13460496 +  1047058      </f>
        <v>14507554</v>
      </c>
      <c r="E24" s="30">
        <v>3760207.0</v>
      </c>
      <c r="F24" s="29">
        <v>8.643593E7</v>
      </c>
      <c r="G24" s="25">
        <f t="shared" si="1"/>
        <v>338249254</v>
      </c>
      <c r="H24" s="29">
        <v>5.28030629E8</v>
      </c>
      <c r="I24" s="25">
        <f t="shared" si="2"/>
        <v>99585238</v>
      </c>
      <c r="J24" s="11">
        <f t="shared" si="3"/>
        <v>5.147786458</v>
      </c>
      <c r="K24" s="11">
        <f t="shared" si="4"/>
        <v>0.2344919054</v>
      </c>
      <c r="L24" s="11">
        <f t="shared" si="5"/>
        <v>1.152127801</v>
      </c>
      <c r="M24" s="11">
        <f t="shared" si="6"/>
        <v>3.913294552</v>
      </c>
      <c r="P24" s="11">
        <f t="shared" si="9"/>
        <v>46018383.95</v>
      </c>
      <c r="Q24" s="11">
        <f t="shared" si="10"/>
        <v>10.1449764</v>
      </c>
      <c r="R24" s="11">
        <v>41.0</v>
      </c>
    </row>
    <row r="25">
      <c r="A25" s="4" t="s">
        <v>78</v>
      </c>
      <c r="B25" s="29">
        <v>5902.0</v>
      </c>
      <c r="C25" s="30">
        <v>1.21609227E8</v>
      </c>
      <c r="D25" s="11">
        <f>6410919+
2440784</f>
        <v>8851703</v>
      </c>
      <c r="E25" s="30">
        <v>1337006.0</v>
      </c>
      <c r="F25" s="29">
        <v>3.3424602E7</v>
      </c>
      <c r="G25" s="25">
        <f t="shared" si="1"/>
        <v>131797936</v>
      </c>
      <c r="H25" s="29">
        <v>2.08447677E8</v>
      </c>
      <c r="I25" s="25">
        <f t="shared" si="2"/>
        <v>41888133</v>
      </c>
      <c r="J25" s="11">
        <f t="shared" si="3"/>
        <v>5.196667061</v>
      </c>
      <c r="K25" s="11">
        <f t="shared" si="4"/>
        <v>0.253525539</v>
      </c>
      <c r="L25" s="11">
        <f t="shared" si="5"/>
        <v>1.253212619</v>
      </c>
      <c r="M25" s="11">
        <f t="shared" si="6"/>
        <v>3.943141522</v>
      </c>
      <c r="P25" s="11">
        <f t="shared" si="9"/>
        <v>19356525.39</v>
      </c>
      <c r="Q25" s="11">
        <f t="shared" si="10"/>
        <v>14.77322192</v>
      </c>
      <c r="R25" s="11">
        <v>222.0</v>
      </c>
    </row>
    <row r="26">
      <c r="A26" s="4" t="s">
        <v>128</v>
      </c>
      <c r="B26" s="29">
        <v>3226.0</v>
      </c>
      <c r="C26" s="30">
        <v>4.1751334E8</v>
      </c>
      <c r="D26" s="11">
        <f>28626295 +5233787       </f>
        <v>33860082</v>
      </c>
      <c r="E26" s="30">
        <v>2970928.0</v>
      </c>
      <c r="F26" s="29">
        <v>1.20818686E8</v>
      </c>
      <c r="G26" s="25">
        <f t="shared" si="1"/>
        <v>454344350</v>
      </c>
      <c r="H26" s="29">
        <v>7.39019453E8</v>
      </c>
      <c r="I26" s="25">
        <f t="shared" si="2"/>
        <v>160885489</v>
      </c>
      <c r="J26" s="11">
        <f t="shared" si="3"/>
        <v>5.040268561</v>
      </c>
      <c r="K26" s="11">
        <f t="shared" si="4"/>
        <v>0.2797215379</v>
      </c>
      <c r="L26" s="11">
        <f t="shared" si="5"/>
        <v>1.331627535</v>
      </c>
      <c r="M26" s="11">
        <f t="shared" si="6"/>
        <v>3.760547023</v>
      </c>
      <c r="P26" s="11">
        <f t="shared" si="9"/>
        <v>74345257.93</v>
      </c>
      <c r="Q26" s="11">
        <f t="shared" si="10"/>
        <v>17.27559762</v>
      </c>
      <c r="R26" s="11">
        <v>1334.0</v>
      </c>
    </row>
  </sheetData>
  <drawing r:id="rId1"/>
</worksheet>
</file>